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600" yWindow="-210" windowWidth="12120" windowHeight="5970" tabRatio="904" activeTab="9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3 COP Forecast" sheetId="29" r:id="rId8"/>
    <sheet name="2014 COP Forecast" sheetId="30" r:id="rId9"/>
    <sheet name="Sheet9" sheetId="3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Order1" hidden="1">255</definedName>
    <definedName name="_Sort" localSheetId="7" hidden="1">[1]Sheet1!$G$40:$K$40</definedName>
    <definedName name="_Sort" localSheetId="8" hidden="1">[1]Sheet1!$G$40:$K$40</definedName>
    <definedName name="_Sort" localSheetId="5" hidden="1">[2]Sheet1!$G$40:$K$40</definedName>
    <definedName name="_Sort" localSheetId="6" hidden="1">#REF!</definedName>
    <definedName name="_Sort" hidden="1">[3]Sheet1!$G$40:$K$40</definedName>
    <definedName name="BridgeYear">'[4]LDC Info'!$E$26</definedName>
    <definedName name="CAfile">[5]Refs!$B$2</definedName>
    <definedName name="CArevReq">[5]Refs!$B$6</definedName>
    <definedName name="ClassRange1">[5]Refs!$B$3</definedName>
    <definedName name="ClassRange2">[5]Refs!$B$4</definedName>
    <definedName name="FolderPath">[5]Menu!$C$8</definedName>
    <definedName name="NewRevReq">[5]Refs!$B$8</definedName>
    <definedName name="PAGE11" localSheetId="7">#REF!</definedName>
    <definedName name="PAGE11" localSheetId="8">#REF!</definedName>
    <definedName name="PAGE11" localSheetId="6">#REF!</definedName>
    <definedName name="PAGE11">#REF!</definedName>
    <definedName name="PAGE2" localSheetId="7">[1]Sheet1!$A$1:$I$40</definedName>
    <definedName name="PAGE2" localSheetId="8">[1]Sheet1!$A$1:$I$40</definedName>
    <definedName name="PAGE2" localSheetId="5">[2]Sheet1!$A$1:$I$40</definedName>
    <definedName name="PAGE2" localSheetId="6">#REF!</definedName>
    <definedName name="PAGE2">[3]Sheet1!$A$1:$I$40</definedName>
    <definedName name="PAGE3" localSheetId="7">#REF!</definedName>
    <definedName name="PAGE3" localSheetId="8">#REF!</definedName>
    <definedName name="PAGE3" localSheetId="6">#REF!</definedName>
    <definedName name="PAGE3">#REF!</definedName>
    <definedName name="PAGE4" localSheetId="7">#REF!</definedName>
    <definedName name="PAGE4" localSheetId="8">#REF!</definedName>
    <definedName name="PAGE4" localSheetId="6">#REF!</definedName>
    <definedName name="PAGE4">#REF!</definedName>
    <definedName name="PAGE7" localSheetId="7">#REF!</definedName>
    <definedName name="PAGE7" localSheetId="8">#REF!</definedName>
    <definedName name="PAGE7" localSheetId="6">#REF!</definedName>
    <definedName name="PAGE7">#REF!</definedName>
    <definedName name="PAGE9" localSheetId="7">#REF!</definedName>
    <definedName name="PAGE9" localSheetId="8">#REF!</definedName>
    <definedName name="PAGE9" localSheetId="6">#REF!</definedName>
    <definedName name="PAGE9">#REF!</definedName>
    <definedName name="_xlnm.Print_Area" localSheetId="5">'CDM Activity'!$M$1:$U$16</definedName>
    <definedName name="_xlnm.Print_Area" localSheetId="6">'HDD and CDD'!$R$5:$Z$32</definedName>
    <definedName name="_xlnm.Print_Area" localSheetId="1">'Purchased Power Model '!$Q$2:$W$30</definedName>
    <definedName name="_xlnm.Print_Area" localSheetId="3">'Rate Class Customer Model'!$A$1:$C$2</definedName>
    <definedName name="_xlnm.Print_Area" localSheetId="2">'Rate Class Energy Model'!$A$1:$L$18</definedName>
    <definedName name="_xlnm.Print_Area" localSheetId="4">'Rate Class Load Model'!$A$2:$A$2</definedName>
    <definedName name="_xlnm.Print_Area" localSheetId="0">Summary!#REF!</definedName>
    <definedName name="RevReqLookupKey">[5]Refs!$B$5</definedName>
    <definedName name="RevReqRange">[5]Refs!$B$7</definedName>
    <definedName name="TestYear">'[4]LDC Info'!$E$24</definedName>
  </definedNames>
  <calcPr calcId="125725" iterate="1"/>
</workbook>
</file>

<file path=xl/calcChain.xml><?xml version="1.0" encoding="utf-8"?>
<calcChain xmlns="http://schemas.openxmlformats.org/spreadsheetml/2006/main">
  <c r="P13" i="23"/>
  <c r="I75" i="9" l="1"/>
  <c r="J75"/>
  <c r="K75"/>
  <c r="L75"/>
  <c r="H75"/>
  <c r="J13" i="17" l="1"/>
  <c r="J14"/>
  <c r="I171" i="19"/>
  <c r="I172"/>
  <c r="I173"/>
  <c r="I174"/>
  <c r="I175"/>
  <c r="I176"/>
  <c r="I177"/>
  <c r="I178"/>
  <c r="I179"/>
  <c r="I180"/>
  <c r="I181"/>
  <c r="H171"/>
  <c r="H172"/>
  <c r="H173"/>
  <c r="H174"/>
  <c r="H175"/>
  <c r="H176"/>
  <c r="H177"/>
  <c r="H178"/>
  <c r="H179"/>
  <c r="H180"/>
  <c r="H181"/>
  <c r="F171"/>
  <c r="F172"/>
  <c r="F173"/>
  <c r="F174"/>
  <c r="F175"/>
  <c r="F176"/>
  <c r="F177"/>
  <c r="F178"/>
  <c r="F179"/>
  <c r="F180"/>
  <c r="F181"/>
  <c r="F170"/>
  <c r="H170"/>
  <c r="I170"/>
  <c r="E171"/>
  <c r="E172"/>
  <c r="E173"/>
  <c r="E174"/>
  <c r="E175"/>
  <c r="E176"/>
  <c r="E177"/>
  <c r="E178"/>
  <c r="E179"/>
  <c r="E180"/>
  <c r="E181"/>
  <c r="E170"/>
  <c r="E22" i="29" l="1"/>
  <c r="E23"/>
  <c r="E24"/>
  <c r="E25"/>
  <c r="E21"/>
  <c r="G8" i="19"/>
  <c r="G7" s="1"/>
  <c r="G20"/>
  <c r="G32"/>
  <c r="L39"/>
  <c r="L40"/>
  <c r="L41"/>
  <c r="L42"/>
  <c r="L43"/>
  <c r="G44"/>
  <c r="L44"/>
  <c r="L45"/>
  <c r="L46"/>
  <c r="L47"/>
  <c r="L48"/>
  <c r="L49"/>
  <c r="L50"/>
  <c r="L51"/>
  <c r="L52"/>
  <c r="L53"/>
  <c r="L54"/>
  <c r="L55"/>
  <c r="G56"/>
  <c r="L56"/>
  <c r="L57"/>
  <c r="L58"/>
  <c r="L59"/>
  <c r="L60"/>
  <c r="L61"/>
  <c r="L62"/>
  <c r="L63"/>
  <c r="L64"/>
  <c r="L65"/>
  <c r="L66"/>
  <c r="L67"/>
  <c r="G68"/>
  <c r="L68"/>
  <c r="L69"/>
  <c r="L70"/>
  <c r="L71"/>
  <c r="L72"/>
  <c r="L73"/>
  <c r="L74"/>
  <c r="L75"/>
  <c r="L76"/>
  <c r="L77"/>
  <c r="L78"/>
  <c r="L79"/>
  <c r="G80"/>
  <c r="L80"/>
  <c r="L81"/>
  <c r="L82"/>
  <c r="L83"/>
  <c r="L84"/>
  <c r="L85"/>
  <c r="L86"/>
  <c r="L87"/>
  <c r="L88"/>
  <c r="L89"/>
  <c r="L90"/>
  <c r="L91"/>
  <c r="G92"/>
  <c r="L92"/>
  <c r="L93"/>
  <c r="L94"/>
  <c r="L95"/>
  <c r="L96"/>
  <c r="L97"/>
  <c r="L98"/>
  <c r="G104"/>
  <c r="G116"/>
  <c r="G128"/>
  <c r="G140"/>
  <c r="G175" s="1"/>
  <c r="G81" l="1"/>
  <c r="G57"/>
  <c r="G58" s="1"/>
  <c r="G59" s="1"/>
  <c r="G60" s="1"/>
  <c r="G61" s="1"/>
  <c r="G62" s="1"/>
  <c r="G63" s="1"/>
  <c r="G64" s="1"/>
  <c r="G65" s="1"/>
  <c r="G66" s="1"/>
  <c r="G67" s="1"/>
  <c r="G33"/>
  <c r="G34" s="1"/>
  <c r="G35" s="1"/>
  <c r="G36" s="1"/>
  <c r="G37" s="1"/>
  <c r="G38" s="1"/>
  <c r="G39" s="1"/>
  <c r="G40" s="1"/>
  <c r="G41" s="1"/>
  <c r="G42" s="1"/>
  <c r="G43" s="1"/>
  <c r="G21"/>
  <c r="G22" s="1"/>
  <c r="G23" s="1"/>
  <c r="G24" s="1"/>
  <c r="G25" s="1"/>
  <c r="G26" s="1"/>
  <c r="G27" s="1"/>
  <c r="G28" s="1"/>
  <c r="G29" s="1"/>
  <c r="G30" s="1"/>
  <c r="G31" s="1"/>
  <c r="G129"/>
  <c r="G130" s="1"/>
  <c r="G131" s="1"/>
  <c r="G132" s="1"/>
  <c r="G133" s="1"/>
  <c r="G134" s="1"/>
  <c r="G135" s="1"/>
  <c r="G170" s="1"/>
  <c r="G93"/>
  <c r="G69"/>
  <c r="G70" s="1"/>
  <c r="G71" s="1"/>
  <c r="G72" s="1"/>
  <c r="G73" s="1"/>
  <c r="G74" s="1"/>
  <c r="G75" s="1"/>
  <c r="G76" s="1"/>
  <c r="G77" s="1"/>
  <c r="G78" s="1"/>
  <c r="G79" s="1"/>
  <c r="G45"/>
  <c r="G46" s="1"/>
  <c r="G47" s="1"/>
  <c r="G48" s="1"/>
  <c r="G49" s="1"/>
  <c r="G50" s="1"/>
  <c r="G51" s="1"/>
  <c r="G52" s="1"/>
  <c r="G53" s="1"/>
  <c r="G54" s="1"/>
  <c r="G55" s="1"/>
  <c r="G9"/>
  <c r="G10" s="1"/>
  <c r="G11" s="1"/>
  <c r="G12" s="1"/>
  <c r="G13" s="1"/>
  <c r="G14" s="1"/>
  <c r="G15" s="1"/>
  <c r="G16" s="1"/>
  <c r="G17" s="1"/>
  <c r="G18" s="1"/>
  <c r="G19" s="1"/>
  <c r="G141"/>
  <c r="G176" s="1"/>
  <c r="G105"/>
  <c r="G106" s="1"/>
  <c r="G107" s="1"/>
  <c r="G108" s="1"/>
  <c r="G109" s="1"/>
  <c r="G110" s="1"/>
  <c r="G111" s="1"/>
  <c r="G112" s="1"/>
  <c r="G113" s="1"/>
  <c r="G114" s="1"/>
  <c r="G115" s="1"/>
  <c r="G117"/>
  <c r="G118" s="1"/>
  <c r="G119" s="1"/>
  <c r="G120" s="1"/>
  <c r="G121" s="1"/>
  <c r="G122" s="1"/>
  <c r="G123" s="1"/>
  <c r="G124" s="1"/>
  <c r="G125" s="1"/>
  <c r="G126" s="1"/>
  <c r="G127" s="1"/>
  <c r="G94"/>
  <c r="G95" s="1"/>
  <c r="G96" s="1"/>
  <c r="G97" s="1"/>
  <c r="G98" s="1"/>
  <c r="G99" s="1"/>
  <c r="G100" s="1"/>
  <c r="G101" s="1"/>
  <c r="G102" s="1"/>
  <c r="G103" s="1"/>
  <c r="G82"/>
  <c r="G83" s="1"/>
  <c r="G84" s="1"/>
  <c r="G85" s="1"/>
  <c r="G86" s="1"/>
  <c r="G87" s="1"/>
  <c r="G88" s="1"/>
  <c r="G89" s="1"/>
  <c r="G90" s="1"/>
  <c r="G91" s="1"/>
  <c r="G142" l="1"/>
  <c r="G177" s="1"/>
  <c r="G136"/>
  <c r="G171" s="1"/>
  <c r="J4" i="17"/>
  <c r="J5"/>
  <c r="J6"/>
  <c r="J7"/>
  <c r="J8"/>
  <c r="J9"/>
  <c r="J10"/>
  <c r="J11"/>
  <c r="J12"/>
  <c r="J3"/>
  <c r="G137" i="19" l="1"/>
  <c r="G172" s="1"/>
  <c r="G143"/>
  <c r="G178" s="1"/>
  <c r="N12" i="23"/>
  <c r="O12"/>
  <c r="P12"/>
  <c r="M12"/>
  <c r="G144" i="19" l="1"/>
  <c r="G179" s="1"/>
  <c r="G138"/>
  <c r="G173" s="1"/>
  <c r="C17" i="18"/>
  <c r="C18"/>
  <c r="C19"/>
  <c r="C20"/>
  <c r="C21"/>
  <c r="C22"/>
  <c r="C23"/>
  <c r="C24"/>
  <c r="C25"/>
  <c r="C26"/>
  <c r="K26" i="9"/>
  <c r="K27"/>
  <c r="K28"/>
  <c r="K29"/>
  <c r="K30"/>
  <c r="K31"/>
  <c r="K32"/>
  <c r="K33"/>
  <c r="K34"/>
  <c r="K35"/>
  <c r="K39" l="1"/>
  <c r="C28" i="18"/>
  <c r="K47" i="9"/>
  <c r="K46"/>
  <c r="G145" i="19"/>
  <c r="G180" s="1"/>
  <c r="G139"/>
  <c r="G174" s="1"/>
  <c r="K42" i="9"/>
  <c r="K44"/>
  <c r="K40"/>
  <c r="K43"/>
  <c r="K45"/>
  <c r="K41"/>
  <c r="G146" i="19" l="1"/>
  <c r="G181" s="1"/>
  <c r="K51" i="9"/>
  <c r="K36" s="1"/>
  <c r="K37" s="1"/>
  <c r="J34" i="27"/>
  <c r="J33"/>
  <c r="J30"/>
  <c r="J29"/>
  <c r="J28"/>
  <c r="J27"/>
  <c r="J26"/>
  <c r="J25"/>
  <c r="J24"/>
  <c r="J23"/>
  <c r="J22"/>
  <c r="J21"/>
  <c r="J20"/>
  <c r="J19"/>
  <c r="J16"/>
  <c r="J15"/>
  <c r="J14"/>
  <c r="J13"/>
  <c r="J12"/>
  <c r="J11"/>
  <c r="J10"/>
  <c r="J9"/>
  <c r="J8"/>
  <c r="J7"/>
  <c r="J6"/>
  <c r="J5"/>
  <c r="I34"/>
  <c r="I33"/>
  <c r="I30"/>
  <c r="I29"/>
  <c r="I28"/>
  <c r="I27"/>
  <c r="I26"/>
  <c r="I25"/>
  <c r="I24"/>
  <c r="I23"/>
  <c r="I22"/>
  <c r="I21"/>
  <c r="I20"/>
  <c r="I19"/>
  <c r="I16"/>
  <c r="I15"/>
  <c r="I14"/>
  <c r="I13"/>
  <c r="I12"/>
  <c r="I11"/>
  <c r="I10"/>
  <c r="I9"/>
  <c r="I8"/>
  <c r="I7"/>
  <c r="I6"/>
  <c r="I5"/>
  <c r="H34"/>
  <c r="H33"/>
  <c r="H30"/>
  <c r="H29"/>
  <c r="H28"/>
  <c r="H27"/>
  <c r="H26"/>
  <c r="H25"/>
  <c r="H24"/>
  <c r="H23"/>
  <c r="H22"/>
  <c r="H21"/>
  <c r="H20"/>
  <c r="H19"/>
  <c r="H16"/>
  <c r="H15"/>
  <c r="H14"/>
  <c r="H13"/>
  <c r="H12"/>
  <c r="H11"/>
  <c r="H10"/>
  <c r="H9"/>
  <c r="H8"/>
  <c r="H7"/>
  <c r="H6"/>
  <c r="H5"/>
  <c r="G34"/>
  <c r="G33"/>
  <c r="G30"/>
  <c r="G29"/>
  <c r="G28"/>
  <c r="G27"/>
  <c r="G26"/>
  <c r="G25"/>
  <c r="G24"/>
  <c r="G23"/>
  <c r="G22"/>
  <c r="G21"/>
  <c r="G20"/>
  <c r="G19"/>
  <c r="G16"/>
  <c r="G15"/>
  <c r="G14"/>
  <c r="G13"/>
  <c r="G12"/>
  <c r="G11"/>
  <c r="G10"/>
  <c r="G9"/>
  <c r="G8"/>
  <c r="G7"/>
  <c r="G6"/>
  <c r="G5"/>
  <c r="F34"/>
  <c r="F33"/>
  <c r="F30"/>
  <c r="F29"/>
  <c r="F28"/>
  <c r="F27"/>
  <c r="F26"/>
  <c r="F25"/>
  <c r="F24"/>
  <c r="F23"/>
  <c r="F22"/>
  <c r="F21"/>
  <c r="F20"/>
  <c r="F19"/>
  <c r="F16"/>
  <c r="F15"/>
  <c r="F14"/>
  <c r="F13"/>
  <c r="F12"/>
  <c r="F11"/>
  <c r="F10"/>
  <c r="F9"/>
  <c r="F8"/>
  <c r="F7"/>
  <c r="F6"/>
  <c r="F5"/>
  <c r="E34"/>
  <c r="E33"/>
  <c r="E30"/>
  <c r="E29"/>
  <c r="E28"/>
  <c r="E27"/>
  <c r="E26"/>
  <c r="E25"/>
  <c r="E24"/>
  <c r="E23"/>
  <c r="E22"/>
  <c r="E21"/>
  <c r="E20"/>
  <c r="E19"/>
  <c r="E16"/>
  <c r="E15"/>
  <c r="E14"/>
  <c r="E13"/>
  <c r="E12"/>
  <c r="E11"/>
  <c r="E10"/>
  <c r="E9"/>
  <c r="E8"/>
  <c r="E7"/>
  <c r="E6"/>
  <c r="E5"/>
  <c r="D34"/>
  <c r="D33"/>
  <c r="D30"/>
  <c r="D29"/>
  <c r="D28"/>
  <c r="D27"/>
  <c r="D26"/>
  <c r="D25"/>
  <c r="D24"/>
  <c r="D23"/>
  <c r="D22"/>
  <c r="D21"/>
  <c r="D20"/>
  <c r="D19"/>
  <c r="D16"/>
  <c r="D15"/>
  <c r="D14"/>
  <c r="D13"/>
  <c r="D12"/>
  <c r="D11"/>
  <c r="D10"/>
  <c r="D9"/>
  <c r="D8"/>
  <c r="D7"/>
  <c r="D6"/>
  <c r="D5"/>
  <c r="C33"/>
  <c r="C34"/>
  <c r="C30"/>
  <c r="C29"/>
  <c r="C28"/>
  <c r="C27"/>
  <c r="C26"/>
  <c r="C25"/>
  <c r="C24"/>
  <c r="C23"/>
  <c r="C22"/>
  <c r="C21"/>
  <c r="C20"/>
  <c r="C19"/>
  <c r="C16"/>
  <c r="C15"/>
  <c r="C14"/>
  <c r="C13"/>
  <c r="C12"/>
  <c r="C11"/>
  <c r="C10"/>
  <c r="C9"/>
  <c r="C8"/>
  <c r="C7"/>
  <c r="C6"/>
  <c r="C5"/>
  <c r="B34"/>
  <c r="B33"/>
  <c r="F17" l="1"/>
  <c r="F35" s="1"/>
  <c r="D17"/>
  <c r="D35" s="1"/>
  <c r="D31"/>
  <c r="D36" s="1"/>
  <c r="E17"/>
  <c r="E35" s="1"/>
  <c r="E31"/>
  <c r="E36" s="1"/>
  <c r="G17"/>
  <c r="G35" s="1"/>
  <c r="G31"/>
  <c r="G36" s="1"/>
  <c r="H17"/>
  <c r="H35" s="1"/>
  <c r="H31"/>
  <c r="H36" s="1"/>
  <c r="C17"/>
  <c r="C35" s="1"/>
  <c r="C31"/>
  <c r="C36" s="1"/>
  <c r="F31"/>
  <c r="F36" s="1"/>
  <c r="I17"/>
  <c r="I35" s="1"/>
  <c r="I31"/>
  <c r="I36" s="1"/>
  <c r="J17"/>
  <c r="J35" s="1"/>
  <c r="J31"/>
  <c r="J36" s="1"/>
  <c r="U34" l="1"/>
  <c r="U33"/>
  <c r="U30"/>
  <c r="D122" i="19" s="1"/>
  <c r="U29" i="27"/>
  <c r="D121" i="19" s="1"/>
  <c r="U28" i="27"/>
  <c r="D120" i="19" s="1"/>
  <c r="U27" i="27"/>
  <c r="D119" i="19" s="1"/>
  <c r="U26" i="27"/>
  <c r="D118" i="19" s="1"/>
  <c r="U25" i="27"/>
  <c r="D117" i="19" s="1"/>
  <c r="U24" i="27"/>
  <c r="D116" i="19" s="1"/>
  <c r="U23" i="27"/>
  <c r="D115" i="19" s="1"/>
  <c r="U22" i="27"/>
  <c r="D114" i="19" s="1"/>
  <c r="U21" i="27"/>
  <c r="D113" i="19" s="1"/>
  <c r="U20" i="27"/>
  <c r="D112" i="19" s="1"/>
  <c r="U19" i="27"/>
  <c r="D111" i="19" s="1"/>
  <c r="U16" i="27"/>
  <c r="C122" i="19" s="1"/>
  <c r="N122" s="1"/>
  <c r="U15" i="27"/>
  <c r="C121" i="19" s="1"/>
  <c r="N121" s="1"/>
  <c r="U14" i="27"/>
  <c r="C120" i="19" s="1"/>
  <c r="N120" s="1"/>
  <c r="U13" i="27"/>
  <c r="C119" i="19" s="1"/>
  <c r="U12" i="27"/>
  <c r="C118" i="19" s="1"/>
  <c r="N118" s="1"/>
  <c r="U11" i="27"/>
  <c r="C117" i="19" s="1"/>
  <c r="N117" s="1"/>
  <c r="U10" i="27"/>
  <c r="C116" i="19" s="1"/>
  <c r="N116" s="1"/>
  <c r="U9" i="27"/>
  <c r="C115" i="19" s="1"/>
  <c r="N115" s="1"/>
  <c r="U8" i="27"/>
  <c r="C114" i="19" s="1"/>
  <c r="N114" s="1"/>
  <c r="U7" i="27"/>
  <c r="C113" i="19" s="1"/>
  <c r="N113" s="1"/>
  <c r="U6" i="27"/>
  <c r="C112" i="19" s="1"/>
  <c r="N112" s="1"/>
  <c r="U5" i="27"/>
  <c r="C111" i="19" s="1"/>
  <c r="N111" s="1"/>
  <c r="T34" i="27"/>
  <c r="T33"/>
  <c r="T30"/>
  <c r="D110" i="19" s="1"/>
  <c r="T29" i="27"/>
  <c r="D109" i="19" s="1"/>
  <c r="T28" i="27"/>
  <c r="D108" i="19" s="1"/>
  <c r="T27" i="27"/>
  <c r="D107" i="19" s="1"/>
  <c r="T26" i="27"/>
  <c r="D106" i="19" s="1"/>
  <c r="T25" i="27"/>
  <c r="D105" i="19" s="1"/>
  <c r="T24" i="27"/>
  <c r="D104" i="19" s="1"/>
  <c r="T23" i="27"/>
  <c r="D103" i="19" s="1"/>
  <c r="T22" i="27"/>
  <c r="D102" i="19" s="1"/>
  <c r="T21" i="27"/>
  <c r="T20"/>
  <c r="D100" i="19" s="1"/>
  <c r="T19" i="27"/>
  <c r="D99" i="19" s="1"/>
  <c r="T16" i="27"/>
  <c r="C110" i="19" s="1"/>
  <c r="N110" s="1"/>
  <c r="T15" i="27"/>
  <c r="C109" i="19" s="1"/>
  <c r="N109" s="1"/>
  <c r="T14" i="27"/>
  <c r="C108" i="19" s="1"/>
  <c r="N108" s="1"/>
  <c r="T13" i="27"/>
  <c r="C107" i="19" s="1"/>
  <c r="N107" s="1"/>
  <c r="T12" i="27"/>
  <c r="C106" i="19" s="1"/>
  <c r="N106" s="1"/>
  <c r="T11" i="27"/>
  <c r="C105" i="19" s="1"/>
  <c r="N105" s="1"/>
  <c r="T10" i="27"/>
  <c r="C104" i="19" s="1"/>
  <c r="N104" s="1"/>
  <c r="T9" i="27"/>
  <c r="C103" i="19" s="1"/>
  <c r="N103" s="1"/>
  <c r="T8" i="27"/>
  <c r="C102" i="19" s="1"/>
  <c r="N102" s="1"/>
  <c r="T7" i="27"/>
  <c r="T6"/>
  <c r="C100" i="19" s="1"/>
  <c r="N100" s="1"/>
  <c r="T5" i="27"/>
  <c r="C99" i="19" s="1"/>
  <c r="N99" s="1"/>
  <c r="S34" i="27"/>
  <c r="S33"/>
  <c r="S30"/>
  <c r="D98" i="19" s="1"/>
  <c r="S29" i="27"/>
  <c r="D97" i="19" s="1"/>
  <c r="S28" i="27"/>
  <c r="D96" i="19" s="1"/>
  <c r="S27" i="27"/>
  <c r="D95" i="19" s="1"/>
  <c r="S26" i="27"/>
  <c r="D94" i="19" s="1"/>
  <c r="S25" i="27"/>
  <c r="D93" i="19" s="1"/>
  <c r="S24" i="27"/>
  <c r="D92" i="19" s="1"/>
  <c r="S23" i="27"/>
  <c r="D91" i="19" s="1"/>
  <c r="S22" i="27"/>
  <c r="D90" i="19" s="1"/>
  <c r="S21" i="27"/>
  <c r="D89" i="19" s="1"/>
  <c r="S20" i="27"/>
  <c r="D88" i="19" s="1"/>
  <c r="S19" i="27"/>
  <c r="D87" i="19" s="1"/>
  <c r="S16" i="27"/>
  <c r="C98" i="19" s="1"/>
  <c r="N98" s="1"/>
  <c r="S15" i="27"/>
  <c r="C97" i="19" s="1"/>
  <c r="N97" s="1"/>
  <c r="S14" i="27"/>
  <c r="C96" i="19" s="1"/>
  <c r="N96" s="1"/>
  <c r="S13" i="27"/>
  <c r="C95" i="19" s="1"/>
  <c r="N95" s="1"/>
  <c r="S12" i="27"/>
  <c r="C94" i="19" s="1"/>
  <c r="N94" s="1"/>
  <c r="S11" i="27"/>
  <c r="C93" i="19" s="1"/>
  <c r="N93" s="1"/>
  <c r="S10" i="27"/>
  <c r="C92" i="19" s="1"/>
  <c r="N92" s="1"/>
  <c r="S9" i="27"/>
  <c r="C91" i="19" s="1"/>
  <c r="N91" s="1"/>
  <c r="S8" i="27"/>
  <c r="C90" i="19" s="1"/>
  <c r="N90" s="1"/>
  <c r="S7" i="27"/>
  <c r="S6"/>
  <c r="C88" i="19" s="1"/>
  <c r="N88" s="1"/>
  <c r="S5" i="27"/>
  <c r="C87" i="19" s="1"/>
  <c r="R34" i="27"/>
  <c r="R33"/>
  <c r="R30"/>
  <c r="D86" i="19" s="1"/>
  <c r="R29" i="27"/>
  <c r="D85" i="19" s="1"/>
  <c r="R28" i="27"/>
  <c r="D84" i="19" s="1"/>
  <c r="R27" i="27"/>
  <c r="D83" i="19" s="1"/>
  <c r="R26" i="27"/>
  <c r="D82" i="19" s="1"/>
  <c r="R25" i="27"/>
  <c r="D81" i="19" s="1"/>
  <c r="R24" i="27"/>
  <c r="D80" i="19" s="1"/>
  <c r="R23" i="27"/>
  <c r="D79" i="19" s="1"/>
  <c r="R22" i="27"/>
  <c r="D78" i="19" s="1"/>
  <c r="R21" i="27"/>
  <c r="R20"/>
  <c r="D76" i="19" s="1"/>
  <c r="R19" i="27"/>
  <c r="D75" i="19" s="1"/>
  <c r="R16" i="27"/>
  <c r="C86" i="19" s="1"/>
  <c r="N86" s="1"/>
  <c r="R15" i="27"/>
  <c r="C85" i="19" s="1"/>
  <c r="N85" s="1"/>
  <c r="R14" i="27"/>
  <c r="C84" i="19" s="1"/>
  <c r="N84" s="1"/>
  <c r="R13" i="27"/>
  <c r="C83" i="19" s="1"/>
  <c r="N83" s="1"/>
  <c r="R12" i="27"/>
  <c r="C82" i="19" s="1"/>
  <c r="N82" s="1"/>
  <c r="R11" i="27"/>
  <c r="C81" i="19" s="1"/>
  <c r="N81" s="1"/>
  <c r="R10" i="27"/>
  <c r="C80" i="19" s="1"/>
  <c r="N80" s="1"/>
  <c r="R9" i="27"/>
  <c r="C79" i="19" s="1"/>
  <c r="N79" s="1"/>
  <c r="R8" i="27"/>
  <c r="C78" i="19" s="1"/>
  <c r="N78" s="1"/>
  <c r="R7" i="27"/>
  <c r="C77" i="19" s="1"/>
  <c r="R6" i="27"/>
  <c r="C76" i="19" s="1"/>
  <c r="N76" s="1"/>
  <c r="R5" i="27"/>
  <c r="C75" i="19" s="1"/>
  <c r="N75" s="1"/>
  <c r="Q34" i="27"/>
  <c r="Q33"/>
  <c r="Q30"/>
  <c r="D74" i="19" s="1"/>
  <c r="Q29" i="27"/>
  <c r="D73" i="19" s="1"/>
  <c r="Q28" i="27"/>
  <c r="D72" i="19" s="1"/>
  <c r="Q27" i="27"/>
  <c r="D71" i="19" s="1"/>
  <c r="Q26" i="27"/>
  <c r="D70" i="19" s="1"/>
  <c r="Q25" i="27"/>
  <c r="D69" i="19" s="1"/>
  <c r="Q24" i="27"/>
  <c r="D68" i="19" s="1"/>
  <c r="Q23" i="27"/>
  <c r="D67" i="19" s="1"/>
  <c r="Q22" i="27"/>
  <c r="D66" i="19" s="1"/>
  <c r="Q21" i="27"/>
  <c r="D65" i="19" s="1"/>
  <c r="Q20" i="27"/>
  <c r="D64" i="19" s="1"/>
  <c r="Q19" i="27"/>
  <c r="D63" i="19" s="1"/>
  <c r="Q16" i="27"/>
  <c r="C74" i="19" s="1"/>
  <c r="N74" s="1"/>
  <c r="Q15" i="27"/>
  <c r="C73" i="19" s="1"/>
  <c r="N73" s="1"/>
  <c r="Q14" i="27"/>
  <c r="C72" i="19" s="1"/>
  <c r="N72" s="1"/>
  <c r="Q13" i="27"/>
  <c r="C71" i="19" s="1"/>
  <c r="N71" s="1"/>
  <c r="Q12" i="27"/>
  <c r="C70" i="19" s="1"/>
  <c r="N70" s="1"/>
  <c r="Q11" i="27"/>
  <c r="C69" i="19" s="1"/>
  <c r="N69" s="1"/>
  <c r="Q10" i="27"/>
  <c r="C68" i="19" s="1"/>
  <c r="N68" s="1"/>
  <c r="Q9" i="27"/>
  <c r="C67" i="19" s="1"/>
  <c r="N67" s="1"/>
  <c r="Q8" i="27"/>
  <c r="C66" i="19" s="1"/>
  <c r="N66" s="1"/>
  <c r="Q7" i="27"/>
  <c r="Q6"/>
  <c r="C64" i="19" s="1"/>
  <c r="N64" s="1"/>
  <c r="Q5" i="27"/>
  <c r="C63" i="19" s="1"/>
  <c r="N63" s="1"/>
  <c r="P34" i="27"/>
  <c r="P33"/>
  <c r="P30"/>
  <c r="D62" i="19" s="1"/>
  <c r="P29" i="27"/>
  <c r="D61" i="19" s="1"/>
  <c r="P28" i="27"/>
  <c r="D60" i="19" s="1"/>
  <c r="P27" i="27"/>
  <c r="D59" i="19" s="1"/>
  <c r="P26" i="27"/>
  <c r="D58" i="19" s="1"/>
  <c r="P25" i="27"/>
  <c r="D57" i="19" s="1"/>
  <c r="P24" i="27"/>
  <c r="D56" i="19" s="1"/>
  <c r="P23" i="27"/>
  <c r="D55" i="19" s="1"/>
  <c r="P22" i="27"/>
  <c r="D54" i="19" s="1"/>
  <c r="P21" i="27"/>
  <c r="P20"/>
  <c r="D52" i="19" s="1"/>
  <c r="P19" i="27"/>
  <c r="D51" i="19" s="1"/>
  <c r="P16" i="27"/>
  <c r="C62" i="19" s="1"/>
  <c r="N62" s="1"/>
  <c r="P15" i="27"/>
  <c r="C61" i="19" s="1"/>
  <c r="N61" s="1"/>
  <c r="P14" i="27"/>
  <c r="C60" i="19" s="1"/>
  <c r="N60" s="1"/>
  <c r="P13" i="27"/>
  <c r="C59" i="19" s="1"/>
  <c r="N59" s="1"/>
  <c r="P12" i="27"/>
  <c r="C58" i="19" s="1"/>
  <c r="N58" s="1"/>
  <c r="P11" i="27"/>
  <c r="C57" i="19" s="1"/>
  <c r="N57" s="1"/>
  <c r="P10" i="27"/>
  <c r="C56" i="19" s="1"/>
  <c r="N56" s="1"/>
  <c r="P9" i="27"/>
  <c r="C55" i="19" s="1"/>
  <c r="N55" s="1"/>
  <c r="P8" i="27"/>
  <c r="C54" i="19" s="1"/>
  <c r="N54" s="1"/>
  <c r="P7" i="27"/>
  <c r="P6"/>
  <c r="C52" i="19" s="1"/>
  <c r="N52" s="1"/>
  <c r="P5" i="27"/>
  <c r="C51" i="19" s="1"/>
  <c r="N51" s="1"/>
  <c r="O34" i="27"/>
  <c r="O33"/>
  <c r="O30"/>
  <c r="D50" i="19" s="1"/>
  <c r="O29" i="27"/>
  <c r="D49" i="19" s="1"/>
  <c r="O28" i="27"/>
  <c r="D48" i="19" s="1"/>
  <c r="O27" i="27"/>
  <c r="D47" i="19" s="1"/>
  <c r="O26" i="27"/>
  <c r="D46" i="19" s="1"/>
  <c r="O25" i="27"/>
  <c r="D45" i="19" s="1"/>
  <c r="O24" i="27"/>
  <c r="D44" i="19" s="1"/>
  <c r="O23" i="27"/>
  <c r="D43" i="19" s="1"/>
  <c r="O22" i="27"/>
  <c r="D42" i="19" s="1"/>
  <c r="O21" i="27"/>
  <c r="D41" i="19" s="1"/>
  <c r="O20" i="27"/>
  <c r="D40" i="19" s="1"/>
  <c r="O19" i="27"/>
  <c r="D39" i="19" s="1"/>
  <c r="O16" i="27"/>
  <c r="C50" i="19" s="1"/>
  <c r="N50" s="1"/>
  <c r="O15" i="27"/>
  <c r="C49" i="19" s="1"/>
  <c r="N49" s="1"/>
  <c r="O14" i="27"/>
  <c r="C48" i="19" s="1"/>
  <c r="N48" s="1"/>
  <c r="O13" i="27"/>
  <c r="C47" i="19" s="1"/>
  <c r="N47" s="1"/>
  <c r="O12" i="27"/>
  <c r="C46" i="19" s="1"/>
  <c r="N46" s="1"/>
  <c r="O11" i="27"/>
  <c r="C45" i="19" s="1"/>
  <c r="N45" s="1"/>
  <c r="O10" i="27"/>
  <c r="C44" i="19" s="1"/>
  <c r="N44" s="1"/>
  <c r="O9" i="27"/>
  <c r="C43" i="19" s="1"/>
  <c r="N43" s="1"/>
  <c r="O8" i="27"/>
  <c r="C42" i="19" s="1"/>
  <c r="N42" s="1"/>
  <c r="O7" i="27"/>
  <c r="C41" i="19" s="1"/>
  <c r="N41" s="1"/>
  <c r="O6" i="27"/>
  <c r="C40" i="19" s="1"/>
  <c r="N40" s="1"/>
  <c r="O5" i="27"/>
  <c r="C39" i="19" s="1"/>
  <c r="N39" s="1"/>
  <c r="N34" i="27"/>
  <c r="N33"/>
  <c r="N30"/>
  <c r="D38" i="19" s="1"/>
  <c r="N29" i="27"/>
  <c r="D37" i="19" s="1"/>
  <c r="N28" i="27"/>
  <c r="D36" i="19" s="1"/>
  <c r="N27" i="27"/>
  <c r="D35" i="19" s="1"/>
  <c r="N26" i="27"/>
  <c r="D34" i="19" s="1"/>
  <c r="N25" i="27"/>
  <c r="D33" i="19" s="1"/>
  <c r="N24" i="27"/>
  <c r="D32" i="19" s="1"/>
  <c r="N23" i="27"/>
  <c r="D31" i="19" s="1"/>
  <c r="N22" i="27"/>
  <c r="D30" i="19" s="1"/>
  <c r="N21" i="27"/>
  <c r="D29" i="19" s="1"/>
  <c r="N20" i="27"/>
  <c r="D28" i="19" s="1"/>
  <c r="N19" i="27"/>
  <c r="N16"/>
  <c r="C38" i="19" s="1"/>
  <c r="N38" s="1"/>
  <c r="N15" i="27"/>
  <c r="C37" i="19" s="1"/>
  <c r="N37" s="1"/>
  <c r="N14" i="27"/>
  <c r="C36" i="19" s="1"/>
  <c r="N36" s="1"/>
  <c r="N13" i="27"/>
  <c r="C35" i="19" s="1"/>
  <c r="N35" s="1"/>
  <c r="N12" i="27"/>
  <c r="C34" i="19" s="1"/>
  <c r="N34" s="1"/>
  <c r="N11" i="27"/>
  <c r="C33" i="19" s="1"/>
  <c r="N33" s="1"/>
  <c r="N10" i="27"/>
  <c r="C32" i="19" s="1"/>
  <c r="N32" s="1"/>
  <c r="N9" i="27"/>
  <c r="C31" i="19" s="1"/>
  <c r="N31" s="1"/>
  <c r="N8" i="27"/>
  <c r="C30" i="19" s="1"/>
  <c r="N30" s="1"/>
  <c r="N7" i="27"/>
  <c r="C29" i="19" s="1"/>
  <c r="N29" s="1"/>
  <c r="N6" i="27"/>
  <c r="C28" i="19" s="1"/>
  <c r="N28" s="1"/>
  <c r="N5" i="27"/>
  <c r="M30"/>
  <c r="D26" i="19" s="1"/>
  <c r="M29" i="27"/>
  <c r="D25" i="19" s="1"/>
  <c r="M28" i="27"/>
  <c r="D24" i="19" s="1"/>
  <c r="M27" i="27"/>
  <c r="D23" i="19" s="1"/>
  <c r="M26" i="27"/>
  <c r="D22" i="19" s="1"/>
  <c r="M25" i="27"/>
  <c r="D21" i="19" s="1"/>
  <c r="M24" i="27"/>
  <c r="D20" i="19" s="1"/>
  <c r="M23" i="27"/>
  <c r="D19" i="19" s="1"/>
  <c r="M22" i="27"/>
  <c r="D18" i="19" s="1"/>
  <c r="M21" i="27"/>
  <c r="D17" i="19" s="1"/>
  <c r="M20" i="27"/>
  <c r="D16" i="19" s="1"/>
  <c r="M19" i="27"/>
  <c r="M16"/>
  <c r="C26" i="19" s="1"/>
  <c r="N26" s="1"/>
  <c r="M15" i="27"/>
  <c r="C25" i="19" s="1"/>
  <c r="N25" s="1"/>
  <c r="M14" i="27"/>
  <c r="C24" i="19" s="1"/>
  <c r="N24" s="1"/>
  <c r="M13" i="27"/>
  <c r="C23" i="19" s="1"/>
  <c r="N23" s="1"/>
  <c r="M12" i="27"/>
  <c r="C22" i="19" s="1"/>
  <c r="N22" s="1"/>
  <c r="M11" i="27"/>
  <c r="C21" i="19" s="1"/>
  <c r="N21" s="1"/>
  <c r="M10" i="27"/>
  <c r="C20" i="19" s="1"/>
  <c r="N20" s="1"/>
  <c r="M9" i="27"/>
  <c r="C19" i="19" s="1"/>
  <c r="N19" s="1"/>
  <c r="M8" i="27"/>
  <c r="C18" i="19" s="1"/>
  <c r="N18" s="1"/>
  <c r="M7" i="27"/>
  <c r="C17" i="19" s="1"/>
  <c r="N17" s="1"/>
  <c r="M6" i="27"/>
  <c r="C16" i="19" s="1"/>
  <c r="N16" s="1"/>
  <c r="M5" i="27"/>
  <c r="L30"/>
  <c r="D14" i="19" s="1"/>
  <c r="L29" i="27"/>
  <c r="D13" i="19" s="1"/>
  <c r="L28" i="27"/>
  <c r="D12" i="19" s="1"/>
  <c r="L27" i="27"/>
  <c r="D11" i="19" s="1"/>
  <c r="L26" i="27"/>
  <c r="D10" i="19" s="1"/>
  <c r="L25" i="27"/>
  <c r="D9" i="19" s="1"/>
  <c r="L24" i="27"/>
  <c r="D8" i="19" s="1"/>
  <c r="L23" i="27"/>
  <c r="D7" i="19" s="1"/>
  <c r="L22" i="27"/>
  <c r="D6" i="19" s="1"/>
  <c r="L21" i="27"/>
  <c r="D5" i="19" s="1"/>
  <c r="L20" i="27"/>
  <c r="D4" i="19" s="1"/>
  <c r="L19" i="27"/>
  <c r="L16"/>
  <c r="C14" i="19" s="1"/>
  <c r="N14" s="1"/>
  <c r="L15" i="27"/>
  <c r="C13" i="19" s="1"/>
  <c r="N13" s="1"/>
  <c r="L14" i="27"/>
  <c r="C12" i="19" s="1"/>
  <c r="N12" s="1"/>
  <c r="L13" i="27"/>
  <c r="C11" i="19" s="1"/>
  <c r="N11" s="1"/>
  <c r="L12" i="27"/>
  <c r="C10" i="19" s="1"/>
  <c r="N10" s="1"/>
  <c r="L11" i="27"/>
  <c r="C9" i="19" s="1"/>
  <c r="N9" s="1"/>
  <c r="L10" i="27"/>
  <c r="C8" i="19" s="1"/>
  <c r="N8" s="1"/>
  <c r="L9" i="27"/>
  <c r="C7" i="19" s="1"/>
  <c r="N7" s="1"/>
  <c r="L8" i="27"/>
  <c r="C6" i="19" s="1"/>
  <c r="N6" s="1"/>
  <c r="L7" i="27"/>
  <c r="C5" i="19" s="1"/>
  <c r="N5" s="1"/>
  <c r="L6" i="27"/>
  <c r="C4" i="19" s="1"/>
  <c r="N4" s="1"/>
  <c r="L5" i="27"/>
  <c r="K30"/>
  <c r="K29"/>
  <c r="K28"/>
  <c r="K27"/>
  <c r="K26"/>
  <c r="K25"/>
  <c r="K24"/>
  <c r="K23"/>
  <c r="K22"/>
  <c r="K21"/>
  <c r="K20"/>
  <c r="K19"/>
  <c r="K16"/>
  <c r="K15"/>
  <c r="K14"/>
  <c r="K13"/>
  <c r="K12"/>
  <c r="K11"/>
  <c r="K10"/>
  <c r="K9"/>
  <c r="K8"/>
  <c r="K7"/>
  <c r="K6"/>
  <c r="K5"/>
  <c r="N87" i="19" l="1"/>
  <c r="N119"/>
  <c r="O22"/>
  <c r="P22" s="1"/>
  <c r="O34"/>
  <c r="P34" s="1"/>
  <c r="L17" i="27"/>
  <c r="L31"/>
  <c r="M17"/>
  <c r="M31"/>
  <c r="N17"/>
  <c r="N35" s="1"/>
  <c r="N31"/>
  <c r="N36" s="1"/>
  <c r="U17"/>
  <c r="U35" s="1"/>
  <c r="R17"/>
  <c r="R35" s="1"/>
  <c r="O28" i="19"/>
  <c r="P28" s="1"/>
  <c r="O36"/>
  <c r="P36" s="1"/>
  <c r="O20"/>
  <c r="P20" s="1"/>
  <c r="D27"/>
  <c r="C15"/>
  <c r="D129"/>
  <c r="D141" s="1"/>
  <c r="D133"/>
  <c r="D145" s="1"/>
  <c r="C65"/>
  <c r="N65" s="1"/>
  <c r="Q17" i="27"/>
  <c r="Q35" s="1"/>
  <c r="C89" i="19"/>
  <c r="N89" s="1"/>
  <c r="S17" i="27"/>
  <c r="S35" s="1"/>
  <c r="C3" i="19"/>
  <c r="D15"/>
  <c r="D3"/>
  <c r="C27"/>
  <c r="O17" i="27"/>
  <c r="O35" s="1"/>
  <c r="O31"/>
  <c r="O36" s="1"/>
  <c r="P17"/>
  <c r="P35" s="1"/>
  <c r="P31"/>
  <c r="P36" s="1"/>
  <c r="Q31"/>
  <c r="Q36" s="1"/>
  <c r="R31"/>
  <c r="R36" s="1"/>
  <c r="S31"/>
  <c r="S36" s="1"/>
  <c r="T17"/>
  <c r="T35" s="1"/>
  <c r="T31"/>
  <c r="T36" s="1"/>
  <c r="U31"/>
  <c r="U36" s="1"/>
  <c r="D53" i="19"/>
  <c r="D77"/>
  <c r="N77" s="1"/>
  <c r="D101"/>
  <c r="K17" i="27"/>
  <c r="K31"/>
  <c r="C53" i="19"/>
  <c r="C101"/>
  <c r="N101" s="1"/>
  <c r="O11"/>
  <c r="P11" s="1"/>
  <c r="O13"/>
  <c r="P13" s="1"/>
  <c r="O9"/>
  <c r="P9" s="1"/>
  <c r="O5"/>
  <c r="P5" s="1"/>
  <c r="O26"/>
  <c r="P26" s="1"/>
  <c r="O18"/>
  <c r="P18" s="1"/>
  <c r="O38"/>
  <c r="P38" s="1"/>
  <c r="O30"/>
  <c r="P30" s="1"/>
  <c r="O8"/>
  <c r="P8" s="1"/>
  <c r="O25"/>
  <c r="P25" s="1"/>
  <c r="O21"/>
  <c r="P21" s="1"/>
  <c r="O17"/>
  <c r="P17" s="1"/>
  <c r="O37"/>
  <c r="P37" s="1"/>
  <c r="O33"/>
  <c r="P33" s="1"/>
  <c r="O7"/>
  <c r="P7" s="1"/>
  <c r="O14"/>
  <c r="P14" s="1"/>
  <c r="O10"/>
  <c r="P10" s="1"/>
  <c r="O6"/>
  <c r="P6" s="1"/>
  <c r="O23"/>
  <c r="P23" s="1"/>
  <c r="O19"/>
  <c r="P19" s="1"/>
  <c r="O35"/>
  <c r="P35" s="1"/>
  <c r="O31"/>
  <c r="P31" s="1"/>
  <c r="O24"/>
  <c r="P24" s="1"/>
  <c r="O16"/>
  <c r="P16" s="1"/>
  <c r="O32"/>
  <c r="P32" s="1"/>
  <c r="C132"/>
  <c r="O12"/>
  <c r="P12" s="1"/>
  <c r="C124"/>
  <c r="O4"/>
  <c r="P4" s="1"/>
  <c r="O29"/>
  <c r="P29" s="1"/>
  <c r="D132"/>
  <c r="D144" s="1"/>
  <c r="D128"/>
  <c r="D140" s="1"/>
  <c r="D124"/>
  <c r="D136" s="1"/>
  <c r="D131"/>
  <c r="D143" s="1"/>
  <c r="D127"/>
  <c r="D139" s="1"/>
  <c r="D134"/>
  <c r="D146" s="1"/>
  <c r="D130"/>
  <c r="D142" s="1"/>
  <c r="D126"/>
  <c r="D138" s="1"/>
  <c r="C128"/>
  <c r="C133"/>
  <c r="C129"/>
  <c r="C131"/>
  <c r="N131" s="1"/>
  <c r="C127"/>
  <c r="N127" s="1"/>
  <c r="C134"/>
  <c r="N134" s="1"/>
  <c r="C130"/>
  <c r="N130" s="1"/>
  <c r="C126"/>
  <c r="N126" s="1"/>
  <c r="B30" i="27"/>
  <c r="B29"/>
  <c r="B28"/>
  <c r="B27"/>
  <c r="B26"/>
  <c r="B25"/>
  <c r="B24"/>
  <c r="B23"/>
  <c r="B22"/>
  <c r="B21"/>
  <c r="B20"/>
  <c r="B19"/>
  <c r="B16"/>
  <c r="B15"/>
  <c r="B14"/>
  <c r="B13"/>
  <c r="B12"/>
  <c r="B11"/>
  <c r="B10"/>
  <c r="B9"/>
  <c r="B8"/>
  <c r="B7"/>
  <c r="B6"/>
  <c r="B5"/>
  <c r="N124" i="19" l="1"/>
  <c r="N133"/>
  <c r="N132"/>
  <c r="C123"/>
  <c r="N3"/>
  <c r="O3" s="1"/>
  <c r="P3" s="1"/>
  <c r="N128"/>
  <c r="N53"/>
  <c r="N27"/>
  <c r="O27" s="1"/>
  <c r="P27" s="1"/>
  <c r="N129"/>
  <c r="N15"/>
  <c r="O15" s="1"/>
  <c r="P15" s="1"/>
  <c r="D123"/>
  <c r="D135" s="1"/>
  <c r="C125"/>
  <c r="D125"/>
  <c r="D137" s="1"/>
  <c r="B17" i="27"/>
  <c r="B35" s="1"/>
  <c r="B31"/>
  <c r="B36" s="1"/>
  <c r="N125" i="19" l="1"/>
  <c r="N123"/>
  <c r="C43" i="30"/>
  <c r="C42"/>
  <c r="C41"/>
  <c r="C40"/>
  <c r="C39"/>
  <c r="C25"/>
  <c r="C24"/>
  <c r="C23"/>
  <c r="C22"/>
  <c r="C21"/>
  <c r="A4"/>
  <c r="A14" s="1"/>
  <c r="A23" s="1"/>
  <c r="A32" s="1"/>
  <c r="A41" s="1"/>
  <c r="A50" s="1"/>
  <c r="A59" s="1"/>
  <c r="A3"/>
  <c r="A13" s="1"/>
  <c r="A22" s="1"/>
  <c r="A31" s="1"/>
  <c r="A40" s="1"/>
  <c r="A49" s="1"/>
  <c r="A58" s="1"/>
  <c r="A2"/>
  <c r="A12" s="1"/>
  <c r="A21" s="1"/>
  <c r="A30" s="1"/>
  <c r="A39" s="1"/>
  <c r="A48" s="1"/>
  <c r="A57" s="1"/>
  <c r="C40" i="29"/>
  <c r="C41"/>
  <c r="C42"/>
  <c r="C43"/>
  <c r="C39"/>
  <c r="C22"/>
  <c r="C23"/>
  <c r="C24"/>
  <c r="C25"/>
  <c r="A4"/>
  <c r="A14" s="1"/>
  <c r="A23" s="1"/>
  <c r="A32" s="1"/>
  <c r="A41" s="1"/>
  <c r="A50" s="1"/>
  <c r="A59" s="1"/>
  <c r="A3"/>
  <c r="A13" s="1"/>
  <c r="A22" s="1"/>
  <c r="A31" s="1"/>
  <c r="A40" s="1"/>
  <c r="A49" s="1"/>
  <c r="A58" s="1"/>
  <c r="A2"/>
  <c r="A12" s="1"/>
  <c r="A21" s="1"/>
  <c r="A30" s="1"/>
  <c r="A39" s="1"/>
  <c r="A48" s="1"/>
  <c r="A57" s="1"/>
  <c r="K31" i="11"/>
  <c r="K26"/>
  <c r="K21"/>
  <c r="K17"/>
  <c r="K13"/>
  <c r="B17" i="18"/>
  <c r="B18"/>
  <c r="B19"/>
  <c r="B20"/>
  <c r="B21"/>
  <c r="B22"/>
  <c r="B23"/>
  <c r="B24"/>
  <c r="B25"/>
  <c r="B26"/>
  <c r="C8" i="23"/>
  <c r="L35" i="9"/>
  <c r="J35"/>
  <c r="I35"/>
  <c r="H35"/>
  <c r="G16"/>
  <c r="K8" i="11" s="1"/>
  <c r="A18" i="9"/>
  <c r="A37" s="1"/>
  <c r="B12" i="23"/>
  <c r="C25" i="17"/>
  <c r="D25"/>
  <c r="E25"/>
  <c r="F25"/>
  <c r="B25"/>
  <c r="B159" i="19"/>
  <c r="B16" i="9" s="1"/>
  <c r="B158" i="19"/>
  <c r="B157"/>
  <c r="B156"/>
  <c r="B155"/>
  <c r="B154"/>
  <c r="B153"/>
  <c r="B152"/>
  <c r="B151"/>
  <c r="B150"/>
  <c r="B28" i="18" l="1"/>
  <c r="K35" i="11"/>
  <c r="K40"/>
  <c r="B163" i="19"/>
  <c r="K4" i="11"/>
  <c r="F16" i="9"/>
  <c r="C21" i="29"/>
  <c r="W30" i="27"/>
  <c r="D181" i="19" s="1"/>
  <c r="W29" i="27"/>
  <c r="D180" i="19" s="1"/>
  <c r="W28" i="27"/>
  <c r="D179" i="19" s="1"/>
  <c r="W27" i="27"/>
  <c r="D178" i="19" s="1"/>
  <c r="W26" i="27"/>
  <c r="D177" i="19" s="1"/>
  <c r="W25" i="27"/>
  <c r="D176" i="19" s="1"/>
  <c r="W24" i="27"/>
  <c r="D175" i="19" s="1"/>
  <c r="W23" i="27"/>
  <c r="D174" i="19" s="1"/>
  <c r="W22" i="27"/>
  <c r="D173" i="19" s="1"/>
  <c r="W21" i="27"/>
  <c r="D172" i="19" s="1"/>
  <c r="W20" i="27"/>
  <c r="D171" i="19" s="1"/>
  <c r="W19" i="27"/>
  <c r="D170" i="19" s="1"/>
  <c r="W6" i="27"/>
  <c r="C171" i="19" s="1"/>
  <c r="W7" i="27"/>
  <c r="C172" i="19" s="1"/>
  <c r="N172" s="1"/>
  <c r="W8" i="27"/>
  <c r="C173" i="19" s="1"/>
  <c r="N173" s="1"/>
  <c r="W9" i="27"/>
  <c r="C174" i="19" s="1"/>
  <c r="N174" s="1"/>
  <c r="W10" i="27"/>
  <c r="C175" i="19" s="1"/>
  <c r="W11" i="27"/>
  <c r="C176" i="19" s="1"/>
  <c r="N176" s="1"/>
  <c r="W12" i="27"/>
  <c r="C177" i="19" s="1"/>
  <c r="N177" s="1"/>
  <c r="W13" i="27"/>
  <c r="C178" i="19" s="1"/>
  <c r="N178" s="1"/>
  <c r="W14" i="27"/>
  <c r="C179" i="19" s="1"/>
  <c r="W15" i="27"/>
  <c r="C180" i="19" s="1"/>
  <c r="N180" s="1"/>
  <c r="W16" i="27"/>
  <c r="C181" i="19" s="1"/>
  <c r="N181" s="1"/>
  <c r="W5" i="27"/>
  <c r="C170" i="19" s="1"/>
  <c r="N170" s="1"/>
  <c r="V29" i="27"/>
  <c r="V25"/>
  <c r="V21"/>
  <c r="V7"/>
  <c r="V11"/>
  <c r="V15"/>
  <c r="U18"/>
  <c r="V30"/>
  <c r="V28"/>
  <c r="V27"/>
  <c r="V24"/>
  <c r="V23"/>
  <c r="V22"/>
  <c r="V19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V16"/>
  <c r="V14"/>
  <c r="V13"/>
  <c r="V12"/>
  <c r="V10"/>
  <c r="V9"/>
  <c r="V8"/>
  <c r="V6"/>
  <c r="V5"/>
  <c r="N179" i="19" l="1"/>
  <c r="N175"/>
  <c r="N171"/>
  <c r="V17" i="27"/>
  <c r="V20"/>
  <c r="V26"/>
  <c r="C136" i="19"/>
  <c r="N136" s="1"/>
  <c r="C137"/>
  <c r="N137" s="1"/>
  <c r="C138"/>
  <c r="N138" s="1"/>
  <c r="C139"/>
  <c r="N139" s="1"/>
  <c r="C140"/>
  <c r="N140" s="1"/>
  <c r="C141"/>
  <c r="N141" s="1"/>
  <c r="C142"/>
  <c r="N142" s="1"/>
  <c r="C143"/>
  <c r="N143" s="1"/>
  <c r="C144"/>
  <c r="N144" s="1"/>
  <c r="C145"/>
  <c r="N145" s="1"/>
  <c r="C146"/>
  <c r="N146" s="1"/>
  <c r="C135"/>
  <c r="N135" s="1"/>
  <c r="D4" i="18"/>
  <c r="C41" i="11" s="1"/>
  <c r="P6" i="23"/>
  <c r="C3"/>
  <c r="B7" i="9"/>
  <c r="B13" i="11"/>
  <c r="G7" i="9"/>
  <c r="B40" i="11" s="1"/>
  <c r="B21"/>
  <c r="B8" i="9"/>
  <c r="C13" i="11"/>
  <c r="B9" i="9"/>
  <c r="D26" i="11"/>
  <c r="D31"/>
  <c r="B10" i="9"/>
  <c r="E13" i="11"/>
  <c r="E17"/>
  <c r="B11" i="9"/>
  <c r="F17" i="11"/>
  <c r="F31"/>
  <c r="B12" i="9"/>
  <c r="G13" i="11"/>
  <c r="B13" i="9"/>
  <c r="H17" i="11"/>
  <c r="H26"/>
  <c r="B14" i="9"/>
  <c r="I13" i="11"/>
  <c r="I17"/>
  <c r="I31"/>
  <c r="B15" i="9"/>
  <c r="J13" i="11"/>
  <c r="K14" i="23"/>
  <c r="E17" i="17"/>
  <c r="I29" i="9"/>
  <c r="E16" i="11"/>
  <c r="G16"/>
  <c r="E21" i="17"/>
  <c r="H12" i="11"/>
  <c r="H30"/>
  <c r="F23" i="17"/>
  <c r="F24"/>
  <c r="C21" i="11"/>
  <c r="E27"/>
  <c r="A29"/>
  <c r="H62" i="9"/>
  <c r="F2" i="17"/>
  <c r="D2" i="23"/>
  <c r="J4" i="11"/>
  <c r="A17" i="9"/>
  <c r="A36" s="1"/>
  <c r="I4" i="11"/>
  <c r="A16" i="9"/>
  <c r="A35" s="1"/>
  <c r="A7"/>
  <c r="A26" s="1"/>
  <c r="A8"/>
  <c r="A27" s="1"/>
  <c r="A9"/>
  <c r="A28" s="1"/>
  <c r="A10"/>
  <c r="A29" s="1"/>
  <c r="A11"/>
  <c r="A30" s="1"/>
  <c r="A12"/>
  <c r="A31" s="1"/>
  <c r="A13"/>
  <c r="A32" s="1"/>
  <c r="A14"/>
  <c r="A33" s="1"/>
  <c r="A15"/>
  <c r="A34" s="1"/>
  <c r="H4" i="11"/>
  <c r="A15"/>
  <c r="A11"/>
  <c r="C2" i="17"/>
  <c r="D2"/>
  <c r="B2" i="18" s="1"/>
  <c r="E2" i="17"/>
  <c r="B2"/>
  <c r="A24" i="11"/>
  <c r="A19"/>
  <c r="G4"/>
  <c r="F4"/>
  <c r="E4"/>
  <c r="D4"/>
  <c r="C4"/>
  <c r="B4"/>
  <c r="B17"/>
  <c r="H25"/>
  <c r="D27"/>
  <c r="D25"/>
  <c r="L33" i="9"/>
  <c r="H31"/>
  <c r="B22" i="11"/>
  <c r="F26"/>
  <c r="E31"/>
  <c r="J16"/>
  <c r="C20" i="17"/>
  <c r="G21" i="11"/>
  <c r="H13"/>
  <c r="E23" i="17"/>
  <c r="I30" i="9"/>
  <c r="F16" i="11"/>
  <c r="B31"/>
  <c r="C21" i="17"/>
  <c r="I12" i="11"/>
  <c r="H27" i="9"/>
  <c r="D21" i="11"/>
  <c r="C22"/>
  <c r="J27"/>
  <c r="C12"/>
  <c r="I25"/>
  <c r="G22"/>
  <c r="F21"/>
  <c r="J12"/>
  <c r="F20"/>
  <c r="H20"/>
  <c r="J30" i="9"/>
  <c r="H34"/>
  <c r="H47" s="1"/>
  <c r="H31" i="11"/>
  <c r="H21"/>
  <c r="J21"/>
  <c r="I26" i="9"/>
  <c r="B16" i="11"/>
  <c r="F22" i="17"/>
  <c r="L32" i="9"/>
  <c r="G12" i="11"/>
  <c r="B22" i="17"/>
  <c r="I34" i="9"/>
  <c r="I47" s="1"/>
  <c r="J17" i="11"/>
  <c r="H33" i="9"/>
  <c r="G14"/>
  <c r="I8" i="11" s="1"/>
  <c r="G13" i="9"/>
  <c r="H40" i="11" s="1"/>
  <c r="B26"/>
  <c r="C5" i="23"/>
  <c r="E19" i="17"/>
  <c r="G27" i="11"/>
  <c r="E22"/>
  <c r="F22"/>
  <c r="B17" i="17"/>
  <c r="I30" i="11"/>
  <c r="G9" i="17"/>
  <c r="H39" i="11" s="1"/>
  <c r="F27"/>
  <c r="G20"/>
  <c r="C16"/>
  <c r="J32" i="9"/>
  <c r="F30" i="11"/>
  <c r="N6" i="23"/>
  <c r="D7" i="18"/>
  <c r="F41" i="11" s="1"/>
  <c r="D17"/>
  <c r="C20"/>
  <c r="J27" i="9"/>
  <c r="D17" i="17"/>
  <c r="C31" i="11"/>
  <c r="L27" i="9"/>
  <c r="I27" i="11"/>
  <c r="F20" i="17"/>
  <c r="L30" i="9"/>
  <c r="D22" i="11"/>
  <c r="D36" s="1"/>
  <c r="J30"/>
  <c r="I20"/>
  <c r="D23" i="17"/>
  <c r="C22"/>
  <c r="I32" i="9"/>
  <c r="H16" i="11"/>
  <c r="B25"/>
  <c r="D11" i="18"/>
  <c r="J41" i="11" s="1"/>
  <c r="J26" i="9"/>
  <c r="E30" i="11"/>
  <c r="L29" i="9"/>
  <c r="C30" i="11"/>
  <c r="F12"/>
  <c r="G15" i="9"/>
  <c r="J26" i="11"/>
  <c r="G31"/>
  <c r="L31" i="9"/>
  <c r="B12" i="11"/>
  <c r="G3" i="17"/>
  <c r="B39" i="11" s="1"/>
  <c r="H26" i="9"/>
  <c r="E24" i="17"/>
  <c r="J25" i="11"/>
  <c r="F25"/>
  <c r="E20" i="17"/>
  <c r="B20"/>
  <c r="G7"/>
  <c r="F39" i="11" s="1"/>
  <c r="E25"/>
  <c r="E12"/>
  <c r="G6" i="17"/>
  <c r="E39" i="11" s="1"/>
  <c r="H29" i="9"/>
  <c r="D20" i="11"/>
  <c r="J28" i="9"/>
  <c r="D19" i="17"/>
  <c r="D18"/>
  <c r="G4"/>
  <c r="C39" i="11" s="1"/>
  <c r="J31"/>
  <c r="L34" i="9"/>
  <c r="L47" s="1"/>
  <c r="G26" i="11"/>
  <c r="G12" i="9"/>
  <c r="B21" i="17"/>
  <c r="D3" i="18"/>
  <c r="B41" i="11" s="1"/>
  <c r="B27"/>
  <c r="J22"/>
  <c r="D9" i="18"/>
  <c r="H41" i="11" s="1"/>
  <c r="H22"/>
  <c r="D8" i="18"/>
  <c r="G41" i="11" s="1"/>
  <c r="D5" i="18"/>
  <c r="D41" i="11" s="1"/>
  <c r="H32" i="9"/>
  <c r="B23" i="17"/>
  <c r="G25" i="11"/>
  <c r="E22" i="17"/>
  <c r="H27" i="11"/>
  <c r="G30"/>
  <c r="F21" i="17"/>
  <c r="I26" i="11"/>
  <c r="B20"/>
  <c r="F19" i="17"/>
  <c r="F18"/>
  <c r="C25" i="11"/>
  <c r="E18" i="17"/>
  <c r="G11" i="9"/>
  <c r="F40" i="11" s="1"/>
  <c r="F13"/>
  <c r="H30" i="9"/>
  <c r="E26" i="11"/>
  <c r="D13"/>
  <c r="G9" i="9"/>
  <c r="D8" i="11" s="1"/>
  <c r="H28" i="9"/>
  <c r="C26" i="11"/>
  <c r="I27" i="9"/>
  <c r="G8"/>
  <c r="C40" i="11" s="1"/>
  <c r="C17"/>
  <c r="B19" i="17"/>
  <c r="G5"/>
  <c r="D39" i="11" s="1"/>
  <c r="D12"/>
  <c r="B18" i="17"/>
  <c r="B30" i="11"/>
  <c r="L26" i="9"/>
  <c r="F17" i="17"/>
  <c r="J34" i="9"/>
  <c r="J47" s="1"/>
  <c r="D24" i="17"/>
  <c r="J20" i="11"/>
  <c r="J31" i="9"/>
  <c r="D22" i="17"/>
  <c r="D21"/>
  <c r="G8"/>
  <c r="G39" i="11" s="1"/>
  <c r="D30"/>
  <c r="L28" i="9"/>
  <c r="I16" i="11"/>
  <c r="C24" i="17"/>
  <c r="I33" i="9"/>
  <c r="G10" i="17"/>
  <c r="I39" i="11" s="1"/>
  <c r="C23" i="17"/>
  <c r="J29" i="9"/>
  <c r="E21" i="11"/>
  <c r="I22"/>
  <c r="C27"/>
  <c r="J33" i="9"/>
  <c r="I21" i="11"/>
  <c r="G17"/>
  <c r="I31" i="9"/>
  <c r="E20" i="11"/>
  <c r="D20" i="17"/>
  <c r="C19"/>
  <c r="I28" i="9"/>
  <c r="D16" i="11"/>
  <c r="C18" i="17"/>
  <c r="C17"/>
  <c r="M6" i="23"/>
  <c r="M10" s="1"/>
  <c r="C7"/>
  <c r="B24" i="17"/>
  <c r="G11"/>
  <c r="J39" i="11" s="1"/>
  <c r="G10" i="9"/>
  <c r="E40" i="11" s="1"/>
  <c r="D6" i="18"/>
  <c r="E41" i="11" s="1"/>
  <c r="D10" i="18"/>
  <c r="I41" i="11" s="1"/>
  <c r="D35" l="1"/>
  <c r="B35"/>
  <c r="I36"/>
  <c r="B36"/>
  <c r="B46" s="1"/>
  <c r="A5" i="29"/>
  <c r="A15" s="1"/>
  <c r="C2" i="18"/>
  <c r="E34" i="11"/>
  <c r="C34"/>
  <c r="C35"/>
  <c r="C45" s="1"/>
  <c r="D34"/>
  <c r="D44" s="1"/>
  <c r="B34"/>
  <c r="C36"/>
  <c r="C46" s="1"/>
  <c r="J35"/>
  <c r="F34"/>
  <c r="G34"/>
  <c r="G44" s="1"/>
  <c r="I34"/>
  <c r="I35"/>
  <c r="F35"/>
  <c r="F45" s="1"/>
  <c r="F36"/>
  <c r="F46" s="1"/>
  <c r="E36"/>
  <c r="J34"/>
  <c r="E35"/>
  <c r="E45" s="1"/>
  <c r="H34"/>
  <c r="H36"/>
  <c r="J36"/>
  <c r="G36"/>
  <c r="G46" s="1"/>
  <c r="H35"/>
  <c r="G35"/>
  <c r="E2" i="23"/>
  <c r="F29" i="17"/>
  <c r="D3" i="23"/>
  <c r="E3" s="1"/>
  <c r="C16" s="1"/>
  <c r="C17" s="1"/>
  <c r="E29" i="17"/>
  <c r="B29"/>
  <c r="C29"/>
  <c r="D29"/>
  <c r="A5" i="30"/>
  <c r="A15" s="1"/>
  <c r="A24" s="1"/>
  <c r="A33" s="1"/>
  <c r="A42" s="1"/>
  <c r="A51" s="1"/>
  <c r="A60" s="1"/>
  <c r="A24" i="29"/>
  <c r="A33" s="1"/>
  <c r="A42" s="1"/>
  <c r="A6"/>
  <c r="A16" s="1"/>
  <c r="A25" s="1"/>
  <c r="A34" s="1"/>
  <c r="A43" s="1"/>
  <c r="A52" s="1"/>
  <c r="A61" s="1"/>
  <c r="A6" i="30"/>
  <c r="A16" s="1"/>
  <c r="A25" s="1"/>
  <c r="A34" s="1"/>
  <c r="A43" s="1"/>
  <c r="A52" s="1"/>
  <c r="A61" s="1"/>
  <c r="F8" i="11"/>
  <c r="L41" i="9"/>
  <c r="B8" i="11"/>
  <c r="I43" i="9"/>
  <c r="C8" i="11"/>
  <c r="H8"/>
  <c r="I62" i="9"/>
  <c r="E8" i="11"/>
  <c r="J42" i="9"/>
  <c r="F10"/>
  <c r="D46" i="11"/>
  <c r="E46"/>
  <c r="F14" i="9"/>
  <c r="H46"/>
  <c r="I40" i="11"/>
  <c r="J46" i="9"/>
  <c r="I41"/>
  <c r="F13"/>
  <c r="F8"/>
  <c r="G40" i="11"/>
  <c r="G8"/>
  <c r="B45"/>
  <c r="J8"/>
  <c r="J40"/>
  <c r="F12" i="9"/>
  <c r="F11"/>
  <c r="D40" i="11"/>
  <c r="I44" i="9"/>
  <c r="F15"/>
  <c r="F9"/>
  <c r="F7"/>
  <c r="J41"/>
  <c r="I39"/>
  <c r="H40"/>
  <c r="J40"/>
  <c r="O6" i="23"/>
  <c r="Q6" s="1"/>
  <c r="C4"/>
  <c r="C6"/>
  <c r="M16"/>
  <c r="Q12"/>
  <c r="L40" i="9"/>
  <c r="I40"/>
  <c r="J45"/>
  <c r="H43"/>
  <c r="I45"/>
  <c r="E44" i="11"/>
  <c r="J43" i="9"/>
  <c r="J44"/>
  <c r="H39"/>
  <c r="L45"/>
  <c r="L46"/>
  <c r="L39"/>
  <c r="H42"/>
  <c r="J39"/>
  <c r="I42"/>
  <c r="H45"/>
  <c r="L42"/>
  <c r="B44" i="11"/>
  <c r="H41" i="9"/>
  <c r="H44"/>
  <c r="L44"/>
  <c r="L43"/>
  <c r="C44" i="11"/>
  <c r="F44"/>
  <c r="I46" i="9"/>
  <c r="N152" i="19"/>
  <c r="W31" i="27"/>
  <c r="W17"/>
  <c r="V31"/>
  <c r="N150" i="19"/>
  <c r="N151"/>
  <c r="O151" l="1"/>
  <c r="C7" i="9"/>
  <c r="D7" s="1"/>
  <c r="E7" s="1"/>
  <c r="A51" i="29"/>
  <c r="A60" s="1"/>
  <c r="O13" i="23"/>
  <c r="C9"/>
  <c r="N7"/>
  <c r="O39" i="19"/>
  <c r="P39" s="1"/>
  <c r="O40"/>
  <c r="P40" s="1"/>
  <c r="C18" i="23"/>
  <c r="O41" i="19" s="1"/>
  <c r="P41" s="1"/>
  <c r="B5" i="11"/>
  <c r="B6" s="1"/>
  <c r="I46"/>
  <c r="H45"/>
  <c r="I45"/>
  <c r="I51" i="9"/>
  <c r="I49" s="1"/>
  <c r="I36" s="1"/>
  <c r="L51"/>
  <c r="L49" s="1"/>
  <c r="L36" s="1"/>
  <c r="J51"/>
  <c r="H51"/>
  <c r="F21"/>
  <c r="G45" i="11"/>
  <c r="H46"/>
  <c r="J45"/>
  <c r="D45"/>
  <c r="J46"/>
  <c r="O150" i="19"/>
  <c r="P150" s="1"/>
  <c r="D5" i="11"/>
  <c r="O152" i="19"/>
  <c r="P152" s="1"/>
  <c r="C19" i="23"/>
  <c r="N10"/>
  <c r="J44" i="11"/>
  <c r="H44"/>
  <c r="C27" i="17"/>
  <c r="C13" s="1"/>
  <c r="C14" s="1"/>
  <c r="M16" i="11" s="1"/>
  <c r="B27" i="17"/>
  <c r="B13" s="1"/>
  <c r="B14" s="1"/>
  <c r="E27"/>
  <c r="E13" s="1"/>
  <c r="D27"/>
  <c r="D13" s="1"/>
  <c r="D14" s="1"/>
  <c r="M20" i="11" s="1"/>
  <c r="I44"/>
  <c r="F27" i="17"/>
  <c r="F13" s="1"/>
  <c r="F14" s="1"/>
  <c r="M30" i="11" s="1"/>
  <c r="C9" i="9"/>
  <c r="D9" s="1"/>
  <c r="E9" s="1"/>
  <c r="C5" i="11"/>
  <c r="P151" i="19"/>
  <c r="C8" i="9"/>
  <c r="D8" s="1"/>
  <c r="E8" s="1"/>
  <c r="O7" i="23" l="1"/>
  <c r="C10"/>
  <c r="E14" i="17"/>
  <c r="K54" i="9"/>
  <c r="M12" i="11"/>
  <c r="G14" i="17"/>
  <c r="M39" i="11" s="1"/>
  <c r="D6"/>
  <c r="L37" i="9"/>
  <c r="L55" s="1"/>
  <c r="L54"/>
  <c r="I37"/>
  <c r="I55" s="1"/>
  <c r="I54"/>
  <c r="N16" i="23"/>
  <c r="O42" i="19"/>
  <c r="P42" s="1"/>
  <c r="C20" i="23"/>
  <c r="K25" i="11"/>
  <c r="L25"/>
  <c r="K20"/>
  <c r="L20"/>
  <c r="J49" i="9"/>
  <c r="J36" s="1"/>
  <c r="H49"/>
  <c r="K30" i="11"/>
  <c r="L30"/>
  <c r="K12"/>
  <c r="G12" i="17"/>
  <c r="K39" i="11" s="1"/>
  <c r="K16"/>
  <c r="L16"/>
  <c r="C6"/>
  <c r="K34" l="1"/>
  <c r="K63" i="9"/>
  <c r="K71"/>
  <c r="C11" i="23"/>
  <c r="C12" s="1"/>
  <c r="P7"/>
  <c r="Q7" s="1"/>
  <c r="O8" s="1"/>
  <c r="P8" s="1"/>
  <c r="P9" s="1"/>
  <c r="Q9" s="1"/>
  <c r="M25" i="11"/>
  <c r="K55" i="9"/>
  <c r="I64"/>
  <c r="L64"/>
  <c r="J37"/>
  <c r="J55" s="1"/>
  <c r="J54"/>
  <c r="C21" i="23"/>
  <c r="O43" i="19"/>
  <c r="P43" s="1"/>
  <c r="G13" i="17"/>
  <c r="L39" i="11" s="1"/>
  <c r="L12"/>
  <c r="L34" s="1"/>
  <c r="L63" i="9"/>
  <c r="H36"/>
  <c r="K64" l="1"/>
  <c r="K72"/>
  <c r="K76" s="1"/>
  <c r="K77" s="1"/>
  <c r="M34" i="11"/>
  <c r="M44" s="1"/>
  <c r="O14" i="23"/>
  <c r="G71" i="9" s="1"/>
  <c r="O10" i="23"/>
  <c r="J64" i="9"/>
  <c r="H54"/>
  <c r="H37"/>
  <c r="H55" s="1"/>
  <c r="P10" i="23"/>
  <c r="C22"/>
  <c r="O44" i="19"/>
  <c r="P44" s="1"/>
  <c r="Q13" i="23"/>
  <c r="Q8"/>
  <c r="K44" i="11"/>
  <c r="I63" i="9"/>
  <c r="J63"/>
  <c r="P14" i="23" l="1"/>
  <c r="P15" s="1"/>
  <c r="Q15" s="1"/>
  <c r="Q10"/>
  <c r="O16"/>
  <c r="H64" i="9"/>
  <c r="M64" s="1"/>
  <c r="H63"/>
  <c r="M63" s="1"/>
  <c r="G54"/>
  <c r="H71" s="1"/>
  <c r="G55"/>
  <c r="O45" i="19"/>
  <c r="P45" s="1"/>
  <c r="C23" i="23"/>
  <c r="L44" i="11"/>
  <c r="L71" i="9" l="1"/>
  <c r="I71"/>
  <c r="J71"/>
  <c r="Q14" i="23"/>
  <c r="G72" i="9"/>
  <c r="P16" i="23"/>
  <c r="O46" i="19"/>
  <c r="P46" s="1"/>
  <c r="C24" i="23"/>
  <c r="Q16" l="1"/>
  <c r="M76" i="9"/>
  <c r="L76" s="1"/>
  <c r="J72"/>
  <c r="I72"/>
  <c r="H72"/>
  <c r="L72"/>
  <c r="M71"/>
  <c r="C25" i="23"/>
  <c r="O47" i="19"/>
  <c r="P47" s="1"/>
  <c r="M72" i="9" l="1"/>
  <c r="C26" i="23"/>
  <c r="O48" i="19"/>
  <c r="P48" s="1"/>
  <c r="C27" i="23" l="1"/>
  <c r="O49" i="19"/>
  <c r="P49" s="1"/>
  <c r="E27" i="23" l="1"/>
  <c r="D4" s="1"/>
  <c r="E4" s="1"/>
  <c r="C28" s="1"/>
  <c r="D27"/>
  <c r="G3" s="1"/>
  <c r="H3" l="1"/>
  <c r="O50" i="19"/>
  <c r="P50" s="1"/>
  <c r="C29" i="23"/>
  <c r="O51" i="19"/>
  <c r="P51" s="1"/>
  <c r="N153" l="1"/>
  <c r="C30" i="23"/>
  <c r="O52" i="19"/>
  <c r="P52" s="1"/>
  <c r="O153" l="1"/>
  <c r="P153" s="1"/>
  <c r="C10" i="9"/>
  <c r="D10" s="1"/>
  <c r="E10" s="1"/>
  <c r="E5" i="11"/>
  <c r="O53" i="19"/>
  <c r="P53" s="1"/>
  <c r="C31" i="23"/>
  <c r="E6" i="11" l="1"/>
  <c r="O54" i="19"/>
  <c r="P54" s="1"/>
  <c r="C32" i="23"/>
  <c r="O55" i="19" l="1"/>
  <c r="P55" s="1"/>
  <c r="C33" i="23"/>
  <c r="C34" l="1"/>
  <c r="O56" i="19"/>
  <c r="P56" s="1"/>
  <c r="O57" l="1"/>
  <c r="P57" s="1"/>
  <c r="C35" i="23"/>
  <c r="O58" i="19" l="1"/>
  <c r="P58" s="1"/>
  <c r="C36" i="23"/>
  <c r="C37" l="1"/>
  <c r="O59" i="19"/>
  <c r="P59" s="1"/>
  <c r="C38" i="23" l="1"/>
  <c r="O60" i="19"/>
  <c r="P60" s="1"/>
  <c r="O61" l="1"/>
  <c r="P61" s="1"/>
  <c r="C39" i="23"/>
  <c r="E39" l="1"/>
  <c r="D5" s="1"/>
  <c r="E5" s="1"/>
  <c r="C40" s="1"/>
  <c r="D39"/>
  <c r="G4" s="1"/>
  <c r="H4" l="1"/>
  <c r="O62" i="19"/>
  <c r="P62" s="1"/>
  <c r="C41" i="23"/>
  <c r="O63" i="19"/>
  <c r="P63" s="1"/>
  <c r="N154" l="1"/>
  <c r="O64"/>
  <c r="P64" s="1"/>
  <c r="C42" i="23"/>
  <c r="O154" i="19" l="1"/>
  <c r="P154" s="1"/>
  <c r="F5" i="11"/>
  <c r="C11" i="9"/>
  <c r="D11" s="1"/>
  <c r="E11" s="1"/>
  <c r="C43" i="23"/>
  <c r="O65" i="19"/>
  <c r="P65" s="1"/>
  <c r="F6" i="11" l="1"/>
  <c r="C44" i="23"/>
  <c r="O66" i="19"/>
  <c r="P66" s="1"/>
  <c r="C45" i="23" l="1"/>
  <c r="O67" i="19"/>
  <c r="P67" s="1"/>
  <c r="O68" l="1"/>
  <c r="P68" s="1"/>
  <c r="C46" i="23"/>
  <c r="O69" i="19" l="1"/>
  <c r="P69" s="1"/>
  <c r="C47" i="23"/>
  <c r="C48" l="1"/>
  <c r="O70" i="19"/>
  <c r="P70" s="1"/>
  <c r="C49" i="23" l="1"/>
  <c r="O71" i="19"/>
  <c r="P71" s="1"/>
  <c r="C50" i="23" l="1"/>
  <c r="O72" i="19"/>
  <c r="P72" s="1"/>
  <c r="O73" l="1"/>
  <c r="P73" s="1"/>
  <c r="C51" i="23"/>
  <c r="E51" l="1"/>
  <c r="D6" s="1"/>
  <c r="E6" s="1"/>
  <c r="C52" s="1"/>
  <c r="D51"/>
  <c r="G5" s="1"/>
  <c r="H5" l="1"/>
  <c r="O74" i="19"/>
  <c r="P74" s="1"/>
  <c r="O75"/>
  <c r="P75" s="1"/>
  <c r="C53" i="23"/>
  <c r="N155" i="19" l="1"/>
  <c r="O76"/>
  <c r="P76" s="1"/>
  <c r="C54" i="23"/>
  <c r="C12" i="9" l="1"/>
  <c r="D12" s="1"/>
  <c r="E12" s="1"/>
  <c r="G5" i="11"/>
  <c r="O155" i="19"/>
  <c r="P155" s="1"/>
  <c r="C55" i="23"/>
  <c r="O77" i="19"/>
  <c r="P77" s="1"/>
  <c r="G6" i="11" l="1"/>
  <c r="O78" i="19"/>
  <c r="P78" s="1"/>
  <c r="C56" i="23"/>
  <c r="O79" i="19" l="1"/>
  <c r="P79" s="1"/>
  <c r="C57" i="23"/>
  <c r="O80" i="19" l="1"/>
  <c r="P80" s="1"/>
  <c r="C58" i="23"/>
  <c r="O81" i="19" l="1"/>
  <c r="P81" s="1"/>
  <c r="C59" i="23"/>
  <c r="C60" l="1"/>
  <c r="O82" i="19"/>
  <c r="P82" s="1"/>
  <c r="O83" l="1"/>
  <c r="P83" s="1"/>
  <c r="C61" i="23"/>
  <c r="C62" l="1"/>
  <c r="O84" i="19"/>
  <c r="P84" s="1"/>
  <c r="O85" l="1"/>
  <c r="P85" s="1"/>
  <c r="C63" i="23"/>
  <c r="E63" l="1"/>
  <c r="D7" s="1"/>
  <c r="E7" s="1"/>
  <c r="C64" s="1"/>
  <c r="O87" i="19" s="1"/>
  <c r="P87" s="1"/>
  <c r="D63" i="23"/>
  <c r="G6" s="1"/>
  <c r="H6" l="1"/>
  <c r="O86" i="19"/>
  <c r="P86" s="1"/>
  <c r="C65" i="23"/>
  <c r="N156" i="19" l="1"/>
  <c r="C66" i="23"/>
  <c r="O88" i="19"/>
  <c r="P88" s="1"/>
  <c r="H5" i="11" l="1"/>
  <c r="C13" i="9"/>
  <c r="D13" s="1"/>
  <c r="E13" s="1"/>
  <c r="O156" i="19"/>
  <c r="P156" s="1"/>
  <c r="C67" i="23"/>
  <c r="O89" i="19"/>
  <c r="P89" s="1"/>
  <c r="H6" i="11" l="1"/>
  <c r="O90" i="19"/>
  <c r="P90" s="1"/>
  <c r="C68" i="23"/>
  <c r="C69" l="1"/>
  <c r="O91" i="19"/>
  <c r="P91" s="1"/>
  <c r="C70" i="23" l="1"/>
  <c r="O92" i="19"/>
  <c r="P92" s="1"/>
  <c r="C71" i="23" l="1"/>
  <c r="O93" i="19"/>
  <c r="P93" s="1"/>
  <c r="O94" l="1"/>
  <c r="P94" s="1"/>
  <c r="C72" i="23"/>
  <c r="O95" i="19" l="1"/>
  <c r="P95" s="1"/>
  <c r="C73" i="23"/>
  <c r="C74" l="1"/>
  <c r="O96" i="19"/>
  <c r="P96" s="1"/>
  <c r="O97" l="1"/>
  <c r="P97" s="1"/>
  <c r="C75" i="23"/>
  <c r="E75" l="1"/>
  <c r="D8" s="1"/>
  <c r="E8" s="1"/>
  <c r="C76" s="1"/>
  <c r="D75"/>
  <c r="G7" s="1"/>
  <c r="O99" i="19" l="1"/>
  <c r="P99" s="1"/>
  <c r="L99"/>
  <c r="H7" i="23"/>
  <c r="O98" i="19"/>
  <c r="P98" s="1"/>
  <c r="C77" i="23"/>
  <c r="L100" i="19" s="1"/>
  <c r="N157" l="1"/>
  <c r="O100"/>
  <c r="P100" s="1"/>
  <c r="C78" i="23"/>
  <c r="L101" i="19" s="1"/>
  <c r="I5" i="11" l="1"/>
  <c r="O157" i="19"/>
  <c r="P157" s="1"/>
  <c r="C14" i="9"/>
  <c r="D14" s="1"/>
  <c r="E14" s="1"/>
  <c r="C79" i="23"/>
  <c r="L102" i="19" s="1"/>
  <c r="O101"/>
  <c r="P101" s="1"/>
  <c r="I6" i="11" l="1"/>
  <c r="C80" i="23"/>
  <c r="L103" i="19" s="1"/>
  <c r="O102"/>
  <c r="P102" s="1"/>
  <c r="O103" l="1"/>
  <c r="P103" s="1"/>
  <c r="C81" i="23"/>
  <c r="L104" i="19" s="1"/>
  <c r="O104" l="1"/>
  <c r="P104" s="1"/>
  <c r="C82" i="23"/>
  <c r="L105" i="19" s="1"/>
  <c r="O105" l="1"/>
  <c r="P105" s="1"/>
  <c r="C83" i="23"/>
  <c r="L106" i="19" s="1"/>
  <c r="C84" i="23" l="1"/>
  <c r="L107" i="19" s="1"/>
  <c r="O106"/>
  <c r="P106" s="1"/>
  <c r="O107" l="1"/>
  <c r="P107" s="1"/>
  <c r="C85" i="23"/>
  <c r="L108" i="19" s="1"/>
  <c r="O108" l="1"/>
  <c r="P108" s="1"/>
  <c r="C86" i="23"/>
  <c r="L109" i="19" s="1"/>
  <c r="O109" l="1"/>
  <c r="P109" s="1"/>
  <c r="C87" i="23"/>
  <c r="L110" i="19" s="1"/>
  <c r="E87" i="23" l="1"/>
  <c r="D9" s="1"/>
  <c r="E9" s="1"/>
  <c r="C88" s="1"/>
  <c r="L111" i="19" s="1"/>
  <c r="D87" i="23"/>
  <c r="G8" s="1"/>
  <c r="H8" s="1"/>
  <c r="O110" i="19" l="1"/>
  <c r="P110" s="1"/>
  <c r="O111"/>
  <c r="P111" s="1"/>
  <c r="C89" i="23"/>
  <c r="L112" i="19" s="1"/>
  <c r="N158" l="1"/>
  <c r="C90" i="23"/>
  <c r="L113" i="19" s="1"/>
  <c r="O112"/>
  <c r="P112" s="1"/>
  <c r="J5" i="11" l="1"/>
  <c r="O158" i="19"/>
  <c r="P158" s="1"/>
  <c r="C15" i="9"/>
  <c r="D15" s="1"/>
  <c r="E15" s="1"/>
  <c r="O113" i="19"/>
  <c r="P113" s="1"/>
  <c r="C91" i="23"/>
  <c r="L114" i="19" s="1"/>
  <c r="J6" i="11" l="1"/>
  <c r="C92" i="23"/>
  <c r="L115" i="19" s="1"/>
  <c r="O114"/>
  <c r="P114" s="1"/>
  <c r="C93" i="23" l="1"/>
  <c r="L116" i="19" s="1"/>
  <c r="O115"/>
  <c r="P115" s="1"/>
  <c r="C94" i="23" l="1"/>
  <c r="L117" i="19" s="1"/>
  <c r="O116"/>
  <c r="P116" s="1"/>
  <c r="O117" l="1"/>
  <c r="P117" s="1"/>
  <c r="C95" i="23"/>
  <c r="L118" i="19" s="1"/>
  <c r="C96" i="23" l="1"/>
  <c r="L119" i="19" s="1"/>
  <c r="O118"/>
  <c r="P118" s="1"/>
  <c r="C97" i="23" l="1"/>
  <c r="L120" i="19" s="1"/>
  <c r="O119"/>
  <c r="P119" s="1"/>
  <c r="C98" i="23" l="1"/>
  <c r="L121" i="19" s="1"/>
  <c r="O120"/>
  <c r="P120" s="1"/>
  <c r="C99" i="23" l="1"/>
  <c r="L122" i="19" s="1"/>
  <c r="O121"/>
  <c r="P121" s="1"/>
  <c r="E99" i="23" l="1"/>
  <c r="D10" s="1"/>
  <c r="E10" s="1"/>
  <c r="C100" s="1"/>
  <c r="L123" i="19" s="1"/>
  <c r="D99" i="23"/>
  <c r="G9" s="1"/>
  <c r="H9" s="1"/>
  <c r="O122" i="19" l="1"/>
  <c r="P122" s="1"/>
  <c r="P123" s="1"/>
  <c r="C101" i="23"/>
  <c r="L124" i="19" s="1"/>
  <c r="N159" l="1"/>
  <c r="C102" i="23"/>
  <c r="L125" i="19" s="1"/>
  <c r="O159" l="1"/>
  <c r="P159" s="1"/>
  <c r="K5" i="11"/>
  <c r="C16" i="9"/>
  <c r="D16" s="1"/>
  <c r="E16" s="1"/>
  <c r="N163" i="19"/>
  <c r="O163" s="1"/>
  <c r="C103" i="23"/>
  <c r="L126" i="19" s="1"/>
  <c r="K6" i="11" l="1"/>
  <c r="C104" i="23"/>
  <c r="L127" i="19" s="1"/>
  <c r="C105" i="23" l="1"/>
  <c r="L128" i="19" s="1"/>
  <c r="K27" i="11"/>
  <c r="D12" i="18" l="1"/>
  <c r="K41" i="11" s="1"/>
  <c r="K22"/>
  <c r="K36" s="1"/>
  <c r="C106" i="23"/>
  <c r="L129" i="19" s="1"/>
  <c r="C107" i="23" l="1"/>
  <c r="L130" i="19" s="1"/>
  <c r="K45" i="11"/>
  <c r="C108" i="23" l="1"/>
  <c r="L131" i="19" s="1"/>
  <c r="K46" i="11"/>
  <c r="C109" i="23" l="1"/>
  <c r="L132" i="19" s="1"/>
  <c r="C110" i="23" l="1"/>
  <c r="L133" i="19" s="1"/>
  <c r="C111" i="23" l="1"/>
  <c r="L134" i="19" s="1"/>
  <c r="E111" i="23" l="1"/>
  <c r="D11" s="1"/>
  <c r="E11" s="1"/>
  <c r="C112" s="1"/>
  <c r="L135" i="19" s="1"/>
  <c r="D111" i="23"/>
  <c r="G10" s="1"/>
  <c r="H10" s="1"/>
  <c r="C113" l="1"/>
  <c r="L136" i="19" s="1"/>
  <c r="C114" i="23" l="1"/>
  <c r="L137" i="19" s="1"/>
  <c r="C115" i="23" l="1"/>
  <c r="L138" i="19" s="1"/>
  <c r="C116" i="23" l="1"/>
  <c r="L139" i="19" s="1"/>
  <c r="C117" i="23" l="1"/>
  <c r="L140" i="19" s="1"/>
  <c r="C118" i="23" l="1"/>
  <c r="L141" i="19" s="1"/>
  <c r="C119" i="23" l="1"/>
  <c r="L142" i="19" s="1"/>
  <c r="C120" i="23" l="1"/>
  <c r="L143" i="19" s="1"/>
  <c r="C121" i="23" l="1"/>
  <c r="L144" i="19" s="1"/>
  <c r="C122" i="23" l="1"/>
  <c r="L145" i="19" s="1"/>
  <c r="C123" i="23" l="1"/>
  <c r="L146" i="19" s="1"/>
  <c r="E123" i="23" l="1"/>
  <c r="D123"/>
  <c r="G11" s="1"/>
  <c r="H11" l="1"/>
  <c r="H12" s="1"/>
  <c r="G12"/>
  <c r="O181" i="19" l="1"/>
  <c r="N160" l="1"/>
  <c r="C17" i="9" l="1"/>
  <c r="G17" s="1"/>
  <c r="L5" i="11"/>
  <c r="N148" i="19"/>
  <c r="N161" l="1"/>
  <c r="G58" i="9"/>
  <c r="G63" s="1"/>
  <c r="M5" i="11" l="1"/>
  <c r="K67" i="9"/>
  <c r="K58" s="1"/>
  <c r="C13" i="18" s="1"/>
  <c r="N165" i="19"/>
  <c r="O165" s="1"/>
  <c r="C18" i="9"/>
  <c r="G18" s="1"/>
  <c r="G59" s="1"/>
  <c r="G64" s="1"/>
  <c r="L67"/>
  <c r="L58" s="1"/>
  <c r="H67"/>
  <c r="J67"/>
  <c r="J58" s="1"/>
  <c r="B13" i="18" s="1"/>
  <c r="I67" i="9"/>
  <c r="I58" s="1"/>
  <c r="K68" l="1"/>
  <c r="H68"/>
  <c r="H59" s="1"/>
  <c r="J68"/>
  <c r="J59" s="1"/>
  <c r="I68"/>
  <c r="I59" s="1"/>
  <c r="M17" i="11" s="1"/>
  <c r="B3" i="30" s="1"/>
  <c r="L68" i="9"/>
  <c r="L59" s="1"/>
  <c r="M31" i="11" s="1"/>
  <c r="B6" i="30" s="1"/>
  <c r="B16" s="1"/>
  <c r="L17" i="11"/>
  <c r="B3" i="29" s="1"/>
  <c r="M67" i="9"/>
  <c r="H58"/>
  <c r="L31" i="11"/>
  <c r="B6" i="29" s="1"/>
  <c r="B16" l="1"/>
  <c r="D16" s="1"/>
  <c r="B13"/>
  <c r="D13" s="1"/>
  <c r="B25" i="30"/>
  <c r="D25" s="1"/>
  <c r="F25" s="1"/>
  <c r="D16"/>
  <c r="B13"/>
  <c r="D13" s="1"/>
  <c r="M21" i="11"/>
  <c r="B4" i="30" s="1"/>
  <c r="B14" i="18"/>
  <c r="M13" i="11"/>
  <c r="M68" i="9"/>
  <c r="L13" i="11"/>
  <c r="B2" i="29" s="1"/>
  <c r="M58" i="9"/>
  <c r="L8" i="11" s="1"/>
  <c r="L21"/>
  <c r="B4" i="29" s="1"/>
  <c r="L26" i="11"/>
  <c r="B5" i="29" s="1"/>
  <c r="B15" s="1"/>
  <c r="D15" s="1"/>
  <c r="F15" s="1"/>
  <c r="L27" i="11"/>
  <c r="C5" i="29" s="1"/>
  <c r="B12" l="1"/>
  <c r="B21" s="1"/>
  <c r="L35" i="11"/>
  <c r="B2" i="30"/>
  <c r="B12" s="1"/>
  <c r="B22"/>
  <c r="D22" s="1"/>
  <c r="F22" s="1"/>
  <c r="B22" i="29"/>
  <c r="D22" s="1"/>
  <c r="F22" s="1"/>
  <c r="B25"/>
  <c r="D25" s="1"/>
  <c r="F25" s="1"/>
  <c r="B14" i="30"/>
  <c r="D14" s="1"/>
  <c r="F13"/>
  <c r="F13" i="29"/>
  <c r="D33"/>
  <c r="B14"/>
  <c r="D14" s="1"/>
  <c r="D34" i="30"/>
  <c r="D52"/>
  <c r="F16"/>
  <c r="F16" i="29"/>
  <c r="M22" i="11"/>
  <c r="N58" i="9"/>
  <c r="L40" i="11"/>
  <c r="D13" i="18"/>
  <c r="L41" i="11" s="1"/>
  <c r="L22"/>
  <c r="B7" i="29" l="1"/>
  <c r="C4"/>
  <c r="D32" s="1"/>
  <c r="L36" i="11"/>
  <c r="D31" i="29"/>
  <c r="D40" s="1"/>
  <c r="F40" s="1"/>
  <c r="D31" i="30"/>
  <c r="D40" s="1"/>
  <c r="F40" s="1"/>
  <c r="D34" i="29"/>
  <c r="D43" s="1"/>
  <c r="F43" s="1"/>
  <c r="D52"/>
  <c r="D61" s="1"/>
  <c r="F61" s="1"/>
  <c r="D49"/>
  <c r="F49" s="1"/>
  <c r="D49" i="30"/>
  <c r="F49" s="1"/>
  <c r="B24" i="29"/>
  <c r="D24" s="1"/>
  <c r="F14" i="30"/>
  <c r="D21" i="29"/>
  <c r="C4" i="30"/>
  <c r="D43"/>
  <c r="F43" s="1"/>
  <c r="F34"/>
  <c r="F14" i="29"/>
  <c r="B21" i="30"/>
  <c r="D12"/>
  <c r="D61"/>
  <c r="F61" s="1"/>
  <c r="F52"/>
  <c r="B23" i="29"/>
  <c r="D23" s="1"/>
  <c r="F23" s="1"/>
  <c r="D42"/>
  <c r="F42" s="1"/>
  <c r="F33"/>
  <c r="B23" i="30"/>
  <c r="D23" s="1"/>
  <c r="F23" s="1"/>
  <c r="B17" i="29"/>
  <c r="D12"/>
  <c r="L45" i="11"/>
  <c r="F24" i="29" l="1"/>
  <c r="D51"/>
  <c r="F51" s="1"/>
  <c r="F31"/>
  <c r="F34"/>
  <c r="F31" i="30"/>
  <c r="F52" i="29"/>
  <c r="D58"/>
  <c r="F58" s="1"/>
  <c r="D58" i="30"/>
  <c r="F58" s="1"/>
  <c r="D50" i="29"/>
  <c r="D59" s="1"/>
  <c r="F59" s="1"/>
  <c r="D17"/>
  <c r="F12"/>
  <c r="F17" s="1"/>
  <c r="D48"/>
  <c r="D30"/>
  <c r="F12" i="30"/>
  <c r="F32" i="29"/>
  <c r="D41"/>
  <c r="F41" s="1"/>
  <c r="D32" i="30"/>
  <c r="D26" i="29"/>
  <c r="F21"/>
  <c r="D50" i="30"/>
  <c r="D21"/>
  <c r="C7" i="29"/>
  <c r="B26"/>
  <c r="L46" i="11"/>
  <c r="F26" i="29" l="1"/>
  <c r="B66" s="1"/>
  <c r="D60"/>
  <c r="F60" s="1"/>
  <c r="F50"/>
  <c r="F30"/>
  <c r="F35" s="1"/>
  <c r="B68" s="1"/>
  <c r="D39"/>
  <c r="F39" s="1"/>
  <c r="F44" s="1"/>
  <c r="B69" s="1"/>
  <c r="F48"/>
  <c r="D53"/>
  <c r="D57"/>
  <c r="D59" i="30"/>
  <c r="F59" s="1"/>
  <c r="F50"/>
  <c r="D41"/>
  <c r="F41" s="1"/>
  <c r="F32"/>
  <c r="F21"/>
  <c r="D48"/>
  <c r="D30"/>
  <c r="F53" i="29" l="1"/>
  <c r="B67" s="1"/>
  <c r="D39" i="30"/>
  <c r="F39" s="1"/>
  <c r="F30"/>
  <c r="D57"/>
  <c r="F48"/>
  <c r="F57" i="29"/>
  <c r="F62" s="1"/>
  <c r="B70" s="1"/>
  <c r="D62"/>
  <c r="B72" l="1"/>
  <c r="F57" i="30"/>
  <c r="K59" i="9" l="1"/>
  <c r="M59" s="1"/>
  <c r="M8" i="11" l="1"/>
  <c r="N59" i="9"/>
  <c r="M40" i="11"/>
  <c r="C14" i="18"/>
  <c r="M26" i="11"/>
  <c r="M27" l="1"/>
  <c r="D14" i="18"/>
  <c r="M41" i="11" s="1"/>
  <c r="B5" i="30"/>
  <c r="M35" i="11"/>
  <c r="M45" s="1"/>
  <c r="C5" i="30" l="1"/>
  <c r="M36" i="11"/>
  <c r="M46" s="1"/>
  <c r="B7" i="30"/>
  <c r="B15"/>
  <c r="B24" s="1"/>
  <c r="D24" l="1"/>
  <c r="B26"/>
  <c r="B17"/>
  <c r="D15"/>
  <c r="D33"/>
  <c r="C7"/>
  <c r="D51" l="1"/>
  <c r="D17"/>
  <c r="F15"/>
  <c r="F17" s="1"/>
  <c r="D42"/>
  <c r="F42" s="1"/>
  <c r="F44" s="1"/>
  <c r="B69" s="1"/>
  <c r="F33"/>
  <c r="F35" s="1"/>
  <c r="B68" s="1"/>
  <c r="D26"/>
  <c r="F24"/>
  <c r="F26" s="1"/>
  <c r="B66" l="1"/>
  <c r="F51"/>
  <c r="F53" s="1"/>
  <c r="B67" s="1"/>
  <c r="D53"/>
  <c r="D60"/>
  <c r="F60" l="1"/>
  <c r="F62" s="1"/>
  <c r="B70" s="1"/>
  <c r="B72" s="1"/>
  <c r="D62"/>
  <c r="J76" i="9" l="1"/>
  <c r="J77" s="1"/>
  <c r="M77" s="1"/>
  <c r="I76"/>
  <c r="H76"/>
</calcChain>
</file>

<file path=xl/sharedStrings.xml><?xml version="1.0" encoding="utf-8"?>
<sst xmlns="http://schemas.openxmlformats.org/spreadsheetml/2006/main" count="293" uniqueCount="166">
  <si>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</si>
  <si>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</si>
  <si>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</si>
  <si>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</si>
  <si>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</si>
  <si>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</si>
  <si>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</si>
  <si>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</si>
  <si>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</si>
  <si>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</si>
  <si>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</si>
  <si>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</si>
  <si>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</si>
  <si>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</si>
  <si>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</si>
  <si>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</si>
  <si>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</si>
  <si>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</si>
  <si>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</si>
  <si>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</si>
  <si>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</si>
  <si>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</si>
  <si>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</si>
  <si>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</si>
  <si>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</si>
  <si>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</si>
  <si>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</si>
  <si>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</si>
  <si>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</si>
  <si>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</si>
  <si>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</si>
  <si>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</si>
  <si>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</si>
  <si>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</si>
  <si>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</si>
  <si>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</si>
  <si>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</si>
  <si>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</si>
  <si>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</si>
  <si>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</si>
  <si>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</si>
  <si>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</si>
  <si>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</si>
  <si>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</si>
  <si>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</si>
  <si>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</si>
  <si>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</si>
  <si>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</si>
  <si>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</si>
  <si>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</si>
  <si>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</si>
  <si>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</si>
  <si>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</si>
  <si>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</si>
  <si>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</si>
  <si>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</si>
  <si>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</si>
  <si>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</si>
  <si>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</si>
  <si>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</si>
  <si>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</si>
  <si>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</si>
  <si>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</si>
  <si>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</si>
  <si>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</si>
  <si>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Number of Customers</t>
  </si>
  <si>
    <t>Weather Normal</t>
  </si>
  <si>
    <t xml:space="preserve">2009 Actual </t>
  </si>
  <si>
    <t xml:space="preserve">  Connections</t>
  </si>
  <si>
    <t>Total of Above</t>
  </si>
  <si>
    <t>Total from Model</t>
  </si>
  <si>
    <t>Check should all be zero</t>
  </si>
  <si>
    <t xml:space="preserve">2010 Actual </t>
  </si>
  <si>
    <t xml:space="preserve">2011 Actual </t>
  </si>
  <si>
    <t>2013 Weather Normal</t>
  </si>
  <si>
    <t>Number of Peak Hours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</si>
  <si>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</si>
  <si>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</si>
  <si>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</si>
  <si>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</si>
  <si>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</si>
  <si>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</si>
  <si>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</si>
  <si>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</si>
  <si>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</si>
  <si>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</si>
  <si>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</si>
  <si>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</si>
  <si>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</si>
  <si>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</si>
  <si>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</si>
  <si>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</si>
  <si>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</si>
  <si>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</si>
  <si>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General Service
&lt; 50 kW</t>
  </si>
  <si>
    <t>General Service
&gt; 50 kW</t>
  </si>
  <si>
    <t xml:space="preserve">Streetlights </t>
  </si>
  <si>
    <t xml:space="preserve">Unmetered Loads </t>
  </si>
  <si>
    <t>Total OPA Annual CDM Results (Net)</t>
  </si>
  <si>
    <t>CDM</t>
  </si>
  <si>
    <t>`</t>
  </si>
  <si>
    <t>kWh</t>
  </si>
  <si>
    <t>20 Year Trend</t>
  </si>
  <si>
    <t>Station Name</t>
  </si>
  <si>
    <t>10  Year Avg</t>
  </si>
  <si>
    <t>20 Trend</t>
  </si>
  <si>
    <t>TOTAL</t>
  </si>
  <si>
    <t xml:space="preserve">4750-Low Voltage 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</si>
  <si>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</si>
  <si>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</si>
  <si>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</si>
  <si>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</si>
  <si>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</si>
  <si>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</si>
  <si>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</si>
  <si>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</si>
  <si>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</si>
  <si>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</si>
  <si>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</si>
  <si>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</si>
  <si>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</si>
  <si>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</si>
  <si>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</si>
  <si>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</si>
  <si>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2013 Load Foreacst</t>
  </si>
  <si>
    <t>2013 Forecasted Metered kWhs</t>
  </si>
  <si>
    <t>2013  Loss Factor</t>
  </si>
  <si>
    <t>Average Number of Customers or Connections</t>
  </si>
  <si>
    <t>Actual 2011 Results and Presistence</t>
  </si>
  <si>
    <t xml:space="preserve"> Proposed Cost of Service Method</t>
  </si>
  <si>
    <t>Annual kWh at the Meter</t>
  </si>
  <si>
    <t xml:space="preserve">2012 Actual </t>
  </si>
  <si>
    <t>2014 Weather Normal</t>
  </si>
  <si>
    <t>Weather Normalization Percentage from 2006 Hydro One Study</t>
  </si>
  <si>
    <t>Annual kW for those classes that charge distribution volumetric charges on a kW basis</t>
  </si>
  <si>
    <t>2012 %RPP</t>
  </si>
  <si>
    <t>2014 Forecasted Metered kWhs</t>
  </si>
  <si>
    <t>2014  Loss Factor</t>
  </si>
  <si>
    <t>2014 Load Foreacst</t>
  </si>
  <si>
    <t>Employment (000's)</t>
  </si>
  <si>
    <t>Unemployment (000's)</t>
  </si>
  <si>
    <t>Not Used</t>
  </si>
  <si>
    <t>% Abs Variance</t>
  </si>
  <si>
    <t>MAPE</t>
  </si>
  <si>
    <t>CDM Activity - Needs to be updated</t>
  </si>
  <si>
    <t>Total to 2012</t>
  </si>
  <si>
    <t>Manual Adjustment to the Load Forecast from 2013 and 2014 Programs on a Net Level</t>
  </si>
  <si>
    <t>2012 Flag</t>
  </si>
  <si>
    <t>Fort Frances Weather Normal Load Forecast for 2014 Rate Application</t>
  </si>
  <si>
    <t>Actual 2012 Results and Presistence</t>
  </si>
  <si>
    <t>Table 3.2.18 Expected Savings for LRAM Variance Account</t>
  </si>
  <si>
    <t>TOU</t>
  </si>
  <si>
    <t>RPP</t>
  </si>
  <si>
    <t>SPOT</t>
  </si>
  <si>
    <t>RES</t>
  </si>
  <si>
    <t>GU</t>
  </si>
  <si>
    <t>GC</t>
  </si>
  <si>
    <t>DS</t>
  </si>
  <si>
    <t>US</t>
  </si>
  <si>
    <t>GS</t>
  </si>
  <si>
    <t>G1</t>
  </si>
  <si>
    <t>G3</t>
  </si>
  <si>
    <t>ST</t>
  </si>
  <si>
    <t>2012 Total Year Statistics kWh Consumed</t>
  </si>
  <si>
    <t>*</t>
  </si>
  <si>
    <t>* As per RPP Price Report November 1, 2013 - October 31, 2014</t>
  </si>
</sst>
</file>

<file path=xl/styles.xml><?xml version="1.0" encoding="utf-8"?>
<styleSheet xmlns="http://schemas.openxmlformats.org/spreadsheetml/2006/main">
  <numFmts count="16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_-* #,##0_-;\-* #,##0_-;_-* &quot;-&quot;??_-;_-@_-"/>
    <numFmt numFmtId="173" formatCode="#,##0.000"/>
    <numFmt numFmtId="174" formatCode="#,##0.00000_);\(#,##0.00000\)"/>
    <numFmt numFmtId="175" formatCode="&quot;$&quot;#,##0.0000_);\(&quot;$&quot;#,##0.0000\)"/>
    <numFmt numFmtId="176" formatCode="#,##0.0000_);\(#,##0.0000\)"/>
    <numFmt numFmtId="177" formatCode="&quot;$&quot;#,##0.00000_);\(&quot;$&quot;#,##0.00000\)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i/>
      <u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1" fillId="0" borderId="0"/>
    <xf numFmtId="0" fontId="2" fillId="4" borderId="19" applyNumberFormat="0" applyFont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3" fontId="3" fillId="0" borderId="0" xfId="1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" fontId="0" fillId="0" borderId="0" xfId="0" applyNumberFormat="1"/>
    <xf numFmtId="37" fontId="4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0" fillId="2" borderId="0" xfId="0" applyNumberFormat="1" applyFill="1" applyAlignment="1">
      <alignment horizontal="center"/>
    </xf>
    <xf numFmtId="17" fontId="6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4" fillId="2" borderId="1" xfId="0" applyNumberFormat="1" applyFont="1" applyFill="1" applyBorder="1" applyAlignment="1">
      <alignment horizontal="center"/>
    </xf>
    <xf numFmtId="0" fontId="0" fillId="0" borderId="0" xfId="0" applyFill="1"/>
    <xf numFmtId="4" fontId="5" fillId="0" borderId="0" xfId="0" applyNumberFormat="1" applyFont="1" applyAlignment="1">
      <alignment horizontal="center" wrapText="1"/>
    </xf>
    <xf numFmtId="4" fontId="4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5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4" fillId="3" borderId="1" xfId="0" applyNumberFormat="1" applyFont="1" applyFill="1" applyBorder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wrapText="1"/>
    </xf>
    <xf numFmtId="3" fontId="5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3" fillId="0" borderId="0" xfId="0" applyFont="1" applyFill="1"/>
    <xf numFmtId="167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8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Continuous"/>
    </xf>
    <xf numFmtId="166" fontId="0" fillId="2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9" fontId="0" fillId="0" borderId="0" xfId="11" applyFont="1" applyFill="1" applyBorder="1" applyAlignment="1"/>
    <xf numFmtId="3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wrapText="1"/>
    </xf>
    <xf numFmtId="172" fontId="3" fillId="0" borderId="0" xfId="4" applyNumberFormat="1"/>
    <xf numFmtId="172" fontId="0" fillId="0" borderId="0" xfId="0" applyNumberFormat="1"/>
    <xf numFmtId="3" fontId="3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/>
    <xf numFmtId="165" fontId="0" fillId="0" borderId="1" xfId="0" applyNumberForma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" xfId="0" applyNumberFormat="1" applyBorder="1"/>
    <xf numFmtId="0" fontId="5" fillId="0" borderId="0" xfId="0" applyFont="1" applyFill="1" applyAlignment="1">
      <alignment horizontal="center" wrapText="1"/>
    </xf>
    <xf numFmtId="10" fontId="0" fillId="0" borderId="0" xfId="11" applyNumberFormat="1" applyFont="1" applyAlignment="1">
      <alignment horizontal="center"/>
    </xf>
    <xf numFmtId="43" fontId="0" fillId="0" borderId="0" xfId="1" applyFont="1" applyFill="1" applyBorder="1" applyAlignment="1"/>
    <xf numFmtId="165" fontId="0" fillId="0" borderId="1" xfId="0" applyNumberFormat="1" applyFill="1" applyBorder="1" applyAlignment="1">
      <alignment horizontal="center"/>
    </xf>
    <xf numFmtId="170" fontId="0" fillId="0" borderId="0" xfId="1" applyNumberFormat="1" applyFont="1" applyFill="1" applyBorder="1" applyAlignment="1"/>
    <xf numFmtId="0" fontId="3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17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3" fillId="0" borderId="0" xfId="0" applyFont="1"/>
    <xf numFmtId="0" fontId="13" fillId="6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17" fontId="12" fillId="0" borderId="0" xfId="0" applyNumberFormat="1" applyFont="1"/>
    <xf numFmtId="0" fontId="12" fillId="0" borderId="0" xfId="0" applyFont="1" applyAlignment="1">
      <alignment horizontal="right"/>
    </xf>
    <xf numFmtId="37" fontId="6" fillId="0" borderId="1" xfId="0" applyNumberFormat="1" applyFont="1" applyBorder="1"/>
    <xf numFmtId="0" fontId="6" fillId="0" borderId="11" xfId="0" applyFont="1" applyBorder="1"/>
    <xf numFmtId="5" fontId="0" fillId="3" borderId="20" xfId="0" applyNumberFormat="1" applyFill="1" applyBorder="1"/>
    <xf numFmtId="0" fontId="0" fillId="0" borderId="17" xfId="0" applyBorder="1"/>
    <xf numFmtId="5" fontId="0" fillId="0" borderId="20" xfId="0" applyNumberFormat="1" applyBorder="1"/>
    <xf numFmtId="5" fontId="0" fillId="0" borderId="20" xfId="0" applyNumberFormat="1" applyFill="1" applyBorder="1"/>
    <xf numFmtId="37" fontId="0" fillId="0" borderId="21" xfId="0" applyNumberFormat="1" applyBorder="1"/>
    <xf numFmtId="0" fontId="0" fillId="0" borderId="15" xfId="0" applyBorder="1"/>
    <xf numFmtId="0" fontId="6" fillId="0" borderId="13" xfId="0" applyFont="1" applyBorder="1" applyAlignment="1">
      <alignment horizontal="center"/>
    </xf>
    <xf numFmtId="5" fontId="6" fillId="0" borderId="1" xfId="0" applyNumberFormat="1" applyFont="1" applyBorder="1"/>
    <xf numFmtId="174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5" fontId="0" fillId="0" borderId="1" xfId="0" applyNumberFormat="1" applyBorder="1"/>
    <xf numFmtId="175" fontId="0" fillId="3" borderId="1" xfId="0" applyNumberFormat="1" applyFill="1" applyBorder="1"/>
    <xf numFmtId="37" fontId="0" fillId="0" borderId="1" xfId="0" applyNumberFormat="1" applyBorder="1"/>
    <xf numFmtId="176" fontId="0" fillId="0" borderId="1" xfId="0" applyNumberFormat="1" applyBorder="1" applyAlignment="1">
      <alignment horizontal="center"/>
    </xf>
    <xf numFmtId="3" fontId="0" fillId="0" borderId="20" xfId="0" applyNumberFormat="1" applyBorder="1"/>
    <xf numFmtId="0" fontId="6" fillId="0" borderId="24" xfId="0" applyFont="1" applyBorder="1" applyAlignment="1">
      <alignment horizontal="center"/>
    </xf>
    <xf numFmtId="0" fontId="6" fillId="0" borderId="22" xfId="0" applyNumberFormat="1" applyFont="1" applyBorder="1" applyAlignment="1">
      <alignment horizontal="center"/>
    </xf>
    <xf numFmtId="0" fontId="6" fillId="0" borderId="25" xfId="0" applyFont="1" applyBorder="1"/>
    <xf numFmtId="0" fontId="6" fillId="0" borderId="16" xfId="0" applyFont="1" applyBorder="1"/>
    <xf numFmtId="0" fontId="6" fillId="0" borderId="15" xfId="0" applyFont="1" applyBorder="1"/>
    <xf numFmtId="0" fontId="6" fillId="0" borderId="21" xfId="0" applyFont="1" applyBorder="1" applyAlignment="1">
      <alignment horizontal="center"/>
    </xf>
    <xf numFmtId="0" fontId="14" fillId="0" borderId="21" xfId="0" applyFont="1" applyBorder="1"/>
    <xf numFmtId="0" fontId="6" fillId="0" borderId="2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5" fontId="6" fillId="0" borderId="1" xfId="0" applyNumberFormat="1" applyFont="1" applyFill="1" applyBorder="1"/>
    <xf numFmtId="177" fontId="0" fillId="3" borderId="1" xfId="0" applyNumberFormat="1" applyFill="1" applyBorder="1"/>
    <xf numFmtId="176" fontId="0" fillId="0" borderId="1" xfId="0" applyNumberFormat="1" applyFill="1" applyBorder="1"/>
    <xf numFmtId="37" fontId="0" fillId="0" borderId="1" xfId="0" applyNumberFormat="1" applyFill="1" applyBorder="1"/>
    <xf numFmtId="3" fontId="0" fillId="0" borderId="17" xfId="0" applyNumberFormat="1" applyBorder="1"/>
    <xf numFmtId="0" fontId="6" fillId="0" borderId="13" xfId="0" applyFont="1" applyBorder="1"/>
    <xf numFmtId="0" fontId="6" fillId="0" borderId="12" xfId="0" applyFont="1" applyBorder="1"/>
    <xf numFmtId="0" fontId="14" fillId="0" borderId="1" xfId="0" applyFont="1" applyBorder="1"/>
    <xf numFmtId="5" fontId="6" fillId="0" borderId="0" xfId="0" applyNumberFormat="1" applyFont="1" applyFill="1" applyBorder="1"/>
    <xf numFmtId="174" fontId="0" fillId="0" borderId="0" xfId="0" applyNumberFormat="1" applyBorder="1"/>
    <xf numFmtId="37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176" fontId="0" fillId="3" borderId="1" xfId="0" applyNumberFormat="1" applyFill="1" applyBorder="1"/>
    <xf numFmtId="9" fontId="3" fillId="3" borderId="1" xfId="11" applyFill="1" applyBorder="1"/>
    <xf numFmtId="170" fontId="3" fillId="0" borderId="1" xfId="1" applyNumberFormat="1" applyFill="1" applyBorder="1"/>
    <xf numFmtId="0" fontId="6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72" fontId="3" fillId="5" borderId="0" xfId="4" applyNumberFormat="1" applyFill="1"/>
    <xf numFmtId="3" fontId="0" fillId="5" borderId="4" xfId="0" applyNumberFormat="1" applyFill="1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" fontId="3" fillId="0" borderId="0" xfId="1" applyNumberFormat="1" applyFill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3" fillId="0" borderId="0" xfId="1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3" fillId="0" borderId="0" xfId="1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Fill="1" applyAlignment="1">
      <alignment horizontal="center"/>
    </xf>
    <xf numFmtId="171" fontId="12" fillId="0" borderId="0" xfId="0" applyNumberFormat="1" applyFont="1" applyFill="1" applyAlignment="1">
      <alignment horizontal="center"/>
    </xf>
    <xf numFmtId="165" fontId="4" fillId="0" borderId="0" xfId="1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11" applyNumberFormat="1" applyFont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7" fontId="0" fillId="0" borderId="0" xfId="0" applyNumberFormat="1" applyFill="1" applyAlignment="1">
      <alignment horizontal="center"/>
    </xf>
    <xf numFmtId="171" fontId="0" fillId="0" borderId="0" xfId="0" applyNumberFormat="1" applyAlignment="1">
      <alignment horizontal="center"/>
    </xf>
    <xf numFmtId="170" fontId="0" fillId="0" borderId="2" xfId="1" applyNumberFormat="1" applyFont="1" applyFill="1" applyBorder="1" applyAlignment="1"/>
    <xf numFmtId="43" fontId="0" fillId="0" borderId="2" xfId="1" applyFont="1" applyFill="1" applyBorder="1" applyAlignment="1"/>
    <xf numFmtId="0" fontId="0" fillId="0" borderId="0" xfId="0" applyFill="1" applyAlignment="1"/>
    <xf numFmtId="3" fontId="0" fillId="5" borderId="1" xfId="0" applyNumberFormat="1" applyFill="1" applyBorder="1" applyAlignment="1">
      <alignment horizontal="center"/>
    </xf>
    <xf numFmtId="165" fontId="0" fillId="0" borderId="0" xfId="11" applyNumberFormat="1" applyFont="1" applyAlignment="1">
      <alignment horizontal="center"/>
    </xf>
    <xf numFmtId="166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wrapText="1"/>
    </xf>
    <xf numFmtId="0" fontId="15" fillId="0" borderId="0" xfId="0" applyFont="1"/>
    <xf numFmtId="0" fontId="6" fillId="0" borderId="12" xfId="0" applyFont="1" applyBorder="1" applyAlignment="1">
      <alignment horizontal="center"/>
    </xf>
    <xf numFmtId="3" fontId="15" fillId="0" borderId="0" xfId="0" applyNumberFormat="1" applyFont="1"/>
    <xf numFmtId="10" fontId="15" fillId="0" borderId="0" xfId="0" applyNumberFormat="1" applyFont="1"/>
    <xf numFmtId="3" fontId="15" fillId="7" borderId="0" xfId="0" applyNumberFormat="1" applyFont="1" applyFill="1"/>
    <xf numFmtId="0" fontId="16" fillId="7" borderId="0" xfId="0" applyFont="1" applyFill="1" applyAlignment="1">
      <alignment horizontal="center"/>
    </xf>
    <xf numFmtId="0" fontId="16" fillId="7" borderId="0" xfId="0" applyFont="1" applyFill="1"/>
    <xf numFmtId="0" fontId="0" fillId="5" borderId="0" xfId="0" applyFill="1" applyAlignment="1">
      <alignment horizontal="center"/>
    </xf>
    <xf numFmtId="3" fontId="3" fillId="0" borderId="27" xfId="0" applyNumberFormat="1" applyFon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10" fontId="3" fillId="0" borderId="27" xfId="11" applyNumberFormat="1" applyFont="1" applyBorder="1" applyAlignment="1">
      <alignment horizontal="center"/>
    </xf>
    <xf numFmtId="10" fontId="0" fillId="0" borderId="28" xfId="11" applyNumberFormat="1" applyFont="1" applyBorder="1" applyAlignment="1">
      <alignment horizontal="center"/>
    </xf>
    <xf numFmtId="10" fontId="0" fillId="0" borderId="29" xfId="11" applyNumberFormat="1" applyFont="1" applyBorder="1" applyAlignment="1">
      <alignment horizontal="center"/>
    </xf>
    <xf numFmtId="166" fontId="3" fillId="0" borderId="27" xfId="0" applyNumberFormat="1" applyFont="1" applyBorder="1" applyAlignment="1">
      <alignment horizontal="center"/>
    </xf>
    <xf numFmtId="166" fontId="0" fillId="0" borderId="28" xfId="0" applyNumberFormat="1" applyBorder="1" applyAlignment="1">
      <alignment horizontal="center"/>
    </xf>
    <xf numFmtId="166" fontId="0" fillId="0" borderId="29" xfId="0" applyNumberFormat="1" applyBorder="1" applyAlignment="1">
      <alignment horizontal="center"/>
    </xf>
    <xf numFmtId="3" fontId="0" fillId="0" borderId="1" xfId="0" applyNumberFormat="1" applyBorder="1" applyAlignment="1">
      <alignment horizontal="left"/>
    </xf>
    <xf numFmtId="3" fontId="3" fillId="0" borderId="27" xfId="0" applyNumberFormat="1" applyFont="1" applyBorder="1" applyAlignment="1">
      <alignment horizontal="center" wrapText="1"/>
    </xf>
    <xf numFmtId="3" fontId="0" fillId="0" borderId="28" xfId="0" applyNumberFormat="1" applyBorder="1" applyAlignment="1">
      <alignment horizontal="center" wrapText="1"/>
    </xf>
    <xf numFmtId="3" fontId="0" fillId="0" borderId="29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26" xfId="0" applyNumberFormat="1" applyFont="1" applyBorder="1" applyAlignment="1">
      <alignment horizontal="center"/>
    </xf>
    <xf numFmtId="0" fontId="6" fillId="0" borderId="23" xfId="0" applyNumberFormat="1" applyFont="1" applyBorder="1" applyAlignment="1">
      <alignment horizontal="center"/>
    </xf>
    <xf numFmtId="0" fontId="6" fillId="0" borderId="22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 wrapText="1"/>
    </xf>
    <xf numFmtId="0" fontId="6" fillId="0" borderId="20" xfId="0" applyNumberFormat="1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15" xfId="0" applyNumberFormat="1" applyFont="1" applyBorder="1" applyAlignment="1">
      <alignment horizontal="center"/>
    </xf>
    <xf numFmtId="0" fontId="6" fillId="0" borderId="16" xfId="0" applyNumberFormat="1" applyFont="1" applyBorder="1" applyAlignment="1">
      <alignment horizontal="center"/>
    </xf>
    <xf numFmtId="0" fontId="6" fillId="0" borderId="13" xfId="0" applyNumberFormat="1" applyFont="1" applyBorder="1" applyAlignment="1">
      <alignment horizontal="center"/>
    </xf>
  </cellXfs>
  <cellStyles count="15">
    <cellStyle name="Comma" xfId="1" builtinId="3"/>
    <cellStyle name="Comma 2" xfId="2"/>
    <cellStyle name="Comma 3" xfId="3"/>
    <cellStyle name="Comma 3 2" xfId="14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 5" xfId="12"/>
    <cellStyle name="Note 2" xfId="10"/>
    <cellStyle name="Percent" xfId="11" builtinId="5"/>
    <cellStyle name="Percent 3" xfId="13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1996-1231199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1997-1231199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1998-12311998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1999-1231199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00-1231200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01-1231200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02-1231200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03-1231200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04-1231200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05-123120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06-12312006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07-12312007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08-12312008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09-12312009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10-1231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11-1231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2012-1231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on/Ontario%20Energy%20Board/RATE%20APPLICATIONS/2014%20COS%20Application/E-Chapter%202_Appendices_for_2014/FFPC_Custom_Chapter2_Appendices_for%202014%20(FFPC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FFPC_2011%20Final%20Annual%20Report%20Data_Fort%20Frances%20Power%20Corporation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1993-1231199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1994-1231199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AppData\Local\Microsoft\Windows\Temporary%20Internet%20Files\Content.IE5\3GB72Z53\Weather%20Data\eng-daily-01011995-1231199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1996-12311996"/>
    </sheetNames>
    <sheetDataSet>
      <sheetData sheetId="0">
        <row r="56">
          <cell r="M56">
            <v>1235.5999999999997</v>
          </cell>
          <cell r="O56">
            <v>0</v>
          </cell>
        </row>
        <row r="85">
          <cell r="M85">
            <v>938.69999999999959</v>
          </cell>
          <cell r="O85">
            <v>0</v>
          </cell>
        </row>
        <row r="116">
          <cell r="M116">
            <v>877.59999999999968</v>
          </cell>
          <cell r="O116">
            <v>0</v>
          </cell>
        </row>
        <row r="146">
          <cell r="M146">
            <v>567.9</v>
          </cell>
          <cell r="O146">
            <v>0</v>
          </cell>
        </row>
        <row r="177">
          <cell r="M177">
            <v>271.7999999999999</v>
          </cell>
          <cell r="O177">
            <v>0</v>
          </cell>
        </row>
        <row r="207">
          <cell r="M207">
            <v>73.100000000000023</v>
          </cell>
          <cell r="O207">
            <v>38.1</v>
          </cell>
        </row>
        <row r="238">
          <cell r="M238">
            <v>36.400000000000006</v>
          </cell>
          <cell r="O238">
            <v>23.500000000000004</v>
          </cell>
        </row>
        <row r="269">
          <cell r="M269">
            <v>28.299999999999997</v>
          </cell>
          <cell r="O269">
            <v>42</v>
          </cell>
        </row>
        <row r="299">
          <cell r="M299">
            <v>180.2</v>
          </cell>
          <cell r="O299">
            <v>16.900000000000002</v>
          </cell>
        </row>
        <row r="330">
          <cell r="M330">
            <v>393.69999999999993</v>
          </cell>
          <cell r="O330">
            <v>0</v>
          </cell>
        </row>
        <row r="360">
          <cell r="M360">
            <v>776.29999999999984</v>
          </cell>
          <cell r="O360">
            <v>0</v>
          </cell>
        </row>
        <row r="391">
          <cell r="M391">
            <v>861</v>
          </cell>
          <cell r="O391">
            <v>0</v>
          </cell>
        </row>
        <row r="392">
          <cell r="M392">
            <v>6240.5999999999985</v>
          </cell>
          <cell r="N392">
            <v>120.49999999999997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1997-12311997"/>
    </sheetNames>
    <sheetDataSet>
      <sheetData sheetId="0">
        <row r="56">
          <cell r="M56">
            <v>1056.6999999999998</v>
          </cell>
          <cell r="O56">
            <v>0</v>
          </cell>
        </row>
        <row r="85">
          <cell r="M85">
            <v>838.09999999999991</v>
          </cell>
          <cell r="O85">
            <v>0</v>
          </cell>
        </row>
        <row r="116">
          <cell r="M116">
            <v>772.39999999999986</v>
          </cell>
          <cell r="O116">
            <v>0</v>
          </cell>
        </row>
        <row r="146">
          <cell r="M146">
            <v>482.59999999999997</v>
          </cell>
          <cell r="O146">
            <v>0</v>
          </cell>
        </row>
        <row r="177">
          <cell r="M177">
            <v>319.39999999999986</v>
          </cell>
          <cell r="O177">
            <v>0</v>
          </cell>
        </row>
        <row r="207">
          <cell r="M207">
            <v>35.300000000000004</v>
          </cell>
          <cell r="O207">
            <v>24.500000000000004</v>
          </cell>
        </row>
        <row r="238">
          <cell r="M238">
            <v>42.6</v>
          </cell>
          <cell r="O238">
            <v>63.199999999999989</v>
          </cell>
        </row>
        <row r="269">
          <cell r="M269">
            <v>69.400000000000006</v>
          </cell>
          <cell r="O269">
            <v>36.5</v>
          </cell>
        </row>
        <row r="299">
          <cell r="M299">
            <v>138.70000000000002</v>
          </cell>
          <cell r="O299">
            <v>7.3999999999999995</v>
          </cell>
        </row>
        <row r="330">
          <cell r="M330">
            <v>376.09999999999997</v>
          </cell>
          <cell r="O330">
            <v>1.8</v>
          </cell>
        </row>
        <row r="360">
          <cell r="M360">
            <v>690.99999999999989</v>
          </cell>
          <cell r="O360">
            <v>0</v>
          </cell>
        </row>
        <row r="391">
          <cell r="M391">
            <v>706.49999999999989</v>
          </cell>
          <cell r="O391">
            <v>0</v>
          </cell>
        </row>
        <row r="392">
          <cell r="M392">
            <v>5528.8</v>
          </cell>
          <cell r="N392">
            <v>133.4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1998-12311998"/>
    </sheetNames>
    <sheetDataSet>
      <sheetData sheetId="0">
        <row r="56">
          <cell r="M56">
            <v>910.59999999999991</v>
          </cell>
          <cell r="O56">
            <v>0</v>
          </cell>
        </row>
        <row r="85">
          <cell r="M85">
            <v>580.4000000000002</v>
          </cell>
          <cell r="O85">
            <v>0</v>
          </cell>
        </row>
        <row r="116">
          <cell r="M116">
            <v>671.7</v>
          </cell>
          <cell r="O116">
            <v>0</v>
          </cell>
        </row>
        <row r="146">
          <cell r="M146">
            <v>343.09999999999991</v>
          </cell>
          <cell r="O146">
            <v>0</v>
          </cell>
        </row>
        <row r="177">
          <cell r="M177">
            <v>153.29999999999998</v>
          </cell>
          <cell r="O177">
            <v>10.6</v>
          </cell>
        </row>
        <row r="207">
          <cell r="M207">
            <v>90.500000000000014</v>
          </cell>
          <cell r="O207">
            <v>15.600000000000001</v>
          </cell>
        </row>
        <row r="238">
          <cell r="M238">
            <v>25.9</v>
          </cell>
          <cell r="O238">
            <v>44.899999999999991</v>
          </cell>
        </row>
        <row r="269">
          <cell r="M269">
            <v>13.8</v>
          </cell>
          <cell r="O269">
            <v>59.699999999999989</v>
          </cell>
        </row>
        <row r="299">
          <cell r="M299">
            <v>126.80000000000001</v>
          </cell>
          <cell r="O299">
            <v>14.3</v>
          </cell>
        </row>
        <row r="330">
          <cell r="M330">
            <v>341.7</v>
          </cell>
          <cell r="O330">
            <v>0</v>
          </cell>
        </row>
        <row r="360">
          <cell r="M360">
            <v>620.10000000000014</v>
          </cell>
          <cell r="O360">
            <v>0</v>
          </cell>
        </row>
        <row r="391">
          <cell r="M391">
            <v>794.39999999999986</v>
          </cell>
          <cell r="O391">
            <v>0</v>
          </cell>
        </row>
        <row r="392">
          <cell r="M392">
            <v>4672.3</v>
          </cell>
          <cell r="N392">
            <v>145.09999999999997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1999-12311999"/>
    </sheetNames>
    <sheetDataSet>
      <sheetData sheetId="0">
        <row r="56">
          <cell r="M56">
            <v>1055.1999999999998</v>
          </cell>
          <cell r="O56">
            <v>0</v>
          </cell>
        </row>
        <row r="85">
          <cell r="M85">
            <v>704</v>
          </cell>
          <cell r="O85">
            <v>0</v>
          </cell>
        </row>
        <row r="116">
          <cell r="M116">
            <v>635.70000000000016</v>
          </cell>
          <cell r="O116">
            <v>0</v>
          </cell>
        </row>
        <row r="146">
          <cell r="M146">
            <v>370.59999999999991</v>
          </cell>
          <cell r="O146">
            <v>0</v>
          </cell>
        </row>
        <row r="177">
          <cell r="M177">
            <v>176.19999999999996</v>
          </cell>
          <cell r="O177">
            <v>4.0999999999999996</v>
          </cell>
        </row>
        <row r="207">
          <cell r="M207">
            <v>76.100000000000009</v>
          </cell>
          <cell r="O207">
            <v>29.6</v>
          </cell>
        </row>
        <row r="238">
          <cell r="M238">
            <v>21.599999999999998</v>
          </cell>
          <cell r="O238">
            <v>83.499999999999986</v>
          </cell>
        </row>
        <row r="269">
          <cell r="M269">
            <v>48.900000000000006</v>
          </cell>
          <cell r="O269">
            <v>22.6</v>
          </cell>
        </row>
        <row r="299">
          <cell r="M299">
            <v>195.4</v>
          </cell>
          <cell r="O299">
            <v>2.6</v>
          </cell>
        </row>
        <row r="330">
          <cell r="M330">
            <v>401.69999999999987</v>
          </cell>
          <cell r="O330">
            <v>0</v>
          </cell>
        </row>
        <row r="360">
          <cell r="M360">
            <v>520.19999999999993</v>
          </cell>
          <cell r="O360">
            <v>0</v>
          </cell>
        </row>
        <row r="391">
          <cell r="M391">
            <v>688.5</v>
          </cell>
          <cell r="O391">
            <v>0</v>
          </cell>
        </row>
        <row r="392">
          <cell r="M392">
            <v>4894.0999999999995</v>
          </cell>
          <cell r="N392">
            <v>142.39999999999998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00-12312000"/>
    </sheetNames>
    <sheetDataSet>
      <sheetData sheetId="0">
        <row r="56">
          <cell r="M56">
            <v>996.3</v>
          </cell>
          <cell r="O56">
            <v>0</v>
          </cell>
        </row>
        <row r="85">
          <cell r="M85">
            <v>749.90000000000032</v>
          </cell>
          <cell r="O85">
            <v>0</v>
          </cell>
        </row>
        <row r="116">
          <cell r="M116">
            <v>559.70000000000005</v>
          </cell>
          <cell r="O116">
            <v>0</v>
          </cell>
        </row>
        <row r="146">
          <cell r="M146">
            <v>426.4</v>
          </cell>
          <cell r="O146">
            <v>0</v>
          </cell>
        </row>
        <row r="177">
          <cell r="M177">
            <v>183.19999999999993</v>
          </cell>
          <cell r="O177">
            <v>7.4</v>
          </cell>
        </row>
        <row r="207">
          <cell r="M207">
            <v>108.9</v>
          </cell>
          <cell r="O207">
            <v>3.1</v>
          </cell>
        </row>
        <row r="238">
          <cell r="M238">
            <v>21.299999999999997</v>
          </cell>
          <cell r="O238">
            <v>61.599999999999987</v>
          </cell>
        </row>
        <row r="269">
          <cell r="M269">
            <v>35</v>
          </cell>
          <cell r="O269">
            <v>33.299999999999997</v>
          </cell>
        </row>
        <row r="299">
          <cell r="M299">
            <v>192.79999999999995</v>
          </cell>
          <cell r="O299">
            <v>2.8</v>
          </cell>
        </row>
        <row r="330">
          <cell r="M330">
            <v>346.69999999999987</v>
          </cell>
          <cell r="O330">
            <v>0</v>
          </cell>
        </row>
        <row r="360">
          <cell r="M360">
            <v>597.79999999999995</v>
          </cell>
          <cell r="O360">
            <v>0</v>
          </cell>
        </row>
        <row r="391">
          <cell r="M391">
            <v>1058.6999999999998</v>
          </cell>
          <cell r="O391">
            <v>0</v>
          </cell>
        </row>
        <row r="392">
          <cell r="M392">
            <v>5276.7000000000007</v>
          </cell>
          <cell r="N392">
            <v>108.19999999999996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01-12312001"/>
    </sheetNames>
    <sheetDataSet>
      <sheetData sheetId="0">
        <row r="56">
          <cell r="M56">
            <v>883.99999999999977</v>
          </cell>
          <cell r="O56">
            <v>0</v>
          </cell>
        </row>
        <row r="85">
          <cell r="M85">
            <v>942.19999999999982</v>
          </cell>
          <cell r="O85">
            <v>0</v>
          </cell>
        </row>
        <row r="116">
          <cell r="M116">
            <v>706.20000000000016</v>
          </cell>
          <cell r="O116">
            <v>0</v>
          </cell>
        </row>
        <row r="146">
          <cell r="M146">
            <v>399.29999999999995</v>
          </cell>
          <cell r="O146">
            <v>2.2999999999999998</v>
          </cell>
        </row>
        <row r="177">
          <cell r="M177">
            <v>188.09999999999997</v>
          </cell>
          <cell r="O177">
            <v>0</v>
          </cell>
        </row>
        <row r="207">
          <cell r="M207">
            <v>74.90000000000002</v>
          </cell>
          <cell r="O207">
            <v>46.699999999999996</v>
          </cell>
        </row>
        <row r="238">
          <cell r="M238">
            <v>31.899999999999995</v>
          </cell>
          <cell r="O238">
            <v>60.79999999999999</v>
          </cell>
        </row>
        <row r="269">
          <cell r="M269">
            <v>28.699999999999996</v>
          </cell>
          <cell r="O269">
            <v>63.3</v>
          </cell>
        </row>
        <row r="299">
          <cell r="M299">
            <v>182.59999999999997</v>
          </cell>
          <cell r="O299">
            <v>14.600000000000001</v>
          </cell>
        </row>
        <row r="330">
          <cell r="M330">
            <v>419.59999999999991</v>
          </cell>
          <cell r="O330">
            <v>0</v>
          </cell>
        </row>
        <row r="360">
          <cell r="M360">
            <v>478.9</v>
          </cell>
          <cell r="O360">
            <v>0</v>
          </cell>
        </row>
        <row r="391">
          <cell r="M391">
            <v>796.9</v>
          </cell>
          <cell r="O391">
            <v>0</v>
          </cell>
        </row>
        <row r="392">
          <cell r="M392">
            <v>5133.2999999999993</v>
          </cell>
          <cell r="N392">
            <v>187.70000000000005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02-12312002"/>
    </sheetNames>
    <sheetDataSet>
      <sheetData sheetId="0">
        <row r="56">
          <cell r="M56">
            <v>877.69999999999982</v>
          </cell>
          <cell r="O56">
            <v>0</v>
          </cell>
        </row>
        <row r="85">
          <cell r="M85">
            <v>722.3</v>
          </cell>
          <cell r="O85">
            <v>0</v>
          </cell>
        </row>
        <row r="116">
          <cell r="M116">
            <v>855.49999999999977</v>
          </cell>
          <cell r="O116">
            <v>0</v>
          </cell>
        </row>
        <row r="146">
          <cell r="M146">
            <v>464.09999999999991</v>
          </cell>
          <cell r="O146">
            <v>0</v>
          </cell>
        </row>
        <row r="177">
          <cell r="M177">
            <v>334.69999999999993</v>
          </cell>
          <cell r="O177">
            <v>3</v>
          </cell>
        </row>
        <row r="207">
          <cell r="M207">
            <v>69.000000000000014</v>
          </cell>
          <cell r="O207">
            <v>48.3</v>
          </cell>
        </row>
        <row r="238">
          <cell r="M238">
            <v>12.600000000000001</v>
          </cell>
          <cell r="O238">
            <v>90.699999999999989</v>
          </cell>
        </row>
        <row r="269">
          <cell r="M269">
            <v>27.799999999999997</v>
          </cell>
          <cell r="O269">
            <v>36.200000000000003</v>
          </cell>
        </row>
        <row r="299">
          <cell r="M299">
            <v>138.6</v>
          </cell>
          <cell r="O299">
            <v>30</v>
          </cell>
        </row>
        <row r="330">
          <cell r="M330">
            <v>522.6</v>
          </cell>
          <cell r="O330">
            <v>0</v>
          </cell>
        </row>
        <row r="360">
          <cell r="M360">
            <v>692.69999999999993</v>
          </cell>
          <cell r="O360">
            <v>0</v>
          </cell>
        </row>
        <row r="391">
          <cell r="M391">
            <v>813.89999999999986</v>
          </cell>
          <cell r="O391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03-12312003"/>
    </sheetNames>
    <sheetDataSet>
      <sheetData sheetId="0">
        <row r="56">
          <cell r="M56">
            <v>1041.0999999999997</v>
          </cell>
          <cell r="O56">
            <v>0</v>
          </cell>
        </row>
        <row r="85">
          <cell r="M85">
            <v>952.6999999999997</v>
          </cell>
          <cell r="O85">
            <v>0</v>
          </cell>
        </row>
        <row r="116">
          <cell r="M116">
            <v>759.40000000000032</v>
          </cell>
          <cell r="O116">
            <v>0</v>
          </cell>
        </row>
        <row r="146">
          <cell r="M146">
            <v>417.49999999999994</v>
          </cell>
          <cell r="O146">
            <v>0</v>
          </cell>
        </row>
        <row r="177">
          <cell r="M177">
            <v>193.19999999999996</v>
          </cell>
          <cell r="O177">
            <v>0</v>
          </cell>
        </row>
        <row r="207">
          <cell r="M207">
            <v>71.300000000000011</v>
          </cell>
          <cell r="O207">
            <v>27.3</v>
          </cell>
        </row>
        <row r="238">
          <cell r="M238">
            <v>21.5</v>
          </cell>
          <cell r="O238">
            <v>44.699999999999996</v>
          </cell>
        </row>
        <row r="269">
          <cell r="M269">
            <v>18.899999999999999</v>
          </cell>
          <cell r="O269">
            <v>89.499999999999986</v>
          </cell>
        </row>
        <row r="299">
          <cell r="M299">
            <v>171.3</v>
          </cell>
          <cell r="O299">
            <v>16.5</v>
          </cell>
        </row>
        <row r="330">
          <cell r="M330">
            <v>364.09999999999997</v>
          </cell>
          <cell r="O330">
            <v>2.8</v>
          </cell>
        </row>
        <row r="360">
          <cell r="M360">
            <v>680.39999999999986</v>
          </cell>
          <cell r="O360">
            <v>0</v>
          </cell>
        </row>
        <row r="391">
          <cell r="M391">
            <v>802.19999999999993</v>
          </cell>
          <cell r="O391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04-12312004"/>
    </sheetNames>
    <sheetDataSet>
      <sheetData sheetId="0">
        <row r="56">
          <cell r="M56">
            <v>1164.6999999999998</v>
          </cell>
          <cell r="O56">
            <v>0</v>
          </cell>
        </row>
        <row r="85">
          <cell r="M85">
            <v>799.09999999999991</v>
          </cell>
          <cell r="O85">
            <v>0</v>
          </cell>
        </row>
        <row r="116">
          <cell r="M116">
            <v>664.7</v>
          </cell>
          <cell r="O116">
            <v>0</v>
          </cell>
        </row>
        <row r="146">
          <cell r="M146">
            <v>424.79999999999995</v>
          </cell>
          <cell r="O146">
            <v>0</v>
          </cell>
        </row>
        <row r="177">
          <cell r="M177">
            <v>299.39999999999992</v>
          </cell>
          <cell r="O177">
            <v>0</v>
          </cell>
        </row>
        <row r="207">
          <cell r="M207">
            <v>113.2</v>
          </cell>
          <cell r="O207">
            <v>5.6</v>
          </cell>
        </row>
        <row r="238">
          <cell r="M238">
            <v>43.5</v>
          </cell>
          <cell r="O238">
            <v>43.5</v>
          </cell>
        </row>
        <row r="269">
          <cell r="M269">
            <v>117.90000000000002</v>
          </cell>
          <cell r="O269">
            <v>4.8999999999999995</v>
          </cell>
        </row>
        <row r="299">
          <cell r="M299">
            <v>95.300000000000011</v>
          </cell>
          <cell r="O299">
            <v>24.400000000000002</v>
          </cell>
        </row>
        <row r="330">
          <cell r="M330">
            <v>340.79999999999995</v>
          </cell>
          <cell r="O330">
            <v>0</v>
          </cell>
        </row>
        <row r="360">
          <cell r="M360">
            <v>538.70000000000005</v>
          </cell>
          <cell r="O360">
            <v>0</v>
          </cell>
        </row>
        <row r="391">
          <cell r="M391">
            <v>940.89999999999986</v>
          </cell>
          <cell r="O391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05-12312005"/>
    </sheetNames>
    <sheetDataSet>
      <sheetData sheetId="0">
        <row r="56">
          <cell r="M56">
            <v>1085.9999999999998</v>
          </cell>
          <cell r="O56">
            <v>0</v>
          </cell>
        </row>
        <row r="85">
          <cell r="M85">
            <v>778.59999999999991</v>
          </cell>
          <cell r="O85">
            <v>0</v>
          </cell>
        </row>
        <row r="116">
          <cell r="M116">
            <v>758.8</v>
          </cell>
          <cell r="O116">
            <v>0</v>
          </cell>
        </row>
        <row r="146">
          <cell r="M146">
            <v>330.29999999999995</v>
          </cell>
          <cell r="O146">
            <v>0.5</v>
          </cell>
        </row>
        <row r="177">
          <cell r="M177">
            <v>233.49999999999991</v>
          </cell>
          <cell r="O177">
            <v>0</v>
          </cell>
        </row>
        <row r="207">
          <cell r="M207">
            <v>40.9</v>
          </cell>
          <cell r="O207">
            <v>40.799999999999997</v>
          </cell>
        </row>
        <row r="238">
          <cell r="M238">
            <v>25.7</v>
          </cell>
          <cell r="O238">
            <v>89.499999999999986</v>
          </cell>
        </row>
        <row r="269">
          <cell r="M269">
            <v>60.800000000000011</v>
          </cell>
          <cell r="O269">
            <v>38.799999999999997</v>
          </cell>
        </row>
        <row r="299">
          <cell r="M299">
            <v>135</v>
          </cell>
          <cell r="O299">
            <v>19.900000000000002</v>
          </cell>
        </row>
        <row r="330">
          <cell r="M330">
            <v>354.09999999999991</v>
          </cell>
          <cell r="O330">
            <v>2</v>
          </cell>
        </row>
        <row r="360">
          <cell r="M360">
            <v>604.20000000000005</v>
          </cell>
          <cell r="O360">
            <v>0</v>
          </cell>
        </row>
        <row r="391">
          <cell r="M391">
            <v>848.39999999999986</v>
          </cell>
          <cell r="O391">
            <v>0</v>
          </cell>
        </row>
        <row r="392">
          <cell r="M392">
            <v>5256.2999999999993</v>
          </cell>
          <cell r="O392">
            <v>191.49999999999997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06-12312006"/>
    </sheetNames>
    <sheetDataSet>
      <sheetData sheetId="0">
        <row r="56">
          <cell r="M56">
            <v>774</v>
          </cell>
          <cell r="O56">
            <v>0</v>
          </cell>
        </row>
        <row r="85">
          <cell r="M85">
            <v>927.79999999999984</v>
          </cell>
          <cell r="O85">
            <v>0</v>
          </cell>
        </row>
        <row r="116">
          <cell r="M116">
            <v>648.30000000000007</v>
          </cell>
          <cell r="O116">
            <v>0</v>
          </cell>
        </row>
        <row r="146">
          <cell r="M146">
            <v>292.59999999999991</v>
          </cell>
          <cell r="O146">
            <v>0</v>
          </cell>
        </row>
        <row r="177">
          <cell r="M177">
            <v>179.2</v>
          </cell>
          <cell r="O177">
            <v>21.2</v>
          </cell>
        </row>
        <row r="207">
          <cell r="M207">
            <v>55.100000000000016</v>
          </cell>
          <cell r="O207">
            <v>18.5</v>
          </cell>
        </row>
        <row r="238">
          <cell r="M238">
            <v>6.8000000000000007</v>
          </cell>
          <cell r="O238">
            <v>87.499999999999986</v>
          </cell>
        </row>
        <row r="269">
          <cell r="M269">
            <v>31.599999999999998</v>
          </cell>
          <cell r="O269">
            <v>23.200000000000003</v>
          </cell>
        </row>
        <row r="299">
          <cell r="M299">
            <v>179.5</v>
          </cell>
          <cell r="O299">
            <v>9.3999999999999986</v>
          </cell>
        </row>
        <row r="330">
          <cell r="M330">
            <v>458.19999999999993</v>
          </cell>
          <cell r="O330">
            <v>0</v>
          </cell>
        </row>
        <row r="360">
          <cell r="M360">
            <v>600.09999999999991</v>
          </cell>
          <cell r="O360">
            <v>0</v>
          </cell>
        </row>
        <row r="391">
          <cell r="M391">
            <v>794.2</v>
          </cell>
          <cell r="O391">
            <v>0</v>
          </cell>
        </row>
        <row r="392">
          <cell r="M392">
            <v>4947.3999999999987</v>
          </cell>
          <cell r="O392">
            <v>159.79999999999998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07-12312007"/>
    </sheetNames>
    <sheetDataSet>
      <sheetData sheetId="0">
        <row r="56">
          <cell r="M56">
            <v>905.39999999999986</v>
          </cell>
          <cell r="O56">
            <v>0</v>
          </cell>
        </row>
        <row r="85">
          <cell r="M85">
            <v>813.59999999999991</v>
          </cell>
          <cell r="O85">
            <v>0</v>
          </cell>
        </row>
        <row r="116">
          <cell r="M116">
            <v>514.70000000000005</v>
          </cell>
          <cell r="O116">
            <v>0</v>
          </cell>
        </row>
        <row r="146">
          <cell r="M146">
            <v>359.19999999999993</v>
          </cell>
          <cell r="O146">
            <v>0</v>
          </cell>
        </row>
        <row r="177">
          <cell r="M177">
            <v>157.69999999999999</v>
          </cell>
          <cell r="O177">
            <v>9.1</v>
          </cell>
        </row>
        <row r="207">
          <cell r="M207">
            <v>42.5</v>
          </cell>
          <cell r="O207">
            <v>50.2</v>
          </cell>
        </row>
        <row r="238">
          <cell r="M238">
            <v>28.799999999999997</v>
          </cell>
          <cell r="O238">
            <v>68.5</v>
          </cell>
        </row>
        <row r="269">
          <cell r="M269">
            <v>46.6</v>
          </cell>
          <cell r="O269">
            <v>25.6</v>
          </cell>
        </row>
        <row r="299">
          <cell r="M299">
            <v>162.89999999999998</v>
          </cell>
          <cell r="O299">
            <v>13.899999999999999</v>
          </cell>
        </row>
        <row r="330">
          <cell r="M330">
            <v>320.2999999999999</v>
          </cell>
          <cell r="O330">
            <v>0</v>
          </cell>
        </row>
        <row r="360">
          <cell r="M360">
            <v>569.1</v>
          </cell>
          <cell r="O360">
            <v>0</v>
          </cell>
        </row>
        <row r="391">
          <cell r="M391">
            <v>797.6</v>
          </cell>
          <cell r="O391">
            <v>0</v>
          </cell>
        </row>
        <row r="392">
          <cell r="M392">
            <v>4718.3999999999996</v>
          </cell>
          <cell r="O392">
            <v>167.3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08-12312008"/>
    </sheetNames>
    <sheetDataSet>
      <sheetData sheetId="0">
        <row r="56">
          <cell r="M56">
            <v>1025.0999999999999</v>
          </cell>
          <cell r="O56">
            <v>0</v>
          </cell>
        </row>
        <row r="85">
          <cell r="M85">
            <v>981.6</v>
          </cell>
          <cell r="O85">
            <v>0</v>
          </cell>
        </row>
        <row r="116">
          <cell r="M116">
            <v>759.30000000000007</v>
          </cell>
          <cell r="O116">
            <v>0</v>
          </cell>
        </row>
        <row r="146">
          <cell r="M146">
            <v>473.2000000000001</v>
          </cell>
          <cell r="O146">
            <v>0</v>
          </cell>
        </row>
        <row r="177">
          <cell r="M177">
            <v>321.49999999999994</v>
          </cell>
          <cell r="O177">
            <v>0</v>
          </cell>
        </row>
        <row r="207">
          <cell r="M207">
            <v>102.70000000000002</v>
          </cell>
          <cell r="O207">
            <v>8.1999999999999993</v>
          </cell>
        </row>
        <row r="238">
          <cell r="M238">
            <v>42.9</v>
          </cell>
          <cell r="O238">
            <v>19.099999999999998</v>
          </cell>
        </row>
        <row r="269">
          <cell r="M269">
            <v>49.8</v>
          </cell>
          <cell r="O269">
            <v>26.4</v>
          </cell>
        </row>
        <row r="299">
          <cell r="M299">
            <v>177.49999999999997</v>
          </cell>
          <cell r="O299">
            <v>7.8999999999999995</v>
          </cell>
        </row>
        <row r="330">
          <cell r="M330">
            <v>368.70000000000005</v>
          </cell>
          <cell r="O330">
            <v>0</v>
          </cell>
        </row>
        <row r="360">
          <cell r="M360">
            <v>613</v>
          </cell>
          <cell r="O360">
            <v>0</v>
          </cell>
        </row>
        <row r="391">
          <cell r="M391">
            <v>1127.0999999999999</v>
          </cell>
          <cell r="O391">
            <v>0</v>
          </cell>
        </row>
        <row r="392">
          <cell r="M392">
            <v>6042.4</v>
          </cell>
          <cell r="O392">
            <v>61.599999999999994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09-12312009"/>
    </sheetNames>
    <sheetDataSet>
      <sheetData sheetId="0">
        <row r="56">
          <cell r="M56">
            <v>1163.5999999999999</v>
          </cell>
          <cell r="O56">
            <v>0</v>
          </cell>
        </row>
        <row r="85">
          <cell r="M85">
            <v>882.00000000000011</v>
          </cell>
          <cell r="O85">
            <v>0</v>
          </cell>
        </row>
        <row r="116">
          <cell r="M116">
            <v>744.6</v>
          </cell>
          <cell r="O116">
            <v>0</v>
          </cell>
        </row>
        <row r="146">
          <cell r="M146">
            <v>436.59999999999997</v>
          </cell>
          <cell r="O146">
            <v>0</v>
          </cell>
        </row>
        <row r="177">
          <cell r="M177">
            <v>287.10000000000008</v>
          </cell>
          <cell r="O177">
            <v>0</v>
          </cell>
        </row>
        <row r="207">
          <cell r="M207">
            <v>118.5</v>
          </cell>
          <cell r="O207">
            <v>19.899999999999999</v>
          </cell>
        </row>
        <row r="238">
          <cell r="M238">
            <v>80.8</v>
          </cell>
          <cell r="O238">
            <v>0.8</v>
          </cell>
        </row>
        <row r="269">
          <cell r="M269">
            <v>80.700000000000017</v>
          </cell>
          <cell r="O269">
            <v>24.5</v>
          </cell>
        </row>
        <row r="299">
          <cell r="M299">
            <v>75.7</v>
          </cell>
          <cell r="O299">
            <v>13.5</v>
          </cell>
        </row>
        <row r="330">
          <cell r="M330">
            <v>447.90000000000003</v>
          </cell>
          <cell r="O330">
            <v>0</v>
          </cell>
        </row>
        <row r="360">
          <cell r="M360">
            <v>495.09999999999997</v>
          </cell>
          <cell r="O360">
            <v>0</v>
          </cell>
        </row>
        <row r="391">
          <cell r="M391">
            <v>976.69999999999993</v>
          </cell>
          <cell r="O391">
            <v>0</v>
          </cell>
        </row>
        <row r="392">
          <cell r="M392">
            <v>5789.2999999999993</v>
          </cell>
          <cell r="O392">
            <v>58.7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10-12312010"/>
    </sheetNames>
    <sheetDataSet>
      <sheetData sheetId="0">
        <row r="56">
          <cell r="M56">
            <v>1001.1999999999999</v>
          </cell>
          <cell r="O56">
            <v>0</v>
          </cell>
        </row>
        <row r="85">
          <cell r="M85">
            <v>867.80000000000018</v>
          </cell>
          <cell r="O85">
            <v>0</v>
          </cell>
        </row>
        <row r="116">
          <cell r="M116">
            <v>506.9</v>
          </cell>
          <cell r="O116">
            <v>0</v>
          </cell>
        </row>
        <row r="146">
          <cell r="M146">
            <v>300.10000000000002</v>
          </cell>
          <cell r="O146">
            <v>0</v>
          </cell>
        </row>
        <row r="177">
          <cell r="M177">
            <v>191.1999999999999</v>
          </cell>
          <cell r="O177">
            <v>10.7</v>
          </cell>
        </row>
        <row r="207">
          <cell r="M207">
            <v>84.6</v>
          </cell>
          <cell r="O207">
            <v>7.5</v>
          </cell>
        </row>
        <row r="238">
          <cell r="M238">
            <v>5.0999999999999996</v>
          </cell>
          <cell r="O238">
            <v>62.6</v>
          </cell>
        </row>
        <row r="269">
          <cell r="M269">
            <v>40.9</v>
          </cell>
          <cell r="O269">
            <v>78.600000000000009</v>
          </cell>
        </row>
        <row r="299">
          <cell r="M299">
            <v>238.50000000000006</v>
          </cell>
          <cell r="O299">
            <v>0</v>
          </cell>
        </row>
        <row r="330">
          <cell r="M330">
            <v>313.10000000000002</v>
          </cell>
          <cell r="O330">
            <v>0</v>
          </cell>
        </row>
        <row r="360">
          <cell r="M360">
            <v>525.1</v>
          </cell>
          <cell r="O360">
            <v>0</v>
          </cell>
        </row>
        <row r="391">
          <cell r="M391">
            <v>974.39999999999975</v>
          </cell>
          <cell r="O391">
            <v>0</v>
          </cell>
        </row>
        <row r="392">
          <cell r="M392">
            <v>5048.8999999999996</v>
          </cell>
          <cell r="O392">
            <v>159.4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11-12312011"/>
    </sheetNames>
    <sheetDataSet>
      <sheetData sheetId="0">
        <row r="56">
          <cell r="M56">
            <v>1132.3</v>
          </cell>
          <cell r="O56">
            <v>0</v>
          </cell>
        </row>
        <row r="85">
          <cell r="M85">
            <v>871.5999999999998</v>
          </cell>
          <cell r="O85">
            <v>0</v>
          </cell>
        </row>
        <row r="116">
          <cell r="M116">
            <v>750.19999999999982</v>
          </cell>
          <cell r="O116">
            <v>0</v>
          </cell>
        </row>
        <row r="146">
          <cell r="M146">
            <v>412.60000000000014</v>
          </cell>
          <cell r="O146">
            <v>0</v>
          </cell>
        </row>
        <row r="177">
          <cell r="M177">
            <v>208.29999999999995</v>
          </cell>
          <cell r="O177">
            <v>0.2</v>
          </cell>
        </row>
        <row r="207">
          <cell r="M207">
            <v>93.300000000000026</v>
          </cell>
          <cell r="O207">
            <v>14.999999999999998</v>
          </cell>
        </row>
        <row r="238">
          <cell r="M238">
            <v>13.100000000000001</v>
          </cell>
          <cell r="O238">
            <v>84.1</v>
          </cell>
        </row>
        <row r="269">
          <cell r="M269">
            <v>24.999999999999996</v>
          </cell>
          <cell r="O269">
            <v>37.299999999999997</v>
          </cell>
        </row>
        <row r="299">
          <cell r="M299">
            <v>182.3</v>
          </cell>
          <cell r="O299">
            <v>9</v>
          </cell>
        </row>
        <row r="330">
          <cell r="M330">
            <v>305.59999999999997</v>
          </cell>
          <cell r="O330">
            <v>6.4</v>
          </cell>
        </row>
        <row r="360">
          <cell r="M360">
            <v>585.19999999999993</v>
          </cell>
          <cell r="O360">
            <v>0</v>
          </cell>
        </row>
        <row r="391">
          <cell r="M391">
            <v>788.4</v>
          </cell>
          <cell r="O391">
            <v>0</v>
          </cell>
        </row>
        <row r="392">
          <cell r="M392">
            <v>5367.9</v>
          </cell>
          <cell r="O392">
            <v>152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2012-12312012"/>
    </sheetNames>
    <sheetDataSet>
      <sheetData sheetId="0">
        <row r="56">
          <cell r="M56">
            <v>875.50000000000011</v>
          </cell>
          <cell r="O56">
            <v>0</v>
          </cell>
        </row>
        <row r="85">
          <cell r="M85">
            <v>743.6</v>
          </cell>
          <cell r="O85">
            <v>0</v>
          </cell>
        </row>
        <row r="116">
          <cell r="M116">
            <v>445.2</v>
          </cell>
          <cell r="O116">
            <v>2.6</v>
          </cell>
        </row>
        <row r="146">
          <cell r="M146">
            <v>396.2000000000001</v>
          </cell>
          <cell r="O146">
            <v>0</v>
          </cell>
        </row>
        <row r="177">
          <cell r="M177">
            <v>186.8</v>
          </cell>
          <cell r="O177">
            <v>4.5999999999999996</v>
          </cell>
        </row>
        <row r="207">
          <cell r="M207">
            <v>45.099999999999994</v>
          </cell>
          <cell r="O207">
            <v>29.1</v>
          </cell>
        </row>
        <row r="238">
          <cell r="M238">
            <v>0.7</v>
          </cell>
          <cell r="O238">
            <v>95.500000000000028</v>
          </cell>
        </row>
        <row r="269">
          <cell r="M269">
            <v>57.100000000000009</v>
          </cell>
          <cell r="O269">
            <v>25.899999999999995</v>
          </cell>
        </row>
        <row r="299">
          <cell r="M299">
            <v>217.69999999999996</v>
          </cell>
          <cell r="O299">
            <v>4.0999999999999996</v>
          </cell>
        </row>
        <row r="330">
          <cell r="M330">
            <v>427.90000000000003</v>
          </cell>
          <cell r="O330">
            <v>0</v>
          </cell>
        </row>
        <row r="360">
          <cell r="M360">
            <v>623.6</v>
          </cell>
          <cell r="O360">
            <v>0</v>
          </cell>
        </row>
        <row r="391">
          <cell r="M391">
            <v>933.19999999999993</v>
          </cell>
          <cell r="O391">
            <v>0</v>
          </cell>
        </row>
        <row r="392">
          <cell r="M392">
            <v>4952.6000000000004</v>
          </cell>
          <cell r="O392">
            <v>161.80000000000001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24">
          <cell r="E24">
            <v>2014</v>
          </cell>
        </row>
        <row r="26">
          <cell r="E26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essage"/>
      <sheetName val="TOC"/>
      <sheetName val="Summary"/>
      <sheetName val="2.3 Results Participation - LDC"/>
      <sheetName val="2.5.1 Evaluation Findings"/>
      <sheetName val="2.5.2 Results - LDC"/>
      <sheetName val="3.1.1 Summary - LDC"/>
      <sheetName val="Provincial - Participation"/>
      <sheetName val="Provincial - Results"/>
      <sheetName val="Provincial - Progress Summary"/>
      <sheetName val="Methodology"/>
      <sheetName val="Reference Tables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21">
            <v>0.10713263318274047</v>
          </cell>
          <cell r="C21">
            <v>0.10713263318274047</v>
          </cell>
          <cell r="D21">
            <v>0.10713263318274047</v>
          </cell>
          <cell r="E21">
            <v>0.10629499156597456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1993-12311993"/>
    </sheetNames>
    <sheetDataSet>
      <sheetData sheetId="0">
        <row r="56">
          <cell r="M56">
            <v>1029.8999999999996</v>
          </cell>
          <cell r="O56">
            <v>0</v>
          </cell>
        </row>
        <row r="85">
          <cell r="M85">
            <v>860.69999999999982</v>
          </cell>
          <cell r="O85">
            <v>0</v>
          </cell>
        </row>
        <row r="116">
          <cell r="M116">
            <v>668.6</v>
          </cell>
          <cell r="O116">
            <v>0</v>
          </cell>
        </row>
        <row r="146">
          <cell r="M146">
            <v>442.29999999999984</v>
          </cell>
          <cell r="O146">
            <v>0</v>
          </cell>
        </row>
        <row r="177">
          <cell r="M177">
            <v>236.89999999999989</v>
          </cell>
          <cell r="O177">
            <v>1.6</v>
          </cell>
        </row>
        <row r="207">
          <cell r="M207">
            <v>116.70000000000003</v>
          </cell>
          <cell r="O207">
            <v>17.7</v>
          </cell>
        </row>
        <row r="238">
          <cell r="M238">
            <v>34.5</v>
          </cell>
          <cell r="O238">
            <v>28.6</v>
          </cell>
        </row>
        <row r="269">
          <cell r="M269">
            <v>41.600000000000009</v>
          </cell>
          <cell r="O269">
            <v>47.599999999999994</v>
          </cell>
        </row>
        <row r="299">
          <cell r="M299">
            <v>264.69999999999993</v>
          </cell>
          <cell r="O299">
            <v>0</v>
          </cell>
        </row>
        <row r="330">
          <cell r="M330">
            <v>458.70000000000005</v>
          </cell>
          <cell r="O330">
            <v>0</v>
          </cell>
        </row>
        <row r="360">
          <cell r="M360">
            <v>699.99999999999989</v>
          </cell>
          <cell r="O360">
            <v>0</v>
          </cell>
        </row>
        <row r="391">
          <cell r="M391">
            <v>792.89999999999986</v>
          </cell>
          <cell r="O391">
            <v>0</v>
          </cell>
        </row>
        <row r="392">
          <cell r="M392">
            <v>5647.4999999999982</v>
          </cell>
          <cell r="N392">
            <v>95.499999999999986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1994-12311994"/>
    </sheetNames>
    <sheetDataSet>
      <sheetData sheetId="0">
        <row r="56">
          <cell r="M56">
            <v>1210.3999999999999</v>
          </cell>
          <cell r="O56">
            <v>0</v>
          </cell>
        </row>
        <row r="85">
          <cell r="M85">
            <v>940.09999999999968</v>
          </cell>
          <cell r="O85">
            <v>0</v>
          </cell>
        </row>
        <row r="116">
          <cell r="M116">
            <v>617.30000000000007</v>
          </cell>
          <cell r="O116">
            <v>0</v>
          </cell>
        </row>
        <row r="146">
          <cell r="M146">
            <v>448.39999999999992</v>
          </cell>
          <cell r="O146">
            <v>0</v>
          </cell>
        </row>
        <row r="177">
          <cell r="M177">
            <v>191.99999999999994</v>
          </cell>
          <cell r="O177">
            <v>9.1</v>
          </cell>
        </row>
        <row r="207">
          <cell r="M207">
            <v>46.100000000000009</v>
          </cell>
          <cell r="O207">
            <v>26.100000000000005</v>
          </cell>
        </row>
        <row r="238">
          <cell r="M238">
            <v>31.099999999999998</v>
          </cell>
          <cell r="O238">
            <v>29.3</v>
          </cell>
        </row>
        <row r="269">
          <cell r="M269">
            <v>76.900000000000006</v>
          </cell>
          <cell r="O269">
            <v>20.7</v>
          </cell>
        </row>
        <row r="299">
          <cell r="M299">
            <v>129.90000000000003</v>
          </cell>
          <cell r="O299">
            <v>3.8</v>
          </cell>
        </row>
        <row r="330">
          <cell r="M330">
            <v>307.3</v>
          </cell>
          <cell r="O330">
            <v>0</v>
          </cell>
        </row>
        <row r="360">
          <cell r="M360">
            <v>561.9</v>
          </cell>
          <cell r="O360">
            <v>0</v>
          </cell>
        </row>
        <row r="391">
          <cell r="M391">
            <v>794.29999999999973</v>
          </cell>
          <cell r="O391">
            <v>0</v>
          </cell>
        </row>
        <row r="392">
          <cell r="M392">
            <v>5355.6999999999989</v>
          </cell>
          <cell r="N392">
            <v>88.999999999999957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ng-daily-01011995-12311995"/>
    </sheetNames>
    <sheetDataSet>
      <sheetData sheetId="0">
        <row r="56">
          <cell r="M56">
            <v>959.49999999999966</v>
          </cell>
          <cell r="O56">
            <v>0</v>
          </cell>
        </row>
        <row r="85">
          <cell r="M85">
            <v>921.19999999999982</v>
          </cell>
          <cell r="O85">
            <v>0</v>
          </cell>
        </row>
        <row r="116">
          <cell r="M116">
            <v>664.49999999999977</v>
          </cell>
          <cell r="O116">
            <v>0</v>
          </cell>
        </row>
        <row r="146">
          <cell r="M146">
            <v>534.4</v>
          </cell>
          <cell r="O146">
            <v>0</v>
          </cell>
        </row>
        <row r="177">
          <cell r="M177">
            <v>239.89999999999998</v>
          </cell>
          <cell r="O177">
            <v>2.8</v>
          </cell>
        </row>
        <row r="207">
          <cell r="M207">
            <v>50.5</v>
          </cell>
          <cell r="O207">
            <v>90.699999999999989</v>
          </cell>
        </row>
        <row r="238">
          <cell r="M238">
            <v>31.099999999999998</v>
          </cell>
          <cell r="O238">
            <v>42.5</v>
          </cell>
        </row>
        <row r="269">
          <cell r="M269">
            <v>24.1</v>
          </cell>
          <cell r="O269">
            <v>55</v>
          </cell>
        </row>
        <row r="299">
          <cell r="M299">
            <v>205.19999999999993</v>
          </cell>
          <cell r="O299">
            <v>1.8</v>
          </cell>
        </row>
        <row r="330">
          <cell r="M330">
            <v>403.09999999999997</v>
          </cell>
          <cell r="O330">
            <v>0</v>
          </cell>
        </row>
        <row r="360">
          <cell r="M360">
            <v>838.69999999999982</v>
          </cell>
          <cell r="O360">
            <v>0</v>
          </cell>
        </row>
        <row r="391">
          <cell r="M391">
            <v>984.19999999999959</v>
          </cell>
          <cell r="O391">
            <v>0</v>
          </cell>
        </row>
        <row r="392">
          <cell r="M392">
            <v>5856.3999999999987</v>
          </cell>
          <cell r="N392">
            <v>192.8000000000001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2" sqref="M12:M41"/>
    </sheetView>
  </sheetViews>
  <sheetFormatPr defaultRowHeight="12.75"/>
  <cols>
    <col min="1" max="1" width="34.7109375" customWidth="1"/>
    <col min="2" max="2" width="12.5703125" style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bestFit="1" customWidth="1"/>
    <col min="8" max="10" width="12.85546875" style="1" customWidth="1"/>
    <col min="11" max="11" width="12.7109375" style="23" bestFit="1" customWidth="1"/>
    <col min="12" max="12" width="13.140625" style="1" customWidth="1"/>
    <col min="13" max="13" width="13.140625" style="94" customWidth="1"/>
    <col min="15" max="16" width="12.7109375" bestFit="1" customWidth="1"/>
  </cols>
  <sheetData>
    <row r="1" spans="1:16" ht="15.75">
      <c r="A1" s="44" t="s">
        <v>148</v>
      </c>
    </row>
    <row r="3" spans="1:16" ht="38.25">
      <c r="B3" s="46" t="s">
        <v>50</v>
      </c>
      <c r="C3" s="46" t="s">
        <v>51</v>
      </c>
      <c r="D3" s="46" t="s">
        <v>52</v>
      </c>
      <c r="E3" s="46" t="s">
        <v>53</v>
      </c>
      <c r="F3" s="46" t="s">
        <v>54</v>
      </c>
      <c r="G3" s="46" t="s">
        <v>64</v>
      </c>
      <c r="H3" s="46" t="s">
        <v>67</v>
      </c>
      <c r="I3" s="46" t="s">
        <v>72</v>
      </c>
      <c r="J3" s="46" t="s">
        <v>73</v>
      </c>
      <c r="K3" s="46" t="s">
        <v>131</v>
      </c>
      <c r="L3" s="46" t="s">
        <v>74</v>
      </c>
      <c r="M3" s="46" t="s">
        <v>132</v>
      </c>
    </row>
    <row r="4" spans="1:16">
      <c r="A4" s="19" t="s">
        <v>57</v>
      </c>
      <c r="B4" s="29">
        <f>'Purchased Power Model '!B150</f>
        <v>83865020</v>
      </c>
      <c r="C4" s="29">
        <f>'Purchased Power Model '!B151</f>
        <v>85465666</v>
      </c>
      <c r="D4" s="29">
        <f>'Purchased Power Model '!B152</f>
        <v>87506711</v>
      </c>
      <c r="E4" s="29">
        <f>'Purchased Power Model '!B153</f>
        <v>86305341</v>
      </c>
      <c r="F4" s="29">
        <f>'Purchased Power Model '!B154</f>
        <v>87693969</v>
      </c>
      <c r="G4" s="29">
        <f>'Purchased Power Model '!B155</f>
        <v>87543088</v>
      </c>
      <c r="H4" s="29">
        <f>'Purchased Power Model '!B156</f>
        <v>86145680</v>
      </c>
      <c r="I4" s="29">
        <f>'Purchased Power Model '!B157</f>
        <v>84047771</v>
      </c>
      <c r="J4" s="29">
        <f>'Purchased Power Model '!B158</f>
        <v>83026301</v>
      </c>
      <c r="K4" s="61">
        <f>'Purchased Power Model '!B159</f>
        <v>80138104</v>
      </c>
    </row>
    <row r="5" spans="1:16">
      <c r="A5" s="19" t="s">
        <v>58</v>
      </c>
      <c r="B5" s="29">
        <f>'Purchased Power Model '!N150</f>
        <v>84886866.001184136</v>
      </c>
      <c r="C5" s="29">
        <f>'Purchased Power Model '!N151</f>
        <v>85501943.515376061</v>
      </c>
      <c r="D5" s="29">
        <f>'Purchased Power Model '!N152</f>
        <v>87374193.813147485</v>
      </c>
      <c r="E5" s="29">
        <f>'Purchased Power Model '!N153</f>
        <v>86028268.656512722</v>
      </c>
      <c r="F5" s="29">
        <f>'Purchased Power Model '!N154</f>
        <v>85086374.979876891</v>
      </c>
      <c r="G5" s="29">
        <f>'Purchased Power Model '!N155</f>
        <v>88159245.362066716</v>
      </c>
      <c r="H5" s="29">
        <f>'Purchased Power Model '!N156</f>
        <v>84678078.278901368</v>
      </c>
      <c r="I5" s="29">
        <f>'Purchased Power Model '!N157</f>
        <v>83357806.718315616</v>
      </c>
      <c r="J5" s="29">
        <f>'Purchased Power Model '!N158</f>
        <v>86526769.674619079</v>
      </c>
      <c r="K5" s="61">
        <f>'Purchased Power Model '!N159</f>
        <v>80138104</v>
      </c>
      <c r="L5" s="29">
        <f>'Purchased Power Model '!N160</f>
        <v>81839917.799358904</v>
      </c>
      <c r="M5" s="29">
        <f>'Purchased Power Model '!N161</f>
        <v>82927699.830487669</v>
      </c>
    </row>
    <row r="6" spans="1:16">
      <c r="A6" s="19" t="s">
        <v>9</v>
      </c>
      <c r="B6" s="45">
        <f t="shared" ref="B6:K6" si="0">(B5-B4)/B4</f>
        <v>1.2184412537958444E-2</v>
      </c>
      <c r="C6" s="45">
        <f t="shared" si="0"/>
        <v>4.2446887825177892E-4</v>
      </c>
      <c r="D6" s="45">
        <f t="shared" si="0"/>
        <v>-1.5143659879127984E-3</v>
      </c>
      <c r="E6" s="45">
        <f t="shared" si="0"/>
        <v>-3.210373080934558E-3</v>
      </c>
      <c r="F6" s="45">
        <f t="shared" si="0"/>
        <v>-2.973515795736317E-2</v>
      </c>
      <c r="G6" s="45">
        <f t="shared" si="0"/>
        <v>7.0383325073787202E-3</v>
      </c>
      <c r="H6" s="45">
        <f t="shared" si="0"/>
        <v>-1.7036277629924469E-2</v>
      </c>
      <c r="I6" s="45">
        <f t="shared" si="0"/>
        <v>-8.2091919092581733E-3</v>
      </c>
      <c r="J6" s="45">
        <f t="shared" si="0"/>
        <v>4.2160961435811509E-2</v>
      </c>
      <c r="K6" s="45">
        <f t="shared" si="0"/>
        <v>0</v>
      </c>
      <c r="L6" s="52"/>
      <c r="M6" s="52"/>
      <c r="N6" s="53"/>
      <c r="O6" s="32"/>
      <c r="P6" s="32"/>
    </row>
    <row r="7" spans="1:16">
      <c r="B7"/>
      <c r="C7"/>
      <c r="D7"/>
      <c r="E7"/>
      <c r="F7"/>
      <c r="G7"/>
      <c r="H7"/>
      <c r="I7"/>
      <c r="J7"/>
      <c r="K7"/>
      <c r="L7"/>
      <c r="M7"/>
    </row>
    <row r="8" spans="1:16">
      <c r="A8" s="19" t="s">
        <v>60</v>
      </c>
      <c r="B8" s="29">
        <f>'Rate Class Energy Model'!G7</f>
        <v>79544499</v>
      </c>
      <c r="C8" s="29">
        <f>'Rate Class Energy Model'!G8</f>
        <v>81912045</v>
      </c>
      <c r="D8" s="29">
        <f>'Rate Class Energy Model'!G9</f>
        <v>83794682</v>
      </c>
      <c r="E8" s="29">
        <f>'Rate Class Energy Model'!G10</f>
        <v>82548494</v>
      </c>
      <c r="F8" s="29">
        <f>'Rate Class Energy Model'!G11</f>
        <v>84053323</v>
      </c>
      <c r="G8" s="29">
        <f>'Rate Class Energy Model'!G12</f>
        <v>82946030</v>
      </c>
      <c r="H8" s="29">
        <f>'Rate Class Energy Model'!G13</f>
        <v>82609290</v>
      </c>
      <c r="I8" s="29">
        <f>'Rate Class Energy Model'!G14</f>
        <v>80261913</v>
      </c>
      <c r="J8" s="29">
        <f>'Rate Class Energy Model'!G15</f>
        <v>79917568</v>
      </c>
      <c r="K8" s="61">
        <f>'Rate Class Energy Model'!G16</f>
        <v>76975895</v>
      </c>
      <c r="L8" s="61">
        <f>'Rate Class Energy Model'!M58</f>
        <v>77733606.233088925</v>
      </c>
      <c r="M8" s="61">
        <f>'Rate Class Energy Model'!M59</f>
        <v>78161019.180321634</v>
      </c>
      <c r="N8" s="53"/>
      <c r="O8" s="72"/>
      <c r="P8" s="72"/>
    </row>
    <row r="9" spans="1:16">
      <c r="A9" s="19"/>
      <c r="B9" s="42"/>
      <c r="C9" s="42"/>
      <c r="D9" s="42"/>
      <c r="E9" s="42"/>
      <c r="F9" s="42"/>
      <c r="H9" s="23"/>
      <c r="I9" s="23"/>
      <c r="J9" s="23"/>
    </row>
    <row r="10" spans="1:16" ht="15.75">
      <c r="A10" s="44" t="s">
        <v>59</v>
      </c>
    </row>
    <row r="11" spans="1:16">
      <c r="A11" s="43" t="str">
        <f>'Rate Class Energy Model'!H2</f>
        <v xml:space="preserve">Residential </v>
      </c>
    </row>
    <row r="12" spans="1:16">
      <c r="A12" t="s">
        <v>47</v>
      </c>
      <c r="B12" s="6">
        <f>'Rate Class Customer Model'!B3</f>
        <v>3390</v>
      </c>
      <c r="C12" s="6">
        <f>'Rate Class Customer Model'!B4</f>
        <v>3385</v>
      </c>
      <c r="D12" s="6">
        <f>'Rate Class Customer Model'!B5</f>
        <v>3412</v>
      </c>
      <c r="E12" s="6">
        <f>'Rate Class Customer Model'!B6</f>
        <v>3380</v>
      </c>
      <c r="F12" s="6">
        <f>'Rate Class Customer Model'!B7</f>
        <v>3332</v>
      </c>
      <c r="G12" s="6">
        <f>'Rate Class Customer Model'!B8</f>
        <v>3305</v>
      </c>
      <c r="H12" s="6">
        <f>'Rate Class Customer Model'!B9</f>
        <v>3309</v>
      </c>
      <c r="I12" s="6">
        <f>'Rate Class Customer Model'!B10</f>
        <v>3307</v>
      </c>
      <c r="J12" s="6">
        <f>'Rate Class Customer Model'!B11</f>
        <v>3308</v>
      </c>
      <c r="K12" s="27">
        <f>'Rate Class Customer Model'!B12</f>
        <v>3308</v>
      </c>
      <c r="L12" s="6">
        <f>'Rate Class Customer Model'!B13</f>
        <v>3299.0122136552195</v>
      </c>
      <c r="M12" s="6">
        <f>'Rate Class Customer Model'!B14</f>
        <v>3290.0488469910251</v>
      </c>
    </row>
    <row r="13" spans="1:16">
      <c r="A13" t="s">
        <v>48</v>
      </c>
      <c r="B13" s="6">
        <f>'Rate Class Energy Model'!H7</f>
        <v>38329311</v>
      </c>
      <c r="C13" s="6">
        <f>'Rate Class Energy Model'!H8</f>
        <v>38423702</v>
      </c>
      <c r="D13" s="6">
        <f>'Rate Class Energy Model'!H9</f>
        <v>39001595</v>
      </c>
      <c r="E13" s="6">
        <f>'Rate Class Energy Model'!H10</f>
        <v>38674263</v>
      </c>
      <c r="F13" s="6">
        <f>'Rate Class Energy Model'!H11</f>
        <v>40986845</v>
      </c>
      <c r="G13" s="6">
        <f>'Rate Class Energy Model'!H12</f>
        <v>40872765</v>
      </c>
      <c r="H13" s="6">
        <f>'Rate Class Energy Model'!H13</f>
        <v>40921847</v>
      </c>
      <c r="I13" s="6">
        <f>'Rate Class Energy Model'!H14</f>
        <v>38642702</v>
      </c>
      <c r="J13" s="6">
        <f>'Rate Class Energy Model'!H15</f>
        <v>38681251</v>
      </c>
      <c r="K13" s="27">
        <f>'Rate Class Energy Model'!H16</f>
        <v>37169840</v>
      </c>
      <c r="L13" s="6">
        <f>'Rate Class Energy Model'!H58</f>
        <v>37551665.490077734</v>
      </c>
      <c r="M13" s="6">
        <f>'Rate Class Energy Model'!H59</f>
        <v>37751517.669869661</v>
      </c>
    </row>
    <row r="14" spans="1:16">
      <c r="G14" s="53"/>
      <c r="H14" s="23"/>
      <c r="I14" s="23"/>
      <c r="J14" s="23"/>
      <c r="L14" s="52"/>
      <c r="M14" s="52"/>
    </row>
    <row r="15" spans="1:16">
      <c r="A15" s="43" t="str">
        <f>'Rate Class Energy Model'!I2</f>
        <v>General Service
&lt; 50 kW</v>
      </c>
    </row>
    <row r="16" spans="1:16">
      <c r="A16" t="s">
        <v>47</v>
      </c>
      <c r="B16" s="6">
        <f>'Rate Class Customer Model'!C3</f>
        <v>474</v>
      </c>
      <c r="C16" s="6">
        <f>'Rate Class Customer Model'!C4</f>
        <v>485</v>
      </c>
      <c r="D16" s="6">
        <f>'Rate Class Customer Model'!C5</f>
        <v>445</v>
      </c>
      <c r="E16" s="6">
        <f>'Rate Class Customer Model'!C6</f>
        <v>437</v>
      </c>
      <c r="F16" s="6">
        <f>'Rate Class Customer Model'!C7</f>
        <v>438</v>
      </c>
      <c r="G16" s="6">
        <f>'Rate Class Customer Model'!C8</f>
        <v>426</v>
      </c>
      <c r="H16" s="6">
        <f>'Rate Class Customer Model'!C9</f>
        <v>418</v>
      </c>
      <c r="I16" s="6">
        <f>'Rate Class Customer Model'!C10</f>
        <v>419</v>
      </c>
      <c r="J16" s="6">
        <f>'Rate Class Customer Model'!C11</f>
        <v>421</v>
      </c>
      <c r="K16" s="6">
        <f>'Rate Class Customer Model'!C12</f>
        <v>417</v>
      </c>
      <c r="L16" s="6">
        <f>'Rate Class Customer Model'!C13</f>
        <v>411.10577604849215</v>
      </c>
      <c r="M16" s="6">
        <f>'Rate Class Customer Model'!C14</f>
        <v>405.29486594828052</v>
      </c>
    </row>
    <row r="17" spans="1:13">
      <c r="A17" t="s">
        <v>48</v>
      </c>
      <c r="B17" s="6">
        <f>'Rate Class Energy Model'!I7</f>
        <v>23250299</v>
      </c>
      <c r="C17" s="6">
        <f>'Rate Class Energy Model'!I8</f>
        <v>21496720</v>
      </c>
      <c r="D17" s="6">
        <f>'Rate Class Energy Model'!I9</f>
        <v>16510730</v>
      </c>
      <c r="E17" s="6">
        <f>'Rate Class Energy Model'!I10</f>
        <v>15350875</v>
      </c>
      <c r="F17" s="6">
        <f>'Rate Class Energy Model'!I11</f>
        <v>15178972</v>
      </c>
      <c r="G17" s="6">
        <f>'Rate Class Energy Model'!I12</f>
        <v>15341926</v>
      </c>
      <c r="H17" s="6">
        <f>'Rate Class Energy Model'!I13</f>
        <v>15681898</v>
      </c>
      <c r="I17" s="6">
        <f>'Rate Class Energy Model'!I14</f>
        <v>15009183</v>
      </c>
      <c r="J17" s="6">
        <f>'Rate Class Energy Model'!I15</f>
        <v>15033140</v>
      </c>
      <c r="K17" s="6">
        <f>'Rate Class Energy Model'!I16</f>
        <v>14736725</v>
      </c>
      <c r="L17" s="6">
        <f>'Rate Class Energy Model'!I58</f>
        <v>14200992.123067169</v>
      </c>
      <c r="M17" s="6">
        <f>'Rate Class Energy Model'!I59</f>
        <v>13617679.039438739</v>
      </c>
    </row>
    <row r="18" spans="1:13">
      <c r="G18" s="53"/>
      <c r="H18" s="23"/>
      <c r="I18" s="23"/>
      <c r="J18" s="23"/>
      <c r="L18" s="52"/>
      <c r="M18" s="52"/>
    </row>
    <row r="19" spans="1:13">
      <c r="A19" s="43" t="str">
        <f>'Rate Class Energy Model'!J2</f>
        <v>General Service
&gt; 50 kW</v>
      </c>
      <c r="L19" s="6"/>
      <c r="M19" s="6"/>
    </row>
    <row r="20" spans="1:13">
      <c r="A20" t="s">
        <v>47</v>
      </c>
      <c r="B20" s="6">
        <f>'Rate Class Customer Model'!D3</f>
        <v>40</v>
      </c>
      <c r="C20" s="6">
        <f>'Rate Class Customer Model'!D4</f>
        <v>43</v>
      </c>
      <c r="D20" s="6">
        <f>'Rate Class Customer Model'!D5</f>
        <v>47</v>
      </c>
      <c r="E20" s="6">
        <f>'Rate Class Customer Model'!D6</f>
        <v>47</v>
      </c>
      <c r="F20" s="6">
        <f>'Rate Class Customer Model'!D7</f>
        <v>47</v>
      </c>
      <c r="G20" s="6">
        <f>'Rate Class Customer Model'!D8</f>
        <v>49</v>
      </c>
      <c r="H20" s="6">
        <f>'Rate Class Customer Model'!D9</f>
        <v>47</v>
      </c>
      <c r="I20" s="6">
        <f>'Rate Class Customer Model'!D10</f>
        <v>51</v>
      </c>
      <c r="J20" s="27">
        <f>'Rate Class Customer Model'!D11</f>
        <v>46</v>
      </c>
      <c r="K20" s="6">
        <f>'Rate Class Customer Model'!D12</f>
        <v>46</v>
      </c>
      <c r="L20" s="6">
        <f>'Rate Class Customer Model'!D13</f>
        <v>46.719914160370458</v>
      </c>
      <c r="M20" s="6">
        <f>'Rate Class Customer Model'!D14</f>
        <v>47.451095198964865</v>
      </c>
    </row>
    <row r="21" spans="1:13">
      <c r="A21" t="s">
        <v>48</v>
      </c>
      <c r="B21" s="6">
        <f>'Rate Class Energy Model'!J7</f>
        <v>16680161</v>
      </c>
      <c r="C21" s="6">
        <f>'Rate Class Energy Model'!J8</f>
        <v>20470323</v>
      </c>
      <c r="D21" s="6">
        <f>'Rate Class Energy Model'!J9</f>
        <v>26878664</v>
      </c>
      <c r="E21" s="6">
        <f>'Rate Class Energy Model'!J10</f>
        <v>27269745</v>
      </c>
      <c r="F21" s="6">
        <f>'Rate Class Energy Model'!J11</f>
        <v>26441963</v>
      </c>
      <c r="G21" s="6">
        <f>'Rate Class Energy Model'!J12</f>
        <v>25476812</v>
      </c>
      <c r="H21" s="6">
        <f>'Rate Class Energy Model'!J13</f>
        <v>24920577</v>
      </c>
      <c r="I21" s="6">
        <f>'Rate Class Energy Model'!J14</f>
        <v>25386687</v>
      </c>
      <c r="J21" s="6">
        <f>'Rate Class Energy Model'!J15</f>
        <v>24978251</v>
      </c>
      <c r="K21" s="6">
        <f>'Rate Class Energy Model'!J16</f>
        <v>23898102</v>
      </c>
      <c r="L21" s="6">
        <f>'Rate Class Energy Model'!J58</f>
        <v>25160586.681349851</v>
      </c>
      <c r="M21" s="6">
        <f>'Rate Class Energy Model'!J59</f>
        <v>26376323.625608891</v>
      </c>
    </row>
    <row r="22" spans="1:13">
      <c r="A22" t="s">
        <v>49</v>
      </c>
      <c r="B22" s="6">
        <f>'Rate Class Load Model'!B3</f>
        <v>54293</v>
      </c>
      <c r="C22" s="6">
        <f>'Rate Class Load Model'!B4</f>
        <v>59088</v>
      </c>
      <c r="D22" s="6">
        <f>'Rate Class Load Model'!B5</f>
        <v>63396</v>
      </c>
      <c r="E22" s="6">
        <f>'Rate Class Load Model'!B6</f>
        <v>58180</v>
      </c>
      <c r="F22" s="6">
        <f>'Rate Class Load Model'!B7</f>
        <v>63900</v>
      </c>
      <c r="G22" s="6">
        <f>'Rate Class Load Model'!B8</f>
        <v>61980</v>
      </c>
      <c r="H22" s="6">
        <f>'Rate Class Load Model'!B9</f>
        <v>61771</v>
      </c>
      <c r="I22" s="27">
        <f>'Rate Class Load Model'!B10</f>
        <v>65577</v>
      </c>
      <c r="J22" s="27">
        <f>'Rate Class Load Model'!B11</f>
        <v>63157</v>
      </c>
      <c r="K22" s="6">
        <f>'Rate Class Load Model'!B12</f>
        <v>58302</v>
      </c>
      <c r="L22" s="6">
        <f>'Rate Class Load Model'!B13</f>
        <v>64191.967675263215</v>
      </c>
      <c r="M22" s="6">
        <f>'Rate Class Load Model'!B14</f>
        <v>67293.665883490874</v>
      </c>
    </row>
    <row r="23" spans="1:13">
      <c r="G23" s="53"/>
      <c r="H23" s="23"/>
      <c r="I23" s="23"/>
      <c r="J23" s="23"/>
      <c r="L23" s="52"/>
      <c r="M23" s="52"/>
    </row>
    <row r="24" spans="1:13">
      <c r="A24" s="43" t="str">
        <f>'Rate Class Energy Model'!K2</f>
        <v xml:space="preserve">Streetlights </v>
      </c>
      <c r="L24" s="6"/>
      <c r="M24" s="6"/>
    </row>
    <row r="25" spans="1:13">
      <c r="A25" t="s">
        <v>68</v>
      </c>
      <c r="B25" s="6">
        <f>'Rate Class Customer Model'!E3</f>
        <v>1006</v>
      </c>
      <c r="C25" s="6">
        <f>'Rate Class Customer Model'!E4</f>
        <v>1006</v>
      </c>
      <c r="D25" s="6">
        <f>'Rate Class Customer Model'!E5</f>
        <v>1006</v>
      </c>
      <c r="E25" s="6">
        <f>'Rate Class Customer Model'!E6</f>
        <v>1006</v>
      </c>
      <c r="F25" s="6">
        <f>'Rate Class Customer Model'!E7</f>
        <v>1006</v>
      </c>
      <c r="G25" s="6">
        <f>'Rate Class Customer Model'!E8</f>
        <v>1006</v>
      </c>
      <c r="H25" s="6">
        <f>'Rate Class Customer Model'!E9</f>
        <v>1006</v>
      </c>
      <c r="I25" s="27">
        <f>'Rate Class Customer Model'!E10</f>
        <v>1006</v>
      </c>
      <c r="J25" s="27">
        <f>'Rate Class Customer Model'!E11</f>
        <v>1006</v>
      </c>
      <c r="K25" s="6">
        <f>'Rate Class Customer Model'!E12</f>
        <v>1006</v>
      </c>
      <c r="L25" s="6">
        <f>'Rate Class Customer Model'!E13</f>
        <v>1006</v>
      </c>
      <c r="M25" s="6">
        <f>'Rate Class Customer Model'!E14</f>
        <v>1006</v>
      </c>
    </row>
    <row r="26" spans="1:13">
      <c r="A26" t="s">
        <v>48</v>
      </c>
      <c r="B26" s="6">
        <f>'Rate Class Energy Model'!K7</f>
        <v>1092500</v>
      </c>
      <c r="C26" s="6">
        <f>'Rate Class Energy Model'!K8</f>
        <v>1329072</v>
      </c>
      <c r="D26" s="6">
        <f>'Rate Class Energy Model'!K9</f>
        <v>1211465</v>
      </c>
      <c r="E26" s="6">
        <f>'Rate Class Energy Model'!K10</f>
        <v>1061383</v>
      </c>
      <c r="F26" s="6">
        <f>'Rate Class Energy Model'!K11</f>
        <v>1270115</v>
      </c>
      <c r="G26" s="6">
        <f>'Rate Class Energy Model'!K12</f>
        <v>1179263</v>
      </c>
      <c r="H26" s="6">
        <f>'Rate Class Energy Model'!K13</f>
        <v>1014240</v>
      </c>
      <c r="I26" s="6">
        <f>'Rate Class Energy Model'!K14</f>
        <v>1158527</v>
      </c>
      <c r="J26" s="6">
        <f>'Rate Class Energy Model'!K15</f>
        <v>1162298</v>
      </c>
      <c r="K26" s="6">
        <f>'Rate Class Energy Model'!K16</f>
        <v>1108600</v>
      </c>
      <c r="L26" s="63">
        <f>'Rate Class Energy Model'!K58</f>
        <v>765211.14999999991</v>
      </c>
      <c r="M26" s="63">
        <f>'Rate Class Energy Model'!K59</f>
        <v>366946.6</v>
      </c>
    </row>
    <row r="27" spans="1:13">
      <c r="A27" t="s">
        <v>49</v>
      </c>
      <c r="B27" s="6">
        <f>'Rate Class Load Model'!C3</f>
        <v>3310</v>
      </c>
      <c r="C27" s="6">
        <f>'Rate Class Load Model'!C4</f>
        <v>3310</v>
      </c>
      <c r="D27" s="6">
        <f>'Rate Class Load Model'!C5</f>
        <v>3310</v>
      </c>
      <c r="E27" s="6">
        <f>'Rate Class Load Model'!C6</f>
        <v>3310</v>
      </c>
      <c r="F27" s="6">
        <f>'Rate Class Load Model'!C7</f>
        <v>3310</v>
      </c>
      <c r="G27" s="6">
        <f>'Rate Class Load Model'!C8</f>
        <v>3310</v>
      </c>
      <c r="H27" s="6">
        <f>'Rate Class Load Model'!C9</f>
        <v>3310</v>
      </c>
      <c r="I27" s="27">
        <f>'Rate Class Load Model'!C10</f>
        <v>3310</v>
      </c>
      <c r="J27" s="27">
        <f>'Rate Class Load Model'!C11</f>
        <v>3310</v>
      </c>
      <c r="K27" s="6">
        <f>'Rate Class Load Model'!C12</f>
        <v>3310</v>
      </c>
      <c r="L27" s="6">
        <f>'Rate Class Load Model'!C13</f>
        <v>2199.0690653207439</v>
      </c>
      <c r="M27" s="6">
        <f>'Rate Class Load Model'!C14</f>
        <v>1054.5336626166843</v>
      </c>
    </row>
    <row r="29" spans="1:13">
      <c r="A29" s="43" t="str">
        <f>'Rate Class Energy Model'!L2</f>
        <v xml:space="preserve">Unmetered Loads </v>
      </c>
      <c r="L29" s="6"/>
      <c r="M29" s="6"/>
    </row>
    <row r="30" spans="1:13">
      <c r="A30" t="s">
        <v>68</v>
      </c>
      <c r="B30" s="6">
        <f>'Rate Class Customer Model'!F3</f>
        <v>8</v>
      </c>
      <c r="C30" s="6">
        <f>'Rate Class Customer Model'!F4</f>
        <v>8</v>
      </c>
      <c r="D30" s="6">
        <f>'Rate Class Customer Model'!F5</f>
        <v>8</v>
      </c>
      <c r="E30" s="6">
        <f>'Rate Class Customer Model'!F6</f>
        <v>8</v>
      </c>
      <c r="F30" s="6">
        <f>'Rate Class Customer Model'!F7</f>
        <v>7</v>
      </c>
      <c r="G30" s="6">
        <f>'Rate Class Customer Model'!F8</f>
        <v>6</v>
      </c>
      <c r="H30" s="6">
        <f>'Rate Class Customer Model'!F9</f>
        <v>6</v>
      </c>
      <c r="I30" s="6">
        <f>'Rate Class Customer Model'!F10</f>
        <v>6</v>
      </c>
      <c r="J30" s="6">
        <f>'Rate Class Customer Model'!F11</f>
        <v>6</v>
      </c>
      <c r="K30" s="27">
        <f>'Rate Class Customer Model'!F12</f>
        <v>6</v>
      </c>
      <c r="L30" s="6">
        <f>'Rate Class Customer Model'!F13</f>
        <v>5.8112447727163383</v>
      </c>
      <c r="M30" s="6">
        <f>'Rate Class Customer Model'!F14</f>
        <v>5.6284276347371609</v>
      </c>
    </row>
    <row r="31" spans="1:13">
      <c r="A31" t="s">
        <v>48</v>
      </c>
      <c r="B31" s="6">
        <f>'Rate Class Energy Model'!L7</f>
        <v>192228</v>
      </c>
      <c r="C31" s="6">
        <f>'Rate Class Energy Model'!L8</f>
        <v>192228</v>
      </c>
      <c r="D31" s="6">
        <f>'Rate Class Energy Model'!L9</f>
        <v>192228</v>
      </c>
      <c r="E31" s="6">
        <f>'Rate Class Energy Model'!L10</f>
        <v>192228</v>
      </c>
      <c r="F31" s="6">
        <f>'Rate Class Energy Model'!L11</f>
        <v>175428</v>
      </c>
      <c r="G31" s="6">
        <f>'Rate Class Energy Model'!L12</f>
        <v>75264</v>
      </c>
      <c r="H31" s="6">
        <f>'Rate Class Energy Model'!L13</f>
        <v>70728</v>
      </c>
      <c r="I31" s="6">
        <f>'Rate Class Energy Model'!L14</f>
        <v>64814</v>
      </c>
      <c r="J31" s="6">
        <f>'Rate Class Energy Model'!L15</f>
        <v>62628</v>
      </c>
      <c r="K31" s="6">
        <f>'Rate Class Energy Model'!L16</f>
        <v>62628</v>
      </c>
      <c r="L31" s="6">
        <f>'Rate Class Energy Model'!L58</f>
        <v>55150.788594168975</v>
      </c>
      <c r="M31" s="6">
        <f>'Rate Class Energy Model'!L59</f>
        <v>48552.245404349109</v>
      </c>
    </row>
    <row r="32" spans="1:13">
      <c r="L32" s="6"/>
      <c r="M32" s="6"/>
    </row>
    <row r="33" spans="1:13">
      <c r="A33" s="43" t="s">
        <v>69</v>
      </c>
      <c r="B33" s="6"/>
      <c r="C33" s="6"/>
      <c r="D33" s="6"/>
      <c r="E33" s="6"/>
      <c r="G33" s="6"/>
      <c r="H33" s="6"/>
      <c r="I33" s="6"/>
      <c r="J33" s="6"/>
      <c r="K33" s="27"/>
    </row>
    <row r="34" spans="1:13">
      <c r="A34" t="s">
        <v>56</v>
      </c>
      <c r="B34" s="6">
        <f t="shared" ref="B34" si="1">SUM(B12+B16+B20+B25+B30)</f>
        <v>4918</v>
      </c>
      <c r="C34" s="6">
        <f t="shared" ref="C34:D34" si="2">SUM(C12+C16+C20+C25+C30)</f>
        <v>4927</v>
      </c>
      <c r="D34" s="6">
        <f t="shared" si="2"/>
        <v>4918</v>
      </c>
      <c r="E34" s="6">
        <f>SUM(E12+E16+E20+E25+E30)</f>
        <v>4878</v>
      </c>
      <c r="F34" s="6">
        <f t="shared" ref="F34:M34" si="3">SUM(F12+F16+F20+F25+F30)</f>
        <v>4830</v>
      </c>
      <c r="G34" s="6">
        <f t="shared" si="3"/>
        <v>4792</v>
      </c>
      <c r="H34" s="6">
        <f t="shared" si="3"/>
        <v>4786</v>
      </c>
      <c r="I34" s="6">
        <f t="shared" si="3"/>
        <v>4789</v>
      </c>
      <c r="J34" s="6">
        <f t="shared" si="3"/>
        <v>4787</v>
      </c>
      <c r="K34" s="6">
        <f t="shared" si="3"/>
        <v>4783</v>
      </c>
      <c r="L34" s="6">
        <f t="shared" si="3"/>
        <v>4768.6491486367986</v>
      </c>
      <c r="M34" s="6">
        <f t="shared" si="3"/>
        <v>4754.4232357730079</v>
      </c>
    </row>
    <row r="35" spans="1:13">
      <c r="A35" t="s">
        <v>48</v>
      </c>
      <c r="B35" s="6">
        <f t="shared" ref="B35" si="4">SUM(B13+B17+B21+B26+B31)</f>
        <v>79544499</v>
      </c>
      <c r="C35" s="6">
        <f t="shared" ref="C35:D35" si="5">SUM(C13+C17+C21+C26+C31)</f>
        <v>81912045</v>
      </c>
      <c r="D35" s="6">
        <f t="shared" si="5"/>
        <v>83794682</v>
      </c>
      <c r="E35" s="6">
        <f>SUM(E13+E17+E21+E26+E31)</f>
        <v>82548494</v>
      </c>
      <c r="F35" s="6">
        <f t="shared" ref="F35:M35" si="6">SUM(F13+F17+F21+F26+F31)</f>
        <v>84053323</v>
      </c>
      <c r="G35" s="6">
        <f t="shared" si="6"/>
        <v>82946030</v>
      </c>
      <c r="H35" s="6">
        <f t="shared" si="6"/>
        <v>82609290</v>
      </c>
      <c r="I35" s="6">
        <f t="shared" si="6"/>
        <v>80261913</v>
      </c>
      <c r="J35" s="6">
        <f t="shared" si="6"/>
        <v>79917568</v>
      </c>
      <c r="K35" s="6">
        <f t="shared" si="6"/>
        <v>76975895</v>
      </c>
      <c r="L35" s="6">
        <f t="shared" si="6"/>
        <v>77733606.233088925</v>
      </c>
      <c r="M35" s="6">
        <f t="shared" si="6"/>
        <v>78161019.180321634</v>
      </c>
    </row>
    <row r="36" spans="1:13">
      <c r="A36" t="s">
        <v>55</v>
      </c>
      <c r="B36" s="6">
        <f t="shared" ref="B36" si="7">SUM(B22+B27)</f>
        <v>57603</v>
      </c>
      <c r="C36" s="6">
        <f t="shared" ref="C36:D36" si="8">SUM(C22+C27)</f>
        <v>62398</v>
      </c>
      <c r="D36" s="6">
        <f t="shared" si="8"/>
        <v>66706</v>
      </c>
      <c r="E36" s="6">
        <f>SUM(E22+E27)</f>
        <v>61490</v>
      </c>
      <c r="F36" s="6">
        <f t="shared" ref="F36:M36" si="9">SUM(F22+F27)</f>
        <v>67210</v>
      </c>
      <c r="G36" s="6">
        <f t="shared" si="9"/>
        <v>65290</v>
      </c>
      <c r="H36" s="6">
        <f t="shared" si="9"/>
        <v>65081</v>
      </c>
      <c r="I36" s="6">
        <f t="shared" si="9"/>
        <v>68887</v>
      </c>
      <c r="J36" s="6">
        <f t="shared" si="9"/>
        <v>66467</v>
      </c>
      <c r="K36" s="6">
        <f t="shared" si="9"/>
        <v>61612</v>
      </c>
      <c r="L36" s="6">
        <f t="shared" si="9"/>
        <v>66391.036740583964</v>
      </c>
      <c r="M36" s="6">
        <f t="shared" si="9"/>
        <v>68348.199546107557</v>
      </c>
    </row>
    <row r="38" spans="1:13">
      <c r="A38" s="43" t="s">
        <v>70</v>
      </c>
      <c r="L38" s="6"/>
      <c r="M38" s="6"/>
    </row>
    <row r="39" spans="1:13">
      <c r="A39" t="s">
        <v>56</v>
      </c>
      <c r="B39" s="6">
        <f>'Rate Class Customer Model'!G3</f>
        <v>4918</v>
      </c>
      <c r="C39" s="6">
        <f>'Rate Class Customer Model'!G4</f>
        <v>4927</v>
      </c>
      <c r="D39" s="6">
        <f>'Rate Class Customer Model'!G5</f>
        <v>4918</v>
      </c>
      <c r="E39" s="6">
        <f>'Rate Class Customer Model'!G6</f>
        <v>4878</v>
      </c>
      <c r="F39" s="6">
        <f>'Rate Class Customer Model'!G7</f>
        <v>4830</v>
      </c>
      <c r="G39" s="6">
        <f>'Rate Class Customer Model'!G8</f>
        <v>4792</v>
      </c>
      <c r="H39" s="6">
        <f>'Rate Class Customer Model'!G9</f>
        <v>4786</v>
      </c>
      <c r="I39" s="6">
        <f>'Rate Class Customer Model'!G10</f>
        <v>4789</v>
      </c>
      <c r="J39" s="6">
        <f>'Rate Class Customer Model'!G11</f>
        <v>4787</v>
      </c>
      <c r="K39" s="6">
        <f>'Rate Class Customer Model'!G12</f>
        <v>4783</v>
      </c>
      <c r="L39" s="6">
        <f>'Rate Class Customer Model'!G13</f>
        <v>4768.6491486367986</v>
      </c>
      <c r="M39" s="6">
        <f>'Rate Class Customer Model'!G14</f>
        <v>4754.4232357730079</v>
      </c>
    </row>
    <row r="40" spans="1:13">
      <c r="A40" t="s">
        <v>48</v>
      </c>
      <c r="B40" s="6">
        <f>'Rate Class Energy Model'!G7</f>
        <v>79544499</v>
      </c>
      <c r="C40" s="6">
        <f>'Rate Class Energy Model'!G8</f>
        <v>81912045</v>
      </c>
      <c r="D40" s="6">
        <f>'Rate Class Energy Model'!G9</f>
        <v>83794682</v>
      </c>
      <c r="E40" s="6">
        <f>'Rate Class Energy Model'!G10</f>
        <v>82548494</v>
      </c>
      <c r="F40" s="6">
        <f>'Rate Class Energy Model'!G11</f>
        <v>84053323</v>
      </c>
      <c r="G40" s="6">
        <f>'Rate Class Energy Model'!G12</f>
        <v>82946030</v>
      </c>
      <c r="H40" s="6">
        <f>'Rate Class Energy Model'!G13</f>
        <v>82609290</v>
      </c>
      <c r="I40" s="6">
        <f>'Rate Class Energy Model'!G14</f>
        <v>80261913</v>
      </c>
      <c r="J40" s="6">
        <f>'Rate Class Energy Model'!G15</f>
        <v>79917568</v>
      </c>
      <c r="K40" s="27">
        <f>'Rate Class Energy Model'!G16</f>
        <v>76975895</v>
      </c>
      <c r="L40" s="6">
        <f>'Rate Class Energy Model'!M58</f>
        <v>77733606.233088925</v>
      </c>
      <c r="M40" s="6">
        <f>'Rate Class Energy Model'!M59</f>
        <v>78161019.180321634</v>
      </c>
    </row>
    <row r="41" spans="1:13">
      <c r="A41" t="s">
        <v>55</v>
      </c>
      <c r="B41" s="6">
        <f>'Rate Class Load Model'!D3</f>
        <v>57603</v>
      </c>
      <c r="C41" s="6">
        <f>'Rate Class Load Model'!D4</f>
        <v>62398</v>
      </c>
      <c r="D41" s="6">
        <f>'Rate Class Load Model'!D5</f>
        <v>66706</v>
      </c>
      <c r="E41" s="6">
        <f>'Rate Class Load Model'!D6</f>
        <v>61490</v>
      </c>
      <c r="F41" s="6">
        <f>'Rate Class Load Model'!D7</f>
        <v>67210</v>
      </c>
      <c r="G41" s="6">
        <f>'Rate Class Load Model'!D8</f>
        <v>65290</v>
      </c>
      <c r="H41" s="6">
        <f>'Rate Class Load Model'!D9</f>
        <v>65081</v>
      </c>
      <c r="I41" s="27">
        <f>'Rate Class Load Model'!D10</f>
        <v>68887</v>
      </c>
      <c r="J41" s="27">
        <f>'Rate Class Load Model'!D11</f>
        <v>66467</v>
      </c>
      <c r="K41" s="6">
        <f>'Rate Class Load Model'!D12</f>
        <v>61612</v>
      </c>
      <c r="L41" s="6">
        <f>'Rate Class Load Model'!D13</f>
        <v>66391.036740583964</v>
      </c>
      <c r="M41" s="6">
        <f>'Rate Class Load Model'!D14</f>
        <v>68348.199546107557</v>
      </c>
    </row>
    <row r="43" spans="1:13">
      <c r="A43" s="43" t="s">
        <v>71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>
      <c r="A44" t="s">
        <v>56</v>
      </c>
      <c r="B44" s="6">
        <f>B34-B39</f>
        <v>0</v>
      </c>
      <c r="C44" s="6">
        <f t="shared" ref="C44:L44" si="10">C34-C39</f>
        <v>0</v>
      </c>
      <c r="D44" s="6">
        <f t="shared" si="10"/>
        <v>0</v>
      </c>
      <c r="E44" s="6">
        <f t="shared" si="10"/>
        <v>0</v>
      </c>
      <c r="F44" s="6">
        <f t="shared" si="10"/>
        <v>0</v>
      </c>
      <c r="G44" s="6">
        <f t="shared" si="10"/>
        <v>0</v>
      </c>
      <c r="H44" s="6">
        <f t="shared" si="10"/>
        <v>0</v>
      </c>
      <c r="I44" s="6">
        <f t="shared" si="10"/>
        <v>0</v>
      </c>
      <c r="J44" s="6">
        <f t="shared" si="10"/>
        <v>0</v>
      </c>
      <c r="K44" s="6">
        <f t="shared" si="10"/>
        <v>0</v>
      </c>
      <c r="L44" s="6">
        <f t="shared" si="10"/>
        <v>0</v>
      </c>
      <c r="M44" s="6">
        <f t="shared" ref="M44" si="11">M34-M39</f>
        <v>0</v>
      </c>
    </row>
    <row r="45" spans="1:13">
      <c r="A45" t="s">
        <v>48</v>
      </c>
      <c r="B45" s="6">
        <f>B35-B40</f>
        <v>0</v>
      </c>
      <c r="C45" s="6">
        <f t="shared" ref="C45:L45" si="12">C35-C40</f>
        <v>0</v>
      </c>
      <c r="D45" s="6">
        <f t="shared" si="12"/>
        <v>0</v>
      </c>
      <c r="E45" s="6">
        <f t="shared" si="12"/>
        <v>0</v>
      </c>
      <c r="F45" s="6">
        <f t="shared" si="12"/>
        <v>0</v>
      </c>
      <c r="G45" s="6">
        <f t="shared" si="12"/>
        <v>0</v>
      </c>
      <c r="H45" s="6">
        <f t="shared" si="12"/>
        <v>0</v>
      </c>
      <c r="I45" s="6">
        <f t="shared" si="12"/>
        <v>0</v>
      </c>
      <c r="J45" s="6">
        <f t="shared" si="12"/>
        <v>0</v>
      </c>
      <c r="K45" s="6">
        <f t="shared" si="12"/>
        <v>0</v>
      </c>
      <c r="L45" s="6">
        <f t="shared" si="12"/>
        <v>0</v>
      </c>
      <c r="M45" s="6">
        <f t="shared" ref="M45" si="13">M35-M40</f>
        <v>0</v>
      </c>
    </row>
    <row r="46" spans="1:13">
      <c r="A46" t="s">
        <v>55</v>
      </c>
      <c r="B46" s="6">
        <f>B36-B41</f>
        <v>0</v>
      </c>
      <c r="C46" s="6">
        <f t="shared" ref="C46:L46" si="14">C36-C41</f>
        <v>0</v>
      </c>
      <c r="D46" s="6">
        <f t="shared" si="14"/>
        <v>0</v>
      </c>
      <c r="E46" s="6">
        <f t="shared" si="14"/>
        <v>0</v>
      </c>
      <c r="F46" s="6">
        <f t="shared" si="14"/>
        <v>0</v>
      </c>
      <c r="G46" s="6">
        <f t="shared" si="14"/>
        <v>0</v>
      </c>
      <c r="H46" s="6">
        <f t="shared" si="14"/>
        <v>0</v>
      </c>
      <c r="I46" s="6">
        <f t="shared" si="14"/>
        <v>0</v>
      </c>
      <c r="J46" s="6">
        <f t="shared" si="14"/>
        <v>0</v>
      </c>
      <c r="K46" s="6">
        <f t="shared" si="14"/>
        <v>0</v>
      </c>
      <c r="L46" s="6">
        <f t="shared" si="14"/>
        <v>0</v>
      </c>
      <c r="M46" s="6">
        <f t="shared" ref="M46" si="15">M36-M41</f>
        <v>0</v>
      </c>
    </row>
    <row r="49" spans="2:16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P49" s="1"/>
    </row>
    <row r="50" spans="2:16"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P50" s="1"/>
    </row>
    <row r="51" spans="2:16"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P51" s="1"/>
    </row>
  </sheetData>
  <phoneticPr fontId="0" type="noConversion"/>
  <pageMargins left="0.38" right="0.75" top="0.73" bottom="0.74" header="0.5" footer="0.5"/>
  <pageSetup scale="67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C37" sqref="C37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81"/>
  <sheetViews>
    <sheetView topLeftCell="K1" workbookViewId="0">
      <selection activeCell="Q2" sqref="Q2:W30"/>
    </sheetView>
  </sheetViews>
  <sheetFormatPr defaultRowHeight="12.75"/>
  <cols>
    <col min="1" max="1" width="11.85546875" customWidth="1"/>
    <col min="2" max="2" width="18" style="27" customWidth="1"/>
    <col min="3" max="3" width="11.7109375" style="23" customWidth="1"/>
    <col min="4" max="4" width="13.42578125" style="23" customWidth="1"/>
    <col min="5" max="5" width="10.140625" style="1" customWidth="1"/>
    <col min="6" max="6" width="12.42578125" style="1" customWidth="1"/>
    <col min="7" max="7" width="12.42578125" style="23" customWidth="1"/>
    <col min="8" max="9" width="14.42578125" style="35" customWidth="1"/>
    <col min="10" max="10" width="14.140625" customWidth="1"/>
    <col min="11" max="11" width="14.85546875" style="23" customWidth="1"/>
    <col min="12" max="12" width="12.42578125" style="23" customWidth="1"/>
    <col min="13" max="13" width="12.42578125" style="165" customWidth="1"/>
    <col min="14" max="14" width="15.42578125" style="1" bestFit="1" customWidth="1"/>
    <col min="15" max="15" width="17" style="1" customWidth="1"/>
    <col min="16" max="16" width="12.42578125" style="1" customWidth="1"/>
    <col min="17" max="17" width="25.85546875" bestFit="1" customWidth="1"/>
    <col min="18" max="20" width="18" customWidth="1"/>
    <col min="21" max="21" width="17.140625" customWidth="1"/>
    <col min="22" max="23" width="15.7109375" customWidth="1"/>
    <col min="24" max="24" width="14.140625" bestFit="1" customWidth="1"/>
    <col min="26" max="27" width="31.5703125" bestFit="1" customWidth="1"/>
    <col min="30" max="30" width="18.42578125" bestFit="1" customWidth="1"/>
  </cols>
  <sheetData>
    <row r="1" spans="1:22">
      <c r="H1" s="170"/>
      <c r="I1" s="170"/>
      <c r="J1" s="182" t="s">
        <v>141</v>
      </c>
      <c r="K1" s="182"/>
      <c r="L1" s="182"/>
      <c r="M1" s="182"/>
    </row>
    <row r="2" spans="1:22" ht="42" customHeight="1">
      <c r="B2" s="154" t="s">
        <v>0</v>
      </c>
      <c r="C2" s="86" t="s">
        <v>3</v>
      </c>
      <c r="D2" s="86" t="s">
        <v>4</v>
      </c>
      <c r="E2" s="12" t="s">
        <v>5</v>
      </c>
      <c r="F2" s="12" t="s">
        <v>18</v>
      </c>
      <c r="G2" s="86" t="s">
        <v>65</v>
      </c>
      <c r="H2" s="33" t="s">
        <v>6</v>
      </c>
      <c r="I2" s="33" t="s">
        <v>147</v>
      </c>
      <c r="J2" s="152" t="s">
        <v>140</v>
      </c>
      <c r="K2" s="152" t="s">
        <v>139</v>
      </c>
      <c r="L2" s="86" t="s">
        <v>144</v>
      </c>
      <c r="M2" s="12" t="s">
        <v>75</v>
      </c>
      <c r="N2" s="12" t="s">
        <v>11</v>
      </c>
      <c r="O2" s="12" t="s">
        <v>12</v>
      </c>
      <c r="P2" s="12" t="s">
        <v>142</v>
      </c>
      <c r="Q2" t="s">
        <v>19</v>
      </c>
    </row>
    <row r="3" spans="1:22" ht="13.5" thickBot="1">
      <c r="A3" s="3">
        <v>37622</v>
      </c>
      <c r="B3" s="155">
        <v>9456060</v>
      </c>
      <c r="C3" s="151">
        <f>'HDD and CDD'!L5</f>
        <v>1041.0999999999997</v>
      </c>
      <c r="D3" s="151">
        <f>'HDD and CDD'!L19</f>
        <v>0</v>
      </c>
      <c r="E3" s="10">
        <v>31</v>
      </c>
      <c r="F3" s="10">
        <v>0</v>
      </c>
      <c r="G3" s="17">
        <v>3901</v>
      </c>
      <c r="H3" s="35">
        <v>125.66024937363977</v>
      </c>
      <c r="I3" s="10">
        <v>0</v>
      </c>
      <c r="J3" s="167">
        <v>7.1916046758767322</v>
      </c>
      <c r="K3" s="167">
        <v>114.7</v>
      </c>
      <c r="L3" s="17">
        <v>0</v>
      </c>
      <c r="M3" s="10">
        <v>351.91199999999998</v>
      </c>
      <c r="N3" s="10">
        <f>$R$18+C3*$R$19+D3*$R$20+E3*$R$21+F3*$R$22+G3*$R$23+H3*$R$24+I3*$R$25</f>
        <v>9584469.9234796651</v>
      </c>
      <c r="O3" s="161">
        <f t="shared" ref="O3:O34" si="0">N3/B3-1</f>
        <v>1.3579643475154057E-2</v>
      </c>
      <c r="P3" s="14">
        <f>ABS(O3)</f>
        <v>1.3579643475154057E-2</v>
      </c>
    </row>
    <row r="4" spans="1:22">
      <c r="A4" s="3">
        <v>37653</v>
      </c>
      <c r="B4" s="155">
        <v>8440797</v>
      </c>
      <c r="C4" s="151">
        <f>'HDD and CDD'!L6</f>
        <v>952.6999999999997</v>
      </c>
      <c r="D4" s="151">
        <f>'HDD and CDD'!L20</f>
        <v>0</v>
      </c>
      <c r="E4" s="10">
        <v>28</v>
      </c>
      <c r="F4" s="10">
        <v>0</v>
      </c>
      <c r="G4" s="17">
        <v>3902</v>
      </c>
      <c r="H4" s="35">
        <v>125.80592062045517</v>
      </c>
      <c r="I4" s="10">
        <v>0</v>
      </c>
      <c r="J4" s="167">
        <v>7.1727948990435806</v>
      </c>
      <c r="K4" s="167">
        <v>114.4</v>
      </c>
      <c r="L4" s="17">
        <v>0</v>
      </c>
      <c r="M4" s="10">
        <v>319.87200000000001</v>
      </c>
      <c r="N4" s="10">
        <f t="shared" ref="N4:N67" si="1">$R$18+C4*$R$19+D4*$R$20+E4*$R$21+F4*$R$22+G4*$R$23+H4*$R$24+I4*$R$25</f>
        <v>8570025.8672557287</v>
      </c>
      <c r="O4" s="161">
        <f t="shared" si="0"/>
        <v>1.5310031417143266E-2</v>
      </c>
      <c r="P4" s="14">
        <f t="shared" ref="P4:P67" si="2">ABS(O4)</f>
        <v>1.5310031417143266E-2</v>
      </c>
      <c r="Q4" s="58" t="s">
        <v>20</v>
      </c>
      <c r="R4" s="58"/>
    </row>
    <row r="5" spans="1:22">
      <c r="A5" s="3">
        <v>37681</v>
      </c>
      <c r="B5" s="155">
        <v>7925709</v>
      </c>
      <c r="C5" s="151">
        <f>'HDD and CDD'!L7</f>
        <v>759.40000000000032</v>
      </c>
      <c r="D5" s="151">
        <f>'HDD and CDD'!L21</f>
        <v>0</v>
      </c>
      <c r="E5" s="10">
        <v>31</v>
      </c>
      <c r="F5" s="10">
        <v>1</v>
      </c>
      <c r="G5" s="17">
        <v>3902</v>
      </c>
      <c r="H5" s="35">
        <v>125.9517607362029</v>
      </c>
      <c r="I5" s="10">
        <v>0</v>
      </c>
      <c r="J5" s="167">
        <v>7.1853347502656817</v>
      </c>
      <c r="K5" s="167">
        <v>114.6</v>
      </c>
      <c r="L5" s="17">
        <v>0</v>
      </c>
      <c r="M5" s="10">
        <v>336.28800000000001</v>
      </c>
      <c r="N5" s="10">
        <f t="shared" si="1"/>
        <v>7994970.9867609506</v>
      </c>
      <c r="O5" s="161">
        <f t="shared" si="0"/>
        <v>8.7389010574259185E-3</v>
      </c>
      <c r="P5" s="14">
        <f t="shared" si="2"/>
        <v>8.7389010574259185E-3</v>
      </c>
      <c r="Q5" s="36" t="s">
        <v>21</v>
      </c>
      <c r="R5" s="62">
        <v>0.98372593958165555</v>
      </c>
    </row>
    <row r="6" spans="1:22">
      <c r="A6" s="3">
        <v>37712</v>
      </c>
      <c r="B6" s="155">
        <v>6163100</v>
      </c>
      <c r="C6" s="151">
        <f>'HDD and CDD'!L8</f>
        <v>417.49999999999994</v>
      </c>
      <c r="D6" s="151">
        <f>'HDD and CDD'!L22</f>
        <v>0</v>
      </c>
      <c r="E6" s="10">
        <v>30</v>
      </c>
      <c r="F6" s="10">
        <v>1</v>
      </c>
      <c r="G6" s="17">
        <v>3903</v>
      </c>
      <c r="H6" s="35">
        <v>126.09776991664374</v>
      </c>
      <c r="I6" s="10">
        <v>0</v>
      </c>
      <c r="J6" s="167">
        <v>7.1539851222104147</v>
      </c>
      <c r="K6" s="167">
        <v>114.1</v>
      </c>
      <c r="L6" s="17">
        <v>0</v>
      </c>
      <c r="M6" s="10">
        <v>336.24</v>
      </c>
      <c r="N6" s="10">
        <f t="shared" si="1"/>
        <v>6344590.7507599983</v>
      </c>
      <c r="O6" s="161">
        <f t="shared" si="0"/>
        <v>2.9447964621699851E-2</v>
      </c>
      <c r="P6" s="14">
        <f t="shared" si="2"/>
        <v>2.9447964621699851E-2</v>
      </c>
      <c r="Q6" s="36" t="s">
        <v>22</v>
      </c>
      <c r="R6" s="62">
        <v>0.96771672420581101</v>
      </c>
    </row>
    <row r="7" spans="1:22">
      <c r="A7" s="3">
        <v>37742</v>
      </c>
      <c r="B7" s="155">
        <v>5395677</v>
      </c>
      <c r="C7" s="151">
        <f>'HDD and CDD'!L9</f>
        <v>193.19999999999996</v>
      </c>
      <c r="D7" s="151">
        <f>'HDD and CDD'!L23</f>
        <v>0</v>
      </c>
      <c r="E7" s="10">
        <v>31</v>
      </c>
      <c r="F7" s="10">
        <v>1</v>
      </c>
      <c r="G7" s="17">
        <f>G8</f>
        <v>3904</v>
      </c>
      <c r="H7" s="35">
        <v>126.2439483577654</v>
      </c>
      <c r="I7" s="10">
        <v>0</v>
      </c>
      <c r="J7" s="167">
        <v>7.1790648246546311</v>
      </c>
      <c r="K7" s="167">
        <v>114.5</v>
      </c>
      <c r="L7" s="17">
        <v>0</v>
      </c>
      <c r="M7" s="10">
        <v>336.28800000000001</v>
      </c>
      <c r="N7" s="10">
        <f t="shared" si="1"/>
        <v>5625559.1084636915</v>
      </c>
      <c r="O7" s="161">
        <f t="shared" si="0"/>
        <v>4.260486839069344E-2</v>
      </c>
      <c r="P7" s="14">
        <f t="shared" si="2"/>
        <v>4.260486839069344E-2</v>
      </c>
      <c r="Q7" s="36" t="s">
        <v>23</v>
      </c>
      <c r="R7" s="62">
        <v>0.9656990194686742</v>
      </c>
    </row>
    <row r="8" spans="1:22">
      <c r="A8" s="3">
        <v>37773</v>
      </c>
      <c r="B8" s="155">
        <v>5521290</v>
      </c>
      <c r="C8" s="151">
        <f>'HDD and CDD'!L10</f>
        <v>71.300000000000011</v>
      </c>
      <c r="D8" s="151">
        <f>'HDD and CDD'!L24</f>
        <v>27.3</v>
      </c>
      <c r="E8" s="10">
        <v>30</v>
      </c>
      <c r="F8" s="10">
        <v>0</v>
      </c>
      <c r="G8" s="17">
        <f>'Rate Class Customer Model'!J3</f>
        <v>3904</v>
      </c>
      <c r="H8" s="35">
        <v>126.3902962557828</v>
      </c>
      <c r="I8" s="10">
        <v>0</v>
      </c>
      <c r="J8" s="167">
        <v>7.3232731137088223</v>
      </c>
      <c r="K8" s="167">
        <v>116.8</v>
      </c>
      <c r="L8" s="17">
        <v>0</v>
      </c>
      <c r="M8" s="10">
        <v>336.24</v>
      </c>
      <c r="N8" s="10">
        <f t="shared" si="1"/>
        <v>5744944.0311803315</v>
      </c>
      <c r="O8" s="161">
        <f t="shared" si="0"/>
        <v>4.0507568191551435E-2</v>
      </c>
      <c r="P8" s="14">
        <f t="shared" si="2"/>
        <v>4.0507568191551435E-2</v>
      </c>
      <c r="Q8" s="36" t="s">
        <v>24</v>
      </c>
      <c r="R8" s="90">
        <v>254670.7446155028</v>
      </c>
    </row>
    <row r="9" spans="1:22" ht="13.5" thickBot="1">
      <c r="A9" s="3">
        <v>37803</v>
      </c>
      <c r="B9" s="27">
        <v>6158388</v>
      </c>
      <c r="C9" s="151">
        <f>'HDD and CDD'!L11</f>
        <v>21.5</v>
      </c>
      <c r="D9" s="151">
        <f>'HDD and CDD'!L25</f>
        <v>44.699999999999996</v>
      </c>
      <c r="E9" s="10">
        <v>31</v>
      </c>
      <c r="F9" s="10">
        <v>0</v>
      </c>
      <c r="G9" s="17">
        <f t="shared" ref="G9:G19" si="3">($G$20-$G$8)/12+G8</f>
        <v>3904.75</v>
      </c>
      <c r="H9" s="35">
        <v>126.5368138071383</v>
      </c>
      <c r="I9" s="10">
        <v>0</v>
      </c>
      <c r="J9" s="167">
        <v>7.5740701381509012</v>
      </c>
      <c r="K9" s="167">
        <v>120.8</v>
      </c>
      <c r="L9" s="17">
        <v>0</v>
      </c>
      <c r="M9" s="10">
        <v>351.91199999999998</v>
      </c>
      <c r="N9" s="10">
        <f t="shared" si="1"/>
        <v>6033625.0031302227</v>
      </c>
      <c r="O9" s="161">
        <f t="shared" si="0"/>
        <v>-2.0259034810696797E-2</v>
      </c>
      <c r="P9" s="14">
        <f t="shared" si="2"/>
        <v>2.0259034810696797E-2</v>
      </c>
      <c r="Q9" s="56" t="s">
        <v>25</v>
      </c>
      <c r="R9" s="56">
        <v>120</v>
      </c>
    </row>
    <row r="10" spans="1:22">
      <c r="A10" s="3">
        <v>37834</v>
      </c>
      <c r="B10" s="27">
        <v>6433503</v>
      </c>
      <c r="C10" s="151">
        <f>'HDD and CDD'!L12</f>
        <v>18.899999999999999</v>
      </c>
      <c r="D10" s="151">
        <f>'HDD and CDD'!L26</f>
        <v>89.499999999999986</v>
      </c>
      <c r="E10" s="10">
        <v>31</v>
      </c>
      <c r="F10" s="10">
        <v>0</v>
      </c>
      <c r="G10" s="17">
        <f t="shared" si="3"/>
        <v>3905.5</v>
      </c>
      <c r="H10" s="35">
        <v>126.68350120850199</v>
      </c>
      <c r="I10" s="10">
        <v>0</v>
      </c>
      <c r="J10" s="167">
        <v>7.7370882040382583</v>
      </c>
      <c r="K10" s="167">
        <v>123.4</v>
      </c>
      <c r="L10" s="17">
        <v>0</v>
      </c>
      <c r="M10" s="10">
        <v>319.92</v>
      </c>
      <c r="N10" s="10">
        <f t="shared" si="1"/>
        <v>6732029.5904550664</v>
      </c>
      <c r="O10" s="161">
        <f t="shared" si="0"/>
        <v>4.6401873202680743E-2</v>
      </c>
      <c r="P10" s="14">
        <f t="shared" si="2"/>
        <v>4.6401873202680743E-2</v>
      </c>
    </row>
    <row r="11" spans="1:22" ht="13.5" thickBot="1">
      <c r="A11" s="3">
        <v>37865</v>
      </c>
      <c r="B11" s="27">
        <v>5709375</v>
      </c>
      <c r="C11" s="151">
        <f>'HDD and CDD'!L13</f>
        <v>171.3</v>
      </c>
      <c r="D11" s="151">
        <f>'HDD and CDD'!L27</f>
        <v>16.5</v>
      </c>
      <c r="E11" s="10">
        <v>30</v>
      </c>
      <c r="F11" s="10">
        <v>1</v>
      </c>
      <c r="G11" s="17">
        <f t="shared" si="3"/>
        <v>3906.25</v>
      </c>
      <c r="H11" s="35">
        <v>126.83035865677196</v>
      </c>
      <c r="I11" s="10">
        <v>0</v>
      </c>
      <c r="J11" s="167">
        <v>7.6869287991498538</v>
      </c>
      <c r="K11" s="167">
        <v>122.6</v>
      </c>
      <c r="L11" s="17">
        <v>0</v>
      </c>
      <c r="M11" s="10">
        <v>336.24</v>
      </c>
      <c r="N11" s="10">
        <f t="shared" si="1"/>
        <v>5610867.8222001176</v>
      </c>
      <c r="O11" s="161">
        <f t="shared" si="0"/>
        <v>-1.7253583413225138E-2</v>
      </c>
      <c r="P11" s="14">
        <f t="shared" si="2"/>
        <v>1.7253583413225138E-2</v>
      </c>
      <c r="Q11" t="s">
        <v>26</v>
      </c>
    </row>
    <row r="12" spans="1:22">
      <c r="A12" s="3">
        <v>37895</v>
      </c>
      <c r="B12" s="27">
        <v>6330051</v>
      </c>
      <c r="C12" s="151">
        <f>'HDD and CDD'!L14</f>
        <v>364.09999999999997</v>
      </c>
      <c r="D12" s="151">
        <f>'HDD and CDD'!L28</f>
        <v>2.8</v>
      </c>
      <c r="E12" s="10">
        <v>31</v>
      </c>
      <c r="F12" s="10">
        <v>1</v>
      </c>
      <c r="G12" s="17">
        <f t="shared" si="3"/>
        <v>3907</v>
      </c>
      <c r="H12" s="35">
        <v>126.97738634907456</v>
      </c>
      <c r="I12" s="10">
        <v>0</v>
      </c>
      <c r="J12" s="167">
        <v>7.5740701381509012</v>
      </c>
      <c r="K12" s="167">
        <v>120.8</v>
      </c>
      <c r="L12" s="17">
        <v>0</v>
      </c>
      <c r="M12" s="10">
        <v>351.91199999999998</v>
      </c>
      <c r="N12" s="10">
        <f t="shared" si="1"/>
        <v>6438700.6565675577</v>
      </c>
      <c r="O12" s="161">
        <f t="shared" si="0"/>
        <v>1.7164104454696849E-2</v>
      </c>
      <c r="P12" s="14">
        <f t="shared" si="2"/>
        <v>1.7164104454696849E-2</v>
      </c>
      <c r="Q12" s="57"/>
      <c r="R12" s="57" t="s">
        <v>30</v>
      </c>
      <c r="S12" s="57" t="s">
        <v>31</v>
      </c>
      <c r="T12" s="57" t="s">
        <v>32</v>
      </c>
      <c r="U12" s="57" t="s">
        <v>33</v>
      </c>
      <c r="V12" s="57" t="s">
        <v>34</v>
      </c>
    </row>
    <row r="13" spans="1:22">
      <c r="A13" s="3">
        <v>37926</v>
      </c>
      <c r="B13" s="27">
        <v>7651101</v>
      </c>
      <c r="C13" s="151">
        <f>'HDD and CDD'!L15</f>
        <v>680.39999999999986</v>
      </c>
      <c r="D13" s="151">
        <f>'HDD and CDD'!L29</f>
        <v>0</v>
      </c>
      <c r="E13" s="10">
        <v>30</v>
      </c>
      <c r="F13" s="10">
        <v>1</v>
      </c>
      <c r="G13" s="17">
        <f t="shared" si="3"/>
        <v>3907.75</v>
      </c>
      <c r="H13" s="35">
        <v>127.12458448276465</v>
      </c>
      <c r="I13" s="10">
        <v>0</v>
      </c>
      <c r="J13" s="167">
        <v>7.4674814027630276</v>
      </c>
      <c r="K13" s="167">
        <v>119.1</v>
      </c>
      <c r="L13" s="17">
        <v>0</v>
      </c>
      <c r="M13" s="10">
        <v>319.68</v>
      </c>
      <c r="N13" s="10">
        <f t="shared" si="1"/>
        <v>7523603.4344206071</v>
      </c>
      <c r="O13" s="161">
        <f t="shared" si="0"/>
        <v>-1.6663950139907069E-2</v>
      </c>
      <c r="P13" s="14">
        <f t="shared" si="2"/>
        <v>1.6663950139907069E-2</v>
      </c>
      <c r="Q13" s="36" t="s">
        <v>27</v>
      </c>
      <c r="R13" s="36">
        <v>7</v>
      </c>
      <c r="S13" s="36">
        <v>217744297074720.31</v>
      </c>
      <c r="T13" s="36">
        <v>31106328153531.473</v>
      </c>
      <c r="U13" s="36">
        <v>479.61265411857789</v>
      </c>
      <c r="V13" s="36">
        <v>2.2386390758054909E-80</v>
      </c>
    </row>
    <row r="14" spans="1:22">
      <c r="A14" s="3">
        <v>37956</v>
      </c>
      <c r="B14" s="156">
        <v>8679969</v>
      </c>
      <c r="C14" s="151">
        <f>'HDD and CDD'!L16</f>
        <v>802.19999999999993</v>
      </c>
      <c r="D14" s="151">
        <f>'HDD and CDD'!L30</f>
        <v>0</v>
      </c>
      <c r="E14" s="10">
        <v>31</v>
      </c>
      <c r="F14" s="10">
        <v>0</v>
      </c>
      <c r="G14" s="17">
        <f t="shared" si="3"/>
        <v>3908.5</v>
      </c>
      <c r="H14" s="35">
        <v>127.27195325542573</v>
      </c>
      <c r="I14" s="10">
        <v>0</v>
      </c>
      <c r="J14" s="167">
        <v>7.3107332624867212</v>
      </c>
      <c r="K14" s="167">
        <v>116.6</v>
      </c>
      <c r="L14" s="17">
        <v>0</v>
      </c>
      <c r="M14" s="10">
        <v>336.28800000000001</v>
      </c>
      <c r="N14" s="10">
        <f t="shared" si="1"/>
        <v>8683478.8265102096</v>
      </c>
      <c r="O14" s="161">
        <f t="shared" si="0"/>
        <v>4.0435933702176463E-4</v>
      </c>
      <c r="P14" s="14">
        <f t="shared" si="2"/>
        <v>4.0435933702176463E-4</v>
      </c>
      <c r="Q14" s="36" t="s">
        <v>28</v>
      </c>
      <c r="R14" s="36">
        <v>112</v>
      </c>
      <c r="S14" s="36">
        <v>7264005074257.6416</v>
      </c>
      <c r="T14" s="36">
        <v>64857188163.014656</v>
      </c>
      <c r="U14" s="36"/>
      <c r="V14" s="36"/>
    </row>
    <row r="15" spans="1:22" ht="13.5" thickBot="1">
      <c r="A15" s="3">
        <v>37987</v>
      </c>
      <c r="B15" s="155">
        <v>10134225</v>
      </c>
      <c r="C15" s="151">
        <f>'HDD and CDD'!M5</f>
        <v>1164.6999999999998</v>
      </c>
      <c r="D15" s="151">
        <f>'HDD and CDD'!M19</f>
        <v>0</v>
      </c>
      <c r="E15" s="10">
        <v>31</v>
      </c>
      <c r="F15" s="10">
        <v>0</v>
      </c>
      <c r="G15" s="17">
        <f t="shared" si="3"/>
        <v>3909.25</v>
      </c>
      <c r="H15" s="35">
        <v>127.53411264087498</v>
      </c>
      <c r="I15" s="10">
        <v>0</v>
      </c>
      <c r="J15" s="167">
        <v>8.9537216828478847</v>
      </c>
      <c r="K15" s="167">
        <v>113.7</v>
      </c>
      <c r="L15" s="17">
        <v>0</v>
      </c>
      <c r="M15" s="10">
        <v>336.28800000000001</v>
      </c>
      <c r="N15" s="10">
        <f t="shared" si="1"/>
        <v>10230335.526239712</v>
      </c>
      <c r="O15" s="161">
        <f t="shared" si="0"/>
        <v>9.4837568970209674E-3</v>
      </c>
      <c r="P15" s="14">
        <f t="shared" si="2"/>
        <v>9.4837568970209674E-3</v>
      </c>
      <c r="Q15" s="56" t="s">
        <v>10</v>
      </c>
      <c r="R15" s="56">
        <v>119</v>
      </c>
      <c r="S15" s="56">
        <v>225008302148977.97</v>
      </c>
      <c r="T15" s="56"/>
      <c r="U15" s="56"/>
      <c r="V15" s="56"/>
    </row>
    <row r="16" spans="1:22" ht="13.5" thickBot="1">
      <c r="A16" s="3">
        <v>38018</v>
      </c>
      <c r="B16" s="155">
        <v>8199042</v>
      </c>
      <c r="C16" s="151">
        <f>'HDD and CDD'!M6</f>
        <v>799.09999999999991</v>
      </c>
      <c r="D16" s="151">
        <f>'HDD and CDD'!M20</f>
        <v>0</v>
      </c>
      <c r="E16" s="10">
        <v>29</v>
      </c>
      <c r="F16" s="10">
        <v>0</v>
      </c>
      <c r="G16" s="17">
        <f t="shared" si="3"/>
        <v>3910</v>
      </c>
      <c r="H16" s="35">
        <v>127.79681203173486</v>
      </c>
      <c r="I16" s="10">
        <v>0</v>
      </c>
      <c r="J16" s="167">
        <v>8.8040992448759425</v>
      </c>
      <c r="K16" s="167">
        <v>111.8</v>
      </c>
      <c r="L16" s="17">
        <v>0</v>
      </c>
      <c r="M16" s="10">
        <v>320.16000000000003</v>
      </c>
      <c r="N16" s="10">
        <f t="shared" si="1"/>
        <v>8267510.8846275192</v>
      </c>
      <c r="O16" s="161">
        <f t="shared" si="0"/>
        <v>8.3508396014460029E-3</v>
      </c>
      <c r="P16" s="14">
        <f t="shared" si="2"/>
        <v>8.3508396014460029E-3</v>
      </c>
    </row>
    <row r="17" spans="1:23">
      <c r="A17" s="3">
        <v>38047</v>
      </c>
      <c r="B17" s="155">
        <v>7729098</v>
      </c>
      <c r="C17" s="151">
        <f>'HDD and CDD'!M7</f>
        <v>664.7</v>
      </c>
      <c r="D17" s="151">
        <f>'HDD and CDD'!M21</f>
        <v>0</v>
      </c>
      <c r="E17" s="10">
        <v>31</v>
      </c>
      <c r="F17" s="10">
        <v>1</v>
      </c>
      <c r="G17" s="17">
        <f t="shared" si="3"/>
        <v>3910.75</v>
      </c>
      <c r="H17" s="35">
        <v>128.06005254032812</v>
      </c>
      <c r="I17" s="10">
        <v>0</v>
      </c>
      <c r="J17" s="167">
        <v>8.7411003236245932</v>
      </c>
      <c r="K17" s="167">
        <v>111</v>
      </c>
      <c r="L17" s="17">
        <v>0</v>
      </c>
      <c r="M17" s="10">
        <v>368.28</v>
      </c>
      <c r="N17" s="10">
        <f t="shared" si="1"/>
        <v>7732469.2175110374</v>
      </c>
      <c r="O17" s="161">
        <f t="shared" si="0"/>
        <v>4.36172178310823E-4</v>
      </c>
      <c r="P17" s="14">
        <f t="shared" si="2"/>
        <v>4.36172178310823E-4</v>
      </c>
      <c r="Q17" s="57"/>
      <c r="R17" s="57" t="s">
        <v>35</v>
      </c>
      <c r="S17" s="57" t="s">
        <v>24</v>
      </c>
      <c r="T17" s="57" t="s">
        <v>36</v>
      </c>
      <c r="U17" s="57" t="s">
        <v>37</v>
      </c>
      <c r="V17" s="57" t="s">
        <v>38</v>
      </c>
      <c r="W17" s="57" t="s">
        <v>39</v>
      </c>
    </row>
    <row r="18" spans="1:23">
      <c r="A18" s="3">
        <v>38078</v>
      </c>
      <c r="B18" s="155">
        <v>6406005</v>
      </c>
      <c r="C18" s="151">
        <f>'HDD and CDD'!M8</f>
        <v>424.79999999999995</v>
      </c>
      <c r="D18" s="151">
        <f>'HDD and CDD'!M22</f>
        <v>0</v>
      </c>
      <c r="E18" s="10">
        <v>30</v>
      </c>
      <c r="F18" s="10">
        <v>1</v>
      </c>
      <c r="G18" s="17">
        <f t="shared" si="3"/>
        <v>3911.5</v>
      </c>
      <c r="H18" s="35">
        <v>128.32383528126866</v>
      </c>
      <c r="I18" s="10">
        <v>0</v>
      </c>
      <c r="J18" s="167">
        <v>8.748975188781003</v>
      </c>
      <c r="K18" s="167">
        <v>111.1</v>
      </c>
      <c r="L18" s="17">
        <v>0</v>
      </c>
      <c r="M18" s="10">
        <v>336.24</v>
      </c>
      <c r="N18" s="10">
        <f t="shared" si="1"/>
        <v>6517912.7544622403</v>
      </c>
      <c r="O18" s="161">
        <f t="shared" si="0"/>
        <v>1.7469195616026001E-2</v>
      </c>
      <c r="P18" s="14">
        <f t="shared" si="2"/>
        <v>1.7469195616026001E-2</v>
      </c>
      <c r="Q18" s="36" t="s">
        <v>29</v>
      </c>
      <c r="R18" s="90">
        <v>-21811634.572702672</v>
      </c>
      <c r="S18" s="90">
        <v>4501806.3140477501</v>
      </c>
      <c r="T18" s="88">
        <v>-4.845085072771818</v>
      </c>
      <c r="U18" s="36">
        <v>4.0973920790126366E-6</v>
      </c>
      <c r="V18" s="90">
        <v>-30731386.719389066</v>
      </c>
      <c r="W18" s="90">
        <v>-12891882.42601628</v>
      </c>
    </row>
    <row r="19" spans="1:23">
      <c r="A19" s="3">
        <v>38108</v>
      </c>
      <c r="B19" s="155">
        <v>6009855</v>
      </c>
      <c r="C19" s="151">
        <f>'HDD and CDD'!M9</f>
        <v>299.39999999999992</v>
      </c>
      <c r="D19" s="151">
        <f>'HDD and CDD'!M23</f>
        <v>0</v>
      </c>
      <c r="E19" s="10">
        <v>31</v>
      </c>
      <c r="F19" s="10">
        <v>1</v>
      </c>
      <c r="G19" s="17">
        <f t="shared" si="3"/>
        <v>3912.25</v>
      </c>
      <c r="H19" s="35">
        <v>128.58816137146633</v>
      </c>
      <c r="I19" s="10">
        <v>0</v>
      </c>
      <c r="J19" s="167">
        <v>8.756850053937427</v>
      </c>
      <c r="K19" s="167">
        <v>111.2</v>
      </c>
      <c r="L19" s="17">
        <v>0</v>
      </c>
      <c r="M19" s="10">
        <v>319.92</v>
      </c>
      <c r="N19" s="10">
        <f t="shared" si="1"/>
        <v>6221631.2767863339</v>
      </c>
      <c r="O19" s="161">
        <f t="shared" si="0"/>
        <v>3.5238167441033807E-2</v>
      </c>
      <c r="P19" s="14">
        <f t="shared" si="2"/>
        <v>3.5238167441033807E-2</v>
      </c>
      <c r="Q19" s="36" t="s">
        <v>3</v>
      </c>
      <c r="R19" s="90">
        <v>4223.3717869952998</v>
      </c>
      <c r="S19" s="90">
        <v>94.631285140390446</v>
      </c>
      <c r="T19" s="88">
        <v>44.629762564565276</v>
      </c>
      <c r="U19" s="36">
        <v>3.595881939471057E-73</v>
      </c>
      <c r="V19" s="90">
        <v>4035.8720258126073</v>
      </c>
      <c r="W19" s="90">
        <v>4410.8715481779918</v>
      </c>
    </row>
    <row r="20" spans="1:23">
      <c r="A20" s="3">
        <v>38139</v>
      </c>
      <c r="B20" s="155">
        <v>5540424</v>
      </c>
      <c r="C20" s="151">
        <f>'HDD and CDD'!M10</f>
        <v>113.2</v>
      </c>
      <c r="D20" s="151">
        <f>'HDD and CDD'!M24</f>
        <v>5.6</v>
      </c>
      <c r="E20" s="10">
        <v>30</v>
      </c>
      <c r="F20" s="10">
        <v>0</v>
      </c>
      <c r="G20" s="17">
        <f>'Rate Class Customer Model'!J4</f>
        <v>3913</v>
      </c>
      <c r="H20" s="35">
        <v>128.85303193013166</v>
      </c>
      <c r="I20" s="10">
        <v>0</v>
      </c>
      <c r="J20" s="167">
        <v>8.8670981661272918</v>
      </c>
      <c r="K20" s="167">
        <v>112.6</v>
      </c>
      <c r="L20" s="17">
        <v>0</v>
      </c>
      <c r="M20" s="10">
        <v>352.08</v>
      </c>
      <c r="N20" s="10">
        <f t="shared" si="1"/>
        <v>5739370.3164136037</v>
      </c>
      <c r="O20" s="161">
        <f t="shared" si="0"/>
        <v>3.5908139235120595E-2</v>
      </c>
      <c r="P20" s="14">
        <f t="shared" si="2"/>
        <v>3.5908139235120595E-2</v>
      </c>
      <c r="Q20" s="36" t="s">
        <v>4</v>
      </c>
      <c r="R20" s="90">
        <v>15609.769478143933</v>
      </c>
      <c r="S20" s="90">
        <v>1615.1888933840364</v>
      </c>
      <c r="T20" s="88">
        <v>9.6643615753445289</v>
      </c>
      <c r="U20" s="36">
        <v>1.9662140815949429E-16</v>
      </c>
      <c r="V20" s="90">
        <v>12409.479729091558</v>
      </c>
      <c r="W20" s="90">
        <v>18810.059227196311</v>
      </c>
    </row>
    <row r="21" spans="1:23">
      <c r="A21" s="3">
        <v>38169</v>
      </c>
      <c r="B21" s="155">
        <v>6251832</v>
      </c>
      <c r="C21" s="151">
        <f>'HDD and CDD'!M11</f>
        <v>43.5</v>
      </c>
      <c r="D21" s="151">
        <f>'HDD and CDD'!M25</f>
        <v>43.5</v>
      </c>
      <c r="E21" s="10">
        <v>31</v>
      </c>
      <c r="F21" s="10">
        <v>0</v>
      </c>
      <c r="G21" s="17">
        <f t="shared" ref="G21:G31" si="4">($G$32-$G$20)/12+G20</f>
        <v>3912.25</v>
      </c>
      <c r="H21" s="35">
        <v>129.11844807878055</v>
      </c>
      <c r="I21" s="10">
        <v>0</v>
      </c>
      <c r="J21" s="167">
        <v>8.8592233009708679</v>
      </c>
      <c r="K21" s="167">
        <v>112.5</v>
      </c>
      <c r="L21" s="17">
        <v>0</v>
      </c>
      <c r="M21" s="10">
        <v>336.28800000000001</v>
      </c>
      <c r="N21" s="10">
        <f t="shared" si="1"/>
        <v>6264638.8183690524</v>
      </c>
      <c r="O21" s="161">
        <f t="shared" si="0"/>
        <v>2.0484904855173625E-3</v>
      </c>
      <c r="P21" s="14">
        <f t="shared" si="2"/>
        <v>2.0484904855173625E-3</v>
      </c>
      <c r="Q21" s="36" t="s">
        <v>5</v>
      </c>
      <c r="R21" s="90">
        <v>217335.77263764691</v>
      </c>
      <c r="S21" s="90">
        <v>29921.697296679889</v>
      </c>
      <c r="T21" s="88">
        <v>7.2634841026134733</v>
      </c>
      <c r="U21" s="36">
        <v>5.3538647452769139E-11</v>
      </c>
      <c r="V21" s="90">
        <v>158049.76496074491</v>
      </c>
      <c r="W21" s="90">
        <v>276621.78031454893</v>
      </c>
    </row>
    <row r="22" spans="1:23">
      <c r="A22" s="3">
        <v>38200</v>
      </c>
      <c r="B22" s="155">
        <v>5832882</v>
      </c>
      <c r="C22" s="151">
        <f>'HDD and CDD'!M12</f>
        <v>117.90000000000002</v>
      </c>
      <c r="D22" s="151">
        <f>'HDD and CDD'!M26</f>
        <v>4.8999999999999995</v>
      </c>
      <c r="E22" s="10">
        <v>31</v>
      </c>
      <c r="F22" s="10">
        <v>0</v>
      </c>
      <c r="G22" s="17">
        <f t="shared" si="4"/>
        <v>3911.5</v>
      </c>
      <c r="H22" s="35">
        <v>129.38441094123903</v>
      </c>
      <c r="I22" s="10">
        <v>0</v>
      </c>
      <c r="J22" s="167">
        <v>8.9379719525350509</v>
      </c>
      <c r="K22" s="167">
        <v>113.5</v>
      </c>
      <c r="L22" s="17">
        <v>0</v>
      </c>
      <c r="M22" s="10">
        <v>336.28800000000001</v>
      </c>
      <c r="N22" s="10">
        <f t="shared" si="1"/>
        <v>5987039.5970862983</v>
      </c>
      <c r="O22" s="161">
        <f t="shared" si="0"/>
        <v>2.6429061497609263E-2</v>
      </c>
      <c r="P22" s="14">
        <f t="shared" si="2"/>
        <v>2.6429061497609263E-2</v>
      </c>
      <c r="Q22" s="36" t="s">
        <v>18</v>
      </c>
      <c r="R22" s="90">
        <v>-418030.9312848199</v>
      </c>
      <c r="S22" s="90">
        <v>57922.548754832846</v>
      </c>
      <c r="T22" s="88">
        <v>-7.2170672781373577</v>
      </c>
      <c r="U22" s="36">
        <v>6.759085535180328E-11</v>
      </c>
      <c r="V22" s="90">
        <v>-532797.03683344414</v>
      </c>
      <c r="W22" s="90">
        <v>-303264.82573619561</v>
      </c>
    </row>
    <row r="23" spans="1:23">
      <c r="A23" s="3">
        <v>38231</v>
      </c>
      <c r="B23" s="155">
        <v>5909820</v>
      </c>
      <c r="C23" s="151">
        <f>'HDD and CDD'!M13</f>
        <v>95.300000000000011</v>
      </c>
      <c r="D23" s="151">
        <f>'HDD and CDD'!M27</f>
        <v>24.400000000000002</v>
      </c>
      <c r="E23" s="10">
        <v>30</v>
      </c>
      <c r="F23" s="10">
        <v>1</v>
      </c>
      <c r="G23" s="17">
        <f t="shared" si="4"/>
        <v>3910.75</v>
      </c>
      <c r="H23" s="35">
        <v>129.65092164364802</v>
      </c>
      <c r="I23" s="10">
        <v>0</v>
      </c>
      <c r="J23" s="167">
        <v>8.8907227615965354</v>
      </c>
      <c r="K23" s="167">
        <v>112.9</v>
      </c>
      <c r="L23" s="17">
        <v>0</v>
      </c>
      <c r="M23" s="10">
        <v>336.24</v>
      </c>
      <c r="N23" s="10">
        <f t="shared" si="1"/>
        <v>5571361.8119219625</v>
      </c>
      <c r="O23" s="161">
        <f t="shared" si="0"/>
        <v>-5.727047322558676E-2</v>
      </c>
      <c r="P23" s="14">
        <f t="shared" si="2"/>
        <v>5.727047322558676E-2</v>
      </c>
      <c r="Q23" s="36" t="s">
        <v>65</v>
      </c>
      <c r="R23" s="90">
        <v>3571.3349010015845</v>
      </c>
      <c r="S23" s="90">
        <v>824.99483035732624</v>
      </c>
      <c r="T23" s="88">
        <v>4.328917915103478</v>
      </c>
      <c r="U23" s="36">
        <v>3.2750277994323629E-5</v>
      </c>
      <c r="V23" s="90">
        <v>1936.7133967129212</v>
      </c>
      <c r="W23" s="90">
        <v>5205.9564052902479</v>
      </c>
    </row>
    <row r="24" spans="1:23">
      <c r="A24" s="3">
        <v>38261</v>
      </c>
      <c r="B24" s="155">
        <v>6554565</v>
      </c>
      <c r="C24" s="151">
        <f>'HDD and CDD'!M14</f>
        <v>340.79999999999995</v>
      </c>
      <c r="D24" s="151">
        <f>'HDD and CDD'!M28</f>
        <v>0</v>
      </c>
      <c r="E24" s="10">
        <v>31</v>
      </c>
      <c r="F24" s="10">
        <v>1</v>
      </c>
      <c r="G24" s="17">
        <f t="shared" si="4"/>
        <v>3910</v>
      </c>
      <c r="H24" s="35">
        <v>129.91798131446814</v>
      </c>
      <c r="I24" s="10">
        <v>0</v>
      </c>
      <c r="J24" s="167">
        <v>8.9615965480043087</v>
      </c>
      <c r="K24" s="167">
        <v>113.8</v>
      </c>
      <c r="L24" s="17">
        <v>0</v>
      </c>
      <c r="M24" s="10">
        <v>319.92</v>
      </c>
      <c r="N24" s="10">
        <f t="shared" si="1"/>
        <v>6455431.252864602</v>
      </c>
      <c r="O24" s="161">
        <f t="shared" si="0"/>
        <v>-1.5124382340460096E-2</v>
      </c>
      <c r="P24" s="14">
        <f t="shared" si="2"/>
        <v>1.5124382340460096E-2</v>
      </c>
      <c r="Q24" s="36" t="s">
        <v>6</v>
      </c>
      <c r="R24" s="90">
        <v>50373.65244553746</v>
      </c>
      <c r="S24" s="90">
        <v>10313.987025918013</v>
      </c>
      <c r="T24" s="88">
        <v>4.8840135554711805</v>
      </c>
      <c r="U24" s="36">
        <v>3.4832488280680922E-6</v>
      </c>
      <c r="V24" s="90">
        <v>29937.809253383642</v>
      </c>
      <c r="W24" s="90">
        <v>70809.495637691274</v>
      </c>
    </row>
    <row r="25" spans="1:23" ht="13.5" thickBot="1">
      <c r="A25" s="3">
        <v>38292</v>
      </c>
      <c r="B25" s="155">
        <v>7264359</v>
      </c>
      <c r="C25" s="151">
        <f>'HDD and CDD'!M15</f>
        <v>538.70000000000005</v>
      </c>
      <c r="D25" s="151">
        <f>'HDD and CDD'!M29</f>
        <v>0</v>
      </c>
      <c r="E25" s="10">
        <v>30</v>
      </c>
      <c r="F25" s="10">
        <v>1</v>
      </c>
      <c r="G25" s="17">
        <f t="shared" si="4"/>
        <v>3909.25</v>
      </c>
      <c r="H25" s="35">
        <v>130.18559108448443</v>
      </c>
      <c r="I25" s="10">
        <v>0</v>
      </c>
      <c r="J25" s="167">
        <v>8.9537216828478847</v>
      </c>
      <c r="K25" s="167">
        <v>113.7</v>
      </c>
      <c r="L25" s="17">
        <v>0</v>
      </c>
      <c r="M25" s="10">
        <v>352.08</v>
      </c>
      <c r="N25" s="10">
        <f t="shared" si="1"/>
        <v>7084702.7372434027</v>
      </c>
      <c r="O25" s="161">
        <f t="shared" si="0"/>
        <v>-2.473119276684943E-2</v>
      </c>
      <c r="P25" s="14">
        <f t="shared" si="2"/>
        <v>2.473119276684943E-2</v>
      </c>
      <c r="Q25" s="56" t="s">
        <v>147</v>
      </c>
      <c r="R25" s="168">
        <v>-517543.66899771953</v>
      </c>
      <c r="S25" s="168">
        <v>87937.143659952897</v>
      </c>
      <c r="T25" s="169">
        <v>-5.8853818472774897</v>
      </c>
      <c r="U25" s="56">
        <v>4.2130822539365883E-8</v>
      </c>
      <c r="V25" s="168">
        <v>-691779.84692627867</v>
      </c>
      <c r="W25" s="168">
        <v>-343307.49106916046</v>
      </c>
    </row>
    <row r="26" spans="1:23">
      <c r="A26" s="3">
        <v>38322</v>
      </c>
      <c r="B26" s="157">
        <v>9633559</v>
      </c>
      <c r="C26" s="151">
        <f>'HDD and CDD'!M16</f>
        <v>940.89999999999986</v>
      </c>
      <c r="D26" s="151">
        <f>'HDD and CDD'!M30</f>
        <v>0</v>
      </c>
      <c r="E26" s="10">
        <v>31</v>
      </c>
      <c r="F26" s="10">
        <v>0</v>
      </c>
      <c r="G26" s="17">
        <f t="shared" si="4"/>
        <v>3908.5</v>
      </c>
      <c r="H26" s="35">
        <v>130.45375208681136</v>
      </c>
      <c r="I26" s="10">
        <v>0</v>
      </c>
      <c r="J26" s="167">
        <v>8.9773462783171425</v>
      </c>
      <c r="K26" s="167">
        <v>114</v>
      </c>
      <c r="L26" s="17">
        <v>0</v>
      </c>
      <c r="M26" s="10">
        <v>336.28800000000001</v>
      </c>
      <c r="N26" s="10">
        <f t="shared" si="1"/>
        <v>9429539.3218502961</v>
      </c>
      <c r="O26" s="161">
        <f t="shared" si="0"/>
        <v>-2.1178017194860566E-2</v>
      </c>
      <c r="P26" s="14">
        <f t="shared" si="2"/>
        <v>2.1178017194860566E-2</v>
      </c>
    </row>
    <row r="27" spans="1:23">
      <c r="A27" s="3">
        <v>38353</v>
      </c>
      <c r="B27" s="27">
        <v>10197009</v>
      </c>
      <c r="C27" s="151">
        <f>'HDD and CDD'!N5</f>
        <v>1085.9999999999998</v>
      </c>
      <c r="D27" s="151">
        <f>'HDD and CDD'!N19</f>
        <v>0</v>
      </c>
      <c r="E27" s="10">
        <v>31</v>
      </c>
      <c r="F27" s="10">
        <v>0</v>
      </c>
      <c r="G27" s="17">
        <f t="shared" si="4"/>
        <v>3907.75</v>
      </c>
      <c r="H27" s="35">
        <v>130.74370215685079</v>
      </c>
      <c r="I27" s="10">
        <v>0</v>
      </c>
      <c r="J27" s="167">
        <v>8.2957081545064426</v>
      </c>
      <c r="K27" s="167">
        <v>113.7</v>
      </c>
      <c r="L27" s="17">
        <v>0</v>
      </c>
      <c r="M27" s="10">
        <v>319.92</v>
      </c>
      <c r="N27" s="10">
        <f t="shared" si="1"/>
        <v>10054277.911022285</v>
      </c>
      <c r="O27" s="161">
        <f t="shared" si="0"/>
        <v>-1.3997348534037335E-2</v>
      </c>
      <c r="P27" s="14">
        <f t="shared" si="2"/>
        <v>1.3997348534037335E-2</v>
      </c>
    </row>
    <row r="28" spans="1:23">
      <c r="A28" s="3">
        <v>38384</v>
      </c>
      <c r="B28" s="27">
        <v>7931365</v>
      </c>
      <c r="C28" s="151">
        <f>'HDD and CDD'!N6</f>
        <v>778.59999999999991</v>
      </c>
      <c r="D28" s="151">
        <f>'HDD and CDD'!N20</f>
        <v>0</v>
      </c>
      <c r="E28" s="10">
        <v>28</v>
      </c>
      <c r="F28" s="10">
        <v>0</v>
      </c>
      <c r="G28" s="17">
        <f t="shared" si="4"/>
        <v>3907</v>
      </c>
      <c r="H28" s="35">
        <v>131.0342966778299</v>
      </c>
      <c r="I28" s="10">
        <v>0</v>
      </c>
      <c r="J28" s="167">
        <v>8.2446351931330497</v>
      </c>
      <c r="K28" s="167">
        <v>113</v>
      </c>
      <c r="L28" s="17">
        <v>0</v>
      </c>
      <c r="M28" s="10">
        <v>319.87200000000001</v>
      </c>
      <c r="N28" s="10">
        <f t="shared" si="1"/>
        <v>8115965.9120136211</v>
      </c>
      <c r="O28" s="161">
        <f t="shared" si="0"/>
        <v>2.3274797215059539E-2</v>
      </c>
      <c r="P28" s="14">
        <f t="shared" si="2"/>
        <v>2.3274797215059539E-2</v>
      </c>
    </row>
    <row r="29" spans="1:23">
      <c r="A29" s="3">
        <v>38412</v>
      </c>
      <c r="B29" s="27">
        <v>8064613</v>
      </c>
      <c r="C29" s="151">
        <f>'HDD and CDD'!N7</f>
        <v>758.8</v>
      </c>
      <c r="D29" s="151">
        <f>'HDD and CDD'!N21</f>
        <v>0</v>
      </c>
      <c r="E29" s="10">
        <v>31</v>
      </c>
      <c r="F29" s="10">
        <v>1</v>
      </c>
      <c r="G29" s="17">
        <f t="shared" si="4"/>
        <v>3906.25</v>
      </c>
      <c r="H29" s="35">
        <v>131.32553708212293</v>
      </c>
      <c r="I29" s="10">
        <v>0</v>
      </c>
      <c r="J29" s="167">
        <v>8.2008583690987251</v>
      </c>
      <c r="K29" s="167">
        <v>112.4</v>
      </c>
      <c r="L29" s="17">
        <v>0</v>
      </c>
      <c r="M29" s="10">
        <v>351.91199999999998</v>
      </c>
      <c r="N29" s="10">
        <f t="shared" si="1"/>
        <v>8278311.8789874353</v>
      </c>
      <c r="O29" s="161">
        <f t="shared" si="0"/>
        <v>2.6498342696349431E-2</v>
      </c>
      <c r="P29" s="14">
        <f t="shared" si="2"/>
        <v>2.6498342696349431E-2</v>
      </c>
    </row>
    <row r="30" spans="1:23">
      <c r="A30" s="3">
        <v>38443</v>
      </c>
      <c r="B30" s="27">
        <v>6304988</v>
      </c>
      <c r="C30" s="151">
        <f>'HDD and CDD'!N8</f>
        <v>330.29999999999995</v>
      </c>
      <c r="D30" s="151">
        <f>'HDD and CDD'!N22</f>
        <v>0.5</v>
      </c>
      <c r="E30" s="10">
        <v>30</v>
      </c>
      <c r="F30" s="10">
        <v>1</v>
      </c>
      <c r="G30" s="17">
        <f t="shared" si="4"/>
        <v>3905.5</v>
      </c>
      <c r="H30" s="35">
        <v>131.61742480528775</v>
      </c>
      <c r="I30" s="10">
        <v>0</v>
      </c>
      <c r="J30" s="167">
        <v>8.1643776824034404</v>
      </c>
      <c r="K30" s="167">
        <v>111.9</v>
      </c>
      <c r="L30" s="17">
        <v>0</v>
      </c>
      <c r="M30" s="10">
        <v>336.24</v>
      </c>
      <c r="N30" s="10">
        <f t="shared" si="1"/>
        <v>6271091.1299054464</v>
      </c>
      <c r="O30" s="161">
        <f t="shared" si="0"/>
        <v>-5.3761989863507775E-3</v>
      </c>
      <c r="P30" s="14">
        <f t="shared" si="2"/>
        <v>5.3761989863507775E-3</v>
      </c>
    </row>
    <row r="31" spans="1:23">
      <c r="A31" s="3">
        <v>38473</v>
      </c>
      <c r="B31" s="27">
        <v>6189587</v>
      </c>
      <c r="C31" s="151">
        <f>'HDD and CDD'!N9</f>
        <v>233.49999999999991</v>
      </c>
      <c r="D31" s="151">
        <f>'HDD and CDD'!N23</f>
        <v>0</v>
      </c>
      <c r="E31" s="10">
        <v>31</v>
      </c>
      <c r="F31" s="10">
        <v>1</v>
      </c>
      <c r="G31" s="17">
        <f t="shared" si="4"/>
        <v>3904.75</v>
      </c>
      <c r="H31" s="35">
        <v>131.90996128607298</v>
      </c>
      <c r="I31" s="10">
        <v>0</v>
      </c>
      <c r="J31" s="167">
        <v>8.076824034334777</v>
      </c>
      <c r="K31" s="167">
        <v>110.7</v>
      </c>
      <c r="L31" s="17">
        <v>0</v>
      </c>
      <c r="M31" s="10">
        <v>336.28800000000001</v>
      </c>
      <c r="N31" s="10">
        <f t="shared" si="1"/>
        <v>6083857.2586578429</v>
      </c>
      <c r="O31" s="161">
        <f t="shared" si="0"/>
        <v>-1.7081873369282463E-2</v>
      </c>
      <c r="P31" s="14">
        <f t="shared" si="2"/>
        <v>1.7081873369282463E-2</v>
      </c>
    </row>
    <row r="32" spans="1:23">
      <c r="A32" s="3">
        <v>38504</v>
      </c>
      <c r="B32" s="27">
        <v>6219927</v>
      </c>
      <c r="C32" s="151">
        <f>'HDD and CDD'!N10</f>
        <v>40.9</v>
      </c>
      <c r="D32" s="151">
        <f>'HDD and CDD'!N24</f>
        <v>40.799999999999997</v>
      </c>
      <c r="E32" s="10">
        <v>30</v>
      </c>
      <c r="F32" s="10">
        <v>0</v>
      </c>
      <c r="G32" s="17">
        <f>'Rate Class Customer Model'!J5</f>
        <v>3904</v>
      </c>
      <c r="H32" s="35">
        <v>132.20314796642501</v>
      </c>
      <c r="I32" s="10">
        <v>0</v>
      </c>
      <c r="J32" s="167">
        <v>8.1060085836909934</v>
      </c>
      <c r="K32" s="167">
        <v>111.1</v>
      </c>
      <c r="L32" s="17">
        <v>0</v>
      </c>
      <c r="M32" s="10">
        <v>352.08</v>
      </c>
      <c r="N32" s="10">
        <f t="shared" si="1"/>
        <v>6120099.9885999532</v>
      </c>
      <c r="O32" s="161">
        <f t="shared" si="0"/>
        <v>-1.6049547108840101E-2</v>
      </c>
      <c r="P32" s="14">
        <f t="shared" si="2"/>
        <v>1.6049547108840101E-2</v>
      </c>
    </row>
    <row r="33" spans="1:16">
      <c r="A33" s="3">
        <v>38534</v>
      </c>
      <c r="B33" s="27">
        <v>6876788</v>
      </c>
      <c r="C33" s="151">
        <f>'HDD and CDD'!N11</f>
        <v>25.7</v>
      </c>
      <c r="D33" s="151">
        <f>'HDD and CDD'!N25</f>
        <v>89.499999999999986</v>
      </c>
      <c r="E33" s="10">
        <v>31</v>
      </c>
      <c r="F33" s="10">
        <v>0</v>
      </c>
      <c r="G33" s="17">
        <f t="shared" ref="G33:G43" si="5">($G$44-$G$32)/12+G32</f>
        <v>3900.6666666666665</v>
      </c>
      <c r="H33" s="35">
        <v>132.49698629149512</v>
      </c>
      <c r="I33" s="10">
        <v>0</v>
      </c>
      <c r="J33" s="167">
        <v>8.0695278969957087</v>
      </c>
      <c r="K33" s="167">
        <v>110.6</v>
      </c>
      <c r="L33" s="17">
        <v>0</v>
      </c>
      <c r="M33" s="10">
        <v>319.92</v>
      </c>
      <c r="N33" s="10">
        <f t="shared" si="1"/>
        <v>7036333.543653138</v>
      </c>
      <c r="O33" s="161">
        <f t="shared" si="0"/>
        <v>2.3200590690470424E-2</v>
      </c>
      <c r="P33" s="14">
        <f t="shared" si="2"/>
        <v>2.3200590690470424E-2</v>
      </c>
    </row>
    <row r="34" spans="1:16">
      <c r="A34" s="3">
        <v>38565</v>
      </c>
      <c r="B34" s="27">
        <v>6418010</v>
      </c>
      <c r="C34" s="151">
        <f>'HDD and CDD'!N12</f>
        <v>60.800000000000011</v>
      </c>
      <c r="D34" s="151">
        <f>'HDD and CDD'!N26</f>
        <v>38.799999999999997</v>
      </c>
      <c r="E34" s="10">
        <v>31</v>
      </c>
      <c r="F34" s="10">
        <v>0</v>
      </c>
      <c r="G34" s="17">
        <f t="shared" si="5"/>
        <v>3897.333333333333</v>
      </c>
      <c r="H34" s="35">
        <v>132.79147770964664</v>
      </c>
      <c r="I34" s="10">
        <v>0</v>
      </c>
      <c r="J34" s="167">
        <v>8.0841201716738311</v>
      </c>
      <c r="K34" s="167">
        <v>110.8</v>
      </c>
      <c r="L34" s="17">
        <v>0</v>
      </c>
      <c r="M34" s="10">
        <v>351.91199999999998</v>
      </c>
      <c r="N34" s="10">
        <f t="shared" si="1"/>
        <v>6396088.7395109283</v>
      </c>
      <c r="O34" s="161">
        <f t="shared" si="0"/>
        <v>-3.4155852809627518E-3</v>
      </c>
      <c r="P34" s="14">
        <f t="shared" si="2"/>
        <v>3.4155852809627518E-3</v>
      </c>
    </row>
    <row r="35" spans="1:16">
      <c r="A35" s="3">
        <v>38596</v>
      </c>
      <c r="B35" s="27">
        <v>5916795</v>
      </c>
      <c r="C35" s="151">
        <f>'HDD and CDD'!N13</f>
        <v>135</v>
      </c>
      <c r="D35" s="151">
        <f>'HDD and CDD'!N27</f>
        <v>19.900000000000002</v>
      </c>
      <c r="E35" s="10">
        <v>30</v>
      </c>
      <c r="F35" s="10">
        <v>1</v>
      </c>
      <c r="G35" s="17">
        <f t="shared" si="5"/>
        <v>3893.9999999999995</v>
      </c>
      <c r="H35" s="35">
        <v>133.08662367246211</v>
      </c>
      <c r="I35" s="10">
        <v>0</v>
      </c>
      <c r="J35" s="167">
        <v>7.843347639484989</v>
      </c>
      <c r="K35" s="167">
        <v>107.5</v>
      </c>
      <c r="L35" s="17">
        <v>0</v>
      </c>
      <c r="M35" s="10">
        <v>336.24</v>
      </c>
      <c r="N35" s="10">
        <f t="shared" si="1"/>
        <v>5782034.7095281556</v>
      </c>
      <c r="O35" s="161">
        <f t="shared" ref="O35:O66" si="6">N35/B35-1</f>
        <v>-2.2775893109672429E-2</v>
      </c>
      <c r="P35" s="14">
        <f t="shared" si="2"/>
        <v>2.2775893109672429E-2</v>
      </c>
    </row>
    <row r="36" spans="1:16">
      <c r="A36" s="3">
        <v>38626</v>
      </c>
      <c r="B36" s="27">
        <v>6571998</v>
      </c>
      <c r="C36" s="151">
        <f>'HDD and CDD'!N14</f>
        <v>354.09999999999991</v>
      </c>
      <c r="D36" s="151">
        <f>'HDD and CDD'!N28</f>
        <v>2</v>
      </c>
      <c r="E36" s="10">
        <v>31</v>
      </c>
      <c r="F36" s="10">
        <v>1</v>
      </c>
      <c r="G36" s="17">
        <f t="shared" si="5"/>
        <v>3890.6666666666661</v>
      </c>
      <c r="H36" s="35">
        <v>133.38242563475035</v>
      </c>
      <c r="I36" s="10">
        <v>0</v>
      </c>
      <c r="J36" s="167">
        <v>7.726609442060095</v>
      </c>
      <c r="K36" s="167">
        <v>105.9</v>
      </c>
      <c r="L36" s="17">
        <v>0</v>
      </c>
      <c r="M36" s="10">
        <v>319.92</v>
      </c>
      <c r="N36" s="10">
        <f t="shared" si="1"/>
        <v>6648292.5426087091</v>
      </c>
      <c r="O36" s="161">
        <f t="shared" si="6"/>
        <v>1.1609033144670544E-2</v>
      </c>
      <c r="P36" s="14">
        <f t="shared" si="2"/>
        <v>1.1609033144670544E-2</v>
      </c>
    </row>
    <row r="37" spans="1:16">
      <c r="A37" s="3">
        <v>38657</v>
      </c>
      <c r="B37" s="27">
        <v>7667940</v>
      </c>
      <c r="C37" s="151">
        <f>'HDD and CDD'!N15</f>
        <v>604.20000000000005</v>
      </c>
      <c r="D37" s="151">
        <f>'HDD and CDD'!N29</f>
        <v>0</v>
      </c>
      <c r="E37" s="10">
        <v>30</v>
      </c>
      <c r="F37" s="10">
        <v>1</v>
      </c>
      <c r="G37" s="17">
        <f t="shared" si="5"/>
        <v>3887.3333333333326</v>
      </c>
      <c r="H37" s="35">
        <v>133.67888505455369</v>
      </c>
      <c r="I37" s="10">
        <v>0</v>
      </c>
      <c r="J37" s="167">
        <v>7.5369098712446458</v>
      </c>
      <c r="K37" s="167">
        <v>103.3</v>
      </c>
      <c r="L37" s="17">
        <v>0</v>
      </c>
      <c r="M37" s="10">
        <v>352.08</v>
      </c>
      <c r="N37" s="10">
        <f t="shared" si="1"/>
        <v>7459031.8090496678</v>
      </c>
      <c r="O37" s="161">
        <f t="shared" si="6"/>
        <v>-2.7244369537363644E-2</v>
      </c>
      <c r="P37" s="14">
        <f t="shared" si="2"/>
        <v>2.7244369537363644E-2</v>
      </c>
    </row>
    <row r="38" spans="1:16">
      <c r="A38" s="3">
        <v>38687</v>
      </c>
      <c r="B38" s="27">
        <v>9147691</v>
      </c>
      <c r="C38" s="151">
        <f>'HDD and CDD'!N16</f>
        <v>848.39999999999986</v>
      </c>
      <c r="D38" s="151">
        <f>'HDD and CDD'!N30</f>
        <v>0</v>
      </c>
      <c r="E38" s="10">
        <v>31</v>
      </c>
      <c r="F38" s="10">
        <v>0</v>
      </c>
      <c r="G38" s="17">
        <f t="shared" si="5"/>
        <v>3883.9999999999991</v>
      </c>
      <c r="H38" s="35">
        <v>133.97600339315525</v>
      </c>
      <c r="I38" s="10">
        <v>0</v>
      </c>
      <c r="J38" s="167">
        <v>7.5369098712446458</v>
      </c>
      <c r="K38" s="167">
        <v>103.3</v>
      </c>
      <c r="L38" s="17">
        <v>0</v>
      </c>
      <c r="M38" s="10">
        <v>319.92</v>
      </c>
      <c r="N38" s="10">
        <f t="shared" si="1"/>
        <v>9128808.3896102943</v>
      </c>
      <c r="O38" s="161">
        <f t="shared" si="6"/>
        <v>-2.0641941654682139E-3</v>
      </c>
      <c r="P38" s="14">
        <f t="shared" si="2"/>
        <v>2.0641941654682139E-3</v>
      </c>
    </row>
    <row r="39" spans="1:16">
      <c r="A39" s="3">
        <v>38718</v>
      </c>
      <c r="B39" s="27">
        <v>8645184</v>
      </c>
      <c r="C39" s="151">
        <f>'HDD and CDD'!O5</f>
        <v>774</v>
      </c>
      <c r="D39" s="151">
        <f>'HDD and CDD'!O19</f>
        <v>0</v>
      </c>
      <c r="E39" s="10">
        <v>31</v>
      </c>
      <c r="F39" s="10">
        <v>0</v>
      </c>
      <c r="G39" s="17">
        <f t="shared" si="5"/>
        <v>3880.6666666666656</v>
      </c>
      <c r="H39" s="35">
        <v>134.25197202423305</v>
      </c>
      <c r="I39" s="10">
        <v>0</v>
      </c>
      <c r="J39" s="167">
        <v>8.6036876355748291</v>
      </c>
      <c r="K39" s="167">
        <v>101.7</v>
      </c>
      <c r="L39" s="17">
        <f>'CDM Activity'!C16</f>
        <v>4613.6489167048103</v>
      </c>
      <c r="M39" s="10">
        <v>336.28800000000001</v>
      </c>
      <c r="N39" s="10">
        <f t="shared" si="1"/>
        <v>8816586.6268956251</v>
      </c>
      <c r="O39" s="161">
        <f t="shared" si="6"/>
        <v>1.982637117910091E-2</v>
      </c>
      <c r="P39" s="14">
        <f t="shared" si="2"/>
        <v>1.982637117910091E-2</v>
      </c>
    </row>
    <row r="40" spans="1:16">
      <c r="A40" s="3">
        <v>38749</v>
      </c>
      <c r="B40" s="27">
        <v>8433483</v>
      </c>
      <c r="C40" s="151">
        <f>'HDD and CDD'!O6</f>
        <v>927.79999999999984</v>
      </c>
      <c r="D40" s="151">
        <f>'HDD and CDD'!O20</f>
        <v>0</v>
      </c>
      <c r="E40" s="10">
        <v>28</v>
      </c>
      <c r="F40" s="10">
        <v>0</v>
      </c>
      <c r="G40" s="17">
        <f t="shared" si="5"/>
        <v>3877.3333333333321</v>
      </c>
      <c r="H40" s="35">
        <v>134.52850910550649</v>
      </c>
      <c r="I40" s="10">
        <v>0</v>
      </c>
      <c r="J40" s="167">
        <v>8.6290672451193018</v>
      </c>
      <c r="K40" s="167">
        <v>102</v>
      </c>
      <c r="L40" s="17">
        <f>'CDM Activity'!C17</f>
        <v>9227.2978334096206</v>
      </c>
      <c r="M40" s="10">
        <v>319.87200000000001</v>
      </c>
      <c r="N40" s="10">
        <f t="shared" si="1"/>
        <v>8816159.6229729224</v>
      </c>
      <c r="O40" s="161">
        <f t="shared" si="6"/>
        <v>4.5375869373653011E-2</v>
      </c>
      <c r="P40" s="14">
        <f t="shared" si="2"/>
        <v>4.5375869373653011E-2</v>
      </c>
    </row>
    <row r="41" spans="1:16">
      <c r="A41" s="3">
        <v>38777</v>
      </c>
      <c r="B41" s="27">
        <v>7908257</v>
      </c>
      <c r="C41" s="151">
        <f>'HDD and CDD'!O7</f>
        <v>648.30000000000007</v>
      </c>
      <c r="D41" s="151">
        <f>'HDD and CDD'!O21</f>
        <v>0</v>
      </c>
      <c r="E41" s="10">
        <v>31</v>
      </c>
      <c r="F41" s="10">
        <v>1</v>
      </c>
      <c r="G41" s="17">
        <f t="shared" si="5"/>
        <v>3873.9999999999986</v>
      </c>
      <c r="H41" s="35">
        <v>134.80561580788986</v>
      </c>
      <c r="I41" s="10">
        <v>0</v>
      </c>
      <c r="J41" s="167">
        <v>8.5190889370932723</v>
      </c>
      <c r="K41" s="167">
        <v>100.7</v>
      </c>
      <c r="L41" s="17">
        <f>'CDM Activity'!C18</f>
        <v>13840.946750114432</v>
      </c>
      <c r="M41" s="10">
        <v>368.28</v>
      </c>
      <c r="N41" s="10">
        <f t="shared" si="1"/>
        <v>7871758.0221820436</v>
      </c>
      <c r="O41" s="161">
        <f t="shared" si="6"/>
        <v>-4.6152999096964464E-3</v>
      </c>
      <c r="P41" s="14">
        <f t="shared" si="2"/>
        <v>4.6152999096964464E-3</v>
      </c>
    </row>
    <row r="42" spans="1:16">
      <c r="A42" s="3">
        <v>38808</v>
      </c>
      <c r="B42" s="27">
        <v>6151308</v>
      </c>
      <c r="C42" s="151">
        <f>'HDD and CDD'!O8</f>
        <v>292.59999999999991</v>
      </c>
      <c r="D42" s="151">
        <f>'HDD and CDD'!O22</f>
        <v>0</v>
      </c>
      <c r="E42" s="10">
        <v>30</v>
      </c>
      <c r="F42" s="10">
        <v>1</v>
      </c>
      <c r="G42" s="17">
        <f t="shared" si="5"/>
        <v>3870.6666666666652</v>
      </c>
      <c r="H42" s="35">
        <v>135.08329330470943</v>
      </c>
      <c r="I42" s="10">
        <v>0</v>
      </c>
      <c r="J42" s="167">
        <v>8.5021691973969524</v>
      </c>
      <c r="K42" s="167">
        <v>100.5</v>
      </c>
      <c r="L42" s="17">
        <f>'CDM Activity'!C19</f>
        <v>18454.595666819241</v>
      </c>
      <c r="M42" s="10">
        <v>303.83999999999997</v>
      </c>
      <c r="N42" s="10">
        <f t="shared" si="1"/>
        <v>6154252.0849568956</v>
      </c>
      <c r="O42" s="161">
        <f t="shared" si="6"/>
        <v>4.7861120868852858E-4</v>
      </c>
      <c r="P42" s="14">
        <f t="shared" si="2"/>
        <v>4.7861120868852858E-4</v>
      </c>
    </row>
    <row r="43" spans="1:16">
      <c r="A43" s="3">
        <v>38838</v>
      </c>
      <c r="B43" s="27">
        <v>6218083</v>
      </c>
      <c r="C43" s="151">
        <f>'HDD and CDD'!O9</f>
        <v>179.2</v>
      </c>
      <c r="D43" s="151">
        <f>'HDD and CDD'!O23</f>
        <v>21.2</v>
      </c>
      <c r="E43" s="10">
        <v>31</v>
      </c>
      <c r="F43" s="10">
        <v>1</v>
      </c>
      <c r="G43" s="17">
        <f t="shared" si="5"/>
        <v>3867.3333333333317</v>
      </c>
      <c r="H43" s="35">
        <v>135.36154277170829</v>
      </c>
      <c r="I43" s="10">
        <v>0</v>
      </c>
      <c r="J43" s="167">
        <v>8.5021691973969524</v>
      </c>
      <c r="K43" s="167">
        <v>100.5</v>
      </c>
      <c r="L43" s="17">
        <f>'CDM Activity'!C20</f>
        <v>23068.244583524051</v>
      </c>
      <c r="M43" s="10">
        <v>351.91199999999998</v>
      </c>
      <c r="N43" s="10">
        <f t="shared" si="1"/>
        <v>6225696.6021596817</v>
      </c>
      <c r="O43" s="161">
        <f t="shared" si="6"/>
        <v>1.224429162441476E-3</v>
      </c>
      <c r="P43" s="14">
        <f t="shared" si="2"/>
        <v>1.224429162441476E-3</v>
      </c>
    </row>
    <row r="44" spans="1:16">
      <c r="A44" s="3">
        <v>38869</v>
      </c>
      <c r="B44" s="27">
        <v>6146444</v>
      </c>
      <c r="C44" s="151">
        <f>'HDD and CDD'!O10</f>
        <v>55.100000000000016</v>
      </c>
      <c r="D44" s="151">
        <f>'HDD and CDD'!O24</f>
        <v>18.5</v>
      </c>
      <c r="E44" s="10">
        <v>30</v>
      </c>
      <c r="F44" s="10">
        <v>0</v>
      </c>
      <c r="G44" s="17">
        <f>'Rate Class Customer Model'!J6</f>
        <v>3864</v>
      </c>
      <c r="H44" s="35">
        <v>135.64036538705133</v>
      </c>
      <c r="I44" s="10">
        <v>0</v>
      </c>
      <c r="J44" s="167">
        <v>8.7052060737527057</v>
      </c>
      <c r="K44" s="167">
        <v>102.9</v>
      </c>
      <c r="L44" s="17">
        <f>'CDM Activity'!C21</f>
        <v>27681.89350022886</v>
      </c>
      <c r="M44" s="10">
        <v>352.08</v>
      </c>
      <c r="N44" s="10">
        <f t="shared" si="1"/>
        <v>5862265.8082989929</v>
      </c>
      <c r="O44" s="161">
        <f t="shared" si="6"/>
        <v>-4.6234569403220349E-2</v>
      </c>
      <c r="P44" s="14">
        <f t="shared" si="2"/>
        <v>4.6234569403220349E-2</v>
      </c>
    </row>
    <row r="45" spans="1:16">
      <c r="A45" s="3">
        <v>38899</v>
      </c>
      <c r="B45" s="27">
        <v>7123470</v>
      </c>
      <c r="C45" s="151">
        <f>'HDD and CDD'!O11</f>
        <v>6.8000000000000007</v>
      </c>
      <c r="D45" s="151">
        <f>'HDD and CDD'!O25</f>
        <v>87.499999999999986</v>
      </c>
      <c r="E45" s="10">
        <v>31</v>
      </c>
      <c r="F45" s="10">
        <v>0</v>
      </c>
      <c r="G45" s="17">
        <f t="shared" ref="G45:G55" si="7">($G$56-$G$44)/12+G44</f>
        <v>3860.0833333333335</v>
      </c>
      <c r="H45" s="35">
        <v>135.9197623313303</v>
      </c>
      <c r="I45" s="10">
        <v>0</v>
      </c>
      <c r="J45" s="167">
        <v>8.8828633405639863</v>
      </c>
      <c r="K45" s="167">
        <v>105</v>
      </c>
      <c r="L45" s="17">
        <f>'CDM Activity'!C22</f>
        <v>32295.542416933669</v>
      </c>
      <c r="M45" s="10">
        <v>319.92</v>
      </c>
      <c r="N45" s="10">
        <f t="shared" si="1"/>
        <v>6952773.3338198951</v>
      </c>
      <c r="O45" s="161">
        <f t="shared" si="6"/>
        <v>-2.3962572479438338E-2</v>
      </c>
      <c r="P45" s="14">
        <f t="shared" si="2"/>
        <v>2.3962572479438338E-2</v>
      </c>
    </row>
    <row r="46" spans="1:16">
      <c r="A46" s="3">
        <v>38930</v>
      </c>
      <c r="B46" s="27">
        <v>6443073</v>
      </c>
      <c r="C46" s="151">
        <f>'HDD and CDD'!O12</f>
        <v>31.599999999999998</v>
      </c>
      <c r="D46" s="151">
        <f>'HDD and CDD'!O26</f>
        <v>23.200000000000003</v>
      </c>
      <c r="E46" s="10">
        <v>31</v>
      </c>
      <c r="F46" s="10">
        <v>0</v>
      </c>
      <c r="G46" s="17">
        <f t="shared" si="7"/>
        <v>3856.166666666667</v>
      </c>
      <c r="H46" s="35">
        <v>136.19973478756879</v>
      </c>
      <c r="I46" s="10">
        <v>0</v>
      </c>
      <c r="J46" s="167">
        <v>8.9251626898047647</v>
      </c>
      <c r="K46" s="167">
        <v>105.5</v>
      </c>
      <c r="L46" s="17">
        <f>'CDM Activity'!C23</f>
        <v>36909.191333638482</v>
      </c>
      <c r="M46" s="10">
        <v>351.91199999999998</v>
      </c>
      <c r="N46" s="10">
        <f t="shared" si="1"/>
        <v>6053920.2835353492</v>
      </c>
      <c r="O46" s="161">
        <f t="shared" si="6"/>
        <v>-6.0398619799069575E-2</v>
      </c>
      <c r="P46" s="14">
        <f t="shared" si="2"/>
        <v>6.0398619799069575E-2</v>
      </c>
    </row>
    <row r="47" spans="1:16">
      <c r="A47" s="3">
        <v>38961</v>
      </c>
      <c r="B47" s="27">
        <v>5861771</v>
      </c>
      <c r="C47" s="151">
        <f>'HDD and CDD'!O13</f>
        <v>179.5</v>
      </c>
      <c r="D47" s="151">
        <f>'HDD and CDD'!O27</f>
        <v>9.3999999999999986</v>
      </c>
      <c r="E47" s="10">
        <v>30</v>
      </c>
      <c r="F47" s="10">
        <v>1</v>
      </c>
      <c r="G47" s="17">
        <f t="shared" si="7"/>
        <v>3852.2500000000005</v>
      </c>
      <c r="H47" s="35">
        <v>136.48028394122719</v>
      </c>
      <c r="I47" s="10">
        <v>0</v>
      </c>
      <c r="J47" s="167">
        <v>8.9759219088937101</v>
      </c>
      <c r="K47" s="167">
        <v>106.1</v>
      </c>
      <c r="L47" s="17">
        <f>'CDM Activity'!C24</f>
        <v>41522.840250343295</v>
      </c>
      <c r="M47" s="10">
        <v>319.68</v>
      </c>
      <c r="N47" s="10">
        <f t="shared" si="1"/>
        <v>5827920.0053091226</v>
      </c>
      <c r="O47" s="161">
        <f t="shared" si="6"/>
        <v>-5.7748749807655653E-3</v>
      </c>
      <c r="P47" s="14">
        <f t="shared" si="2"/>
        <v>5.7748749807655653E-3</v>
      </c>
    </row>
    <row r="48" spans="1:16">
      <c r="A48" s="3">
        <v>38991</v>
      </c>
      <c r="B48" s="27">
        <v>6849480</v>
      </c>
      <c r="C48" s="151">
        <f>'HDD and CDD'!O14</f>
        <v>458.19999999999993</v>
      </c>
      <c r="D48" s="151">
        <f>'HDD and CDD'!O28</f>
        <v>0</v>
      </c>
      <c r="E48" s="10">
        <v>31</v>
      </c>
      <c r="F48" s="10">
        <v>1</v>
      </c>
      <c r="G48" s="17">
        <f t="shared" si="7"/>
        <v>3848.3333333333339</v>
      </c>
      <c r="H48" s="35">
        <v>136.76141098020776</v>
      </c>
      <c r="I48" s="10">
        <v>0</v>
      </c>
      <c r="J48" s="167">
        <v>9.0013015184381686</v>
      </c>
      <c r="K48" s="167">
        <v>106.4</v>
      </c>
      <c r="L48" s="17">
        <f>'CDM Activity'!C25</f>
        <v>46136.489167048108</v>
      </c>
      <c r="M48" s="10">
        <v>336.28800000000001</v>
      </c>
      <c r="N48" s="10">
        <f t="shared" si="1"/>
        <v>7075751.3292802023</v>
      </c>
      <c r="O48" s="161">
        <f t="shared" si="6"/>
        <v>3.3034818596477722E-2</v>
      </c>
      <c r="P48" s="14">
        <f t="shared" si="2"/>
        <v>3.3034818596477722E-2</v>
      </c>
    </row>
    <row r="49" spans="1:16">
      <c r="A49" s="3">
        <v>39022</v>
      </c>
      <c r="B49" s="27">
        <v>7647750</v>
      </c>
      <c r="C49" s="151">
        <f>'HDD and CDD'!O15</f>
        <v>600.09999999999991</v>
      </c>
      <c r="D49" s="151">
        <f>'HDD and CDD'!O29</f>
        <v>0</v>
      </c>
      <c r="E49" s="10">
        <v>30</v>
      </c>
      <c r="F49" s="10">
        <v>1</v>
      </c>
      <c r="G49" s="17">
        <f t="shared" si="7"/>
        <v>3844.4166666666674</v>
      </c>
      <c r="H49" s="35">
        <v>137.04311709485967</v>
      </c>
      <c r="I49" s="10">
        <v>0</v>
      </c>
      <c r="J49" s="167">
        <v>9.1197396963123651</v>
      </c>
      <c r="K49" s="167">
        <v>107.8</v>
      </c>
      <c r="L49" s="17">
        <f>'CDM Activity'!C26</f>
        <v>50750.138083752921</v>
      </c>
      <c r="M49" s="10">
        <v>352.08</v>
      </c>
      <c r="N49" s="10">
        <f t="shared" si="1"/>
        <v>7457914.8507661922</v>
      </c>
      <c r="O49" s="161">
        <f t="shared" si="6"/>
        <v>-2.4822352879449228E-2</v>
      </c>
      <c r="P49" s="14">
        <f t="shared" si="2"/>
        <v>2.4822352879449228E-2</v>
      </c>
    </row>
    <row r="50" spans="1:16">
      <c r="A50" s="3">
        <v>39052</v>
      </c>
      <c r="B50" s="27">
        <v>8877038</v>
      </c>
      <c r="C50" s="151">
        <f>'HDD and CDD'!O16</f>
        <v>794.2</v>
      </c>
      <c r="D50" s="151">
        <f>'HDD and CDD'!O30</f>
        <v>0</v>
      </c>
      <c r="E50" s="10">
        <v>31</v>
      </c>
      <c r="F50" s="10">
        <v>0</v>
      </c>
      <c r="G50" s="17">
        <f t="shared" si="7"/>
        <v>3840.5000000000009</v>
      </c>
      <c r="H50" s="35">
        <v>137.32540347798411</v>
      </c>
      <c r="I50" s="10">
        <v>0</v>
      </c>
      <c r="J50" s="167">
        <v>9.2127982646420747</v>
      </c>
      <c r="K50" s="167">
        <v>108.9</v>
      </c>
      <c r="L50" s="17">
        <f>'CDM Activity'!C27</f>
        <v>55363.787000457734</v>
      </c>
      <c r="M50" s="10">
        <v>304.29599999999999</v>
      </c>
      <c r="N50" s="10">
        <f t="shared" si="1"/>
        <v>8913270.0863358099</v>
      </c>
      <c r="O50" s="161">
        <f t="shared" si="6"/>
        <v>4.0815513390626279E-3</v>
      </c>
      <c r="P50" s="14">
        <f t="shared" si="2"/>
        <v>4.0815513390626279E-3</v>
      </c>
    </row>
    <row r="51" spans="1:16">
      <c r="A51" s="3">
        <v>39083</v>
      </c>
      <c r="B51" s="27">
        <v>9432908</v>
      </c>
      <c r="C51" s="151">
        <f>'HDD and CDD'!P5</f>
        <v>905.39999999999986</v>
      </c>
      <c r="D51" s="151">
        <f>'HDD and CDD'!P19</f>
        <v>0</v>
      </c>
      <c r="E51" s="10">
        <v>31</v>
      </c>
      <c r="F51" s="10">
        <v>0</v>
      </c>
      <c r="G51" s="17">
        <f t="shared" si="7"/>
        <v>3836.5833333333344</v>
      </c>
      <c r="H51" s="35">
        <v>137.552207546647</v>
      </c>
      <c r="I51" s="10">
        <v>0</v>
      </c>
      <c r="J51" s="167">
        <v>8.7585313174946151</v>
      </c>
      <c r="K51" s="167">
        <v>109.6</v>
      </c>
      <c r="L51" s="17">
        <f>'CDM Activity'!C28</f>
        <v>60041.656269012856</v>
      </c>
      <c r="M51" s="10">
        <v>351.91199999999998</v>
      </c>
      <c r="N51" s="10">
        <f t="shared" si="1"/>
        <v>9380346.2500154898</v>
      </c>
      <c r="O51" s="161">
        <f t="shared" si="6"/>
        <v>-5.5721681992987326E-3</v>
      </c>
      <c r="P51" s="14">
        <f t="shared" si="2"/>
        <v>5.5721681992987326E-3</v>
      </c>
    </row>
    <row r="52" spans="1:16">
      <c r="A52" s="3">
        <v>39114</v>
      </c>
      <c r="B52" s="27">
        <v>9228910</v>
      </c>
      <c r="C52" s="151">
        <f>'HDD and CDD'!P6</f>
        <v>813.59999999999991</v>
      </c>
      <c r="D52" s="151">
        <f>'HDD and CDD'!P20</f>
        <v>0</v>
      </c>
      <c r="E52" s="10">
        <v>28</v>
      </c>
      <c r="F52" s="10">
        <v>0</v>
      </c>
      <c r="G52" s="17">
        <f t="shared" si="7"/>
        <v>3832.6666666666679</v>
      </c>
      <c r="H52" s="35">
        <v>137.77938620066888</v>
      </c>
      <c r="I52" s="10">
        <v>0</v>
      </c>
      <c r="J52" s="167">
        <v>8.7665226781857513</v>
      </c>
      <c r="K52" s="167">
        <v>109.7</v>
      </c>
      <c r="L52" s="17">
        <f>'CDM Activity'!C29</f>
        <v>64719.525537567977</v>
      </c>
      <c r="M52" s="10">
        <v>319.87200000000001</v>
      </c>
      <c r="N52" s="10">
        <f t="shared" si="1"/>
        <v>8338089.4922548663</v>
      </c>
      <c r="O52" s="161">
        <f t="shared" si="6"/>
        <v>-9.6524996748817982E-2</v>
      </c>
      <c r="P52" s="14">
        <f t="shared" si="2"/>
        <v>9.6524996748817982E-2</v>
      </c>
    </row>
    <row r="53" spans="1:16">
      <c r="A53" s="3">
        <v>39142</v>
      </c>
      <c r="B53" s="27">
        <v>8025208</v>
      </c>
      <c r="C53" s="151">
        <f>'HDD and CDD'!P7</f>
        <v>514.70000000000005</v>
      </c>
      <c r="D53" s="151">
        <f>'HDD and CDD'!P21</f>
        <v>0</v>
      </c>
      <c r="E53" s="10">
        <v>31</v>
      </c>
      <c r="F53" s="10">
        <v>1</v>
      </c>
      <c r="G53" s="17">
        <f t="shared" si="7"/>
        <v>3828.7500000000014</v>
      </c>
      <c r="H53" s="35">
        <v>138.00694005870795</v>
      </c>
      <c r="I53" s="10">
        <v>0</v>
      </c>
      <c r="J53" s="167">
        <v>8.6306695464362946</v>
      </c>
      <c r="K53" s="167">
        <v>108</v>
      </c>
      <c r="L53" s="17">
        <f>'CDM Activity'!C30</f>
        <v>69397.394806123091</v>
      </c>
      <c r="M53" s="10">
        <v>351.91199999999998</v>
      </c>
      <c r="N53" s="10">
        <f t="shared" si="1"/>
        <v>7307175.0423453366</v>
      </c>
      <c r="O53" s="161">
        <f t="shared" si="6"/>
        <v>-8.9472192827234287E-2</v>
      </c>
      <c r="P53" s="14">
        <f t="shared" si="2"/>
        <v>8.9472192827234287E-2</v>
      </c>
    </row>
    <row r="54" spans="1:16">
      <c r="A54" s="3">
        <v>39173</v>
      </c>
      <c r="B54" s="27">
        <v>6654507</v>
      </c>
      <c r="C54" s="151">
        <f>'HDD and CDD'!P8</f>
        <v>359.19999999999993</v>
      </c>
      <c r="D54" s="151">
        <f>'HDD and CDD'!P22</f>
        <v>0</v>
      </c>
      <c r="E54" s="10">
        <v>30</v>
      </c>
      <c r="F54" s="10">
        <v>1</v>
      </c>
      <c r="G54" s="17">
        <f t="shared" si="7"/>
        <v>3824.8333333333348</v>
      </c>
      <c r="H54" s="35">
        <v>138.23486974044414</v>
      </c>
      <c r="I54" s="10">
        <v>0</v>
      </c>
      <c r="J54" s="167">
        <v>8.6786177105831541</v>
      </c>
      <c r="K54" s="167">
        <v>108.6</v>
      </c>
      <c r="L54" s="17">
        <f>'CDM Activity'!C31</f>
        <v>74075.264074678213</v>
      </c>
      <c r="M54" s="10">
        <v>319.68</v>
      </c>
      <c r="N54" s="10">
        <f t="shared" si="1"/>
        <v>6430598.8790374678</v>
      </c>
      <c r="O54" s="161">
        <f t="shared" si="6"/>
        <v>-3.364758966555037E-2</v>
      </c>
      <c r="P54" s="14">
        <f t="shared" si="2"/>
        <v>3.364758966555037E-2</v>
      </c>
    </row>
    <row r="55" spans="1:16">
      <c r="A55" s="3">
        <v>39203</v>
      </c>
      <c r="B55" s="27">
        <v>5912182</v>
      </c>
      <c r="C55" s="151">
        <f>'HDD and CDD'!P9</f>
        <v>157.69999999999999</v>
      </c>
      <c r="D55" s="151">
        <f>'HDD and CDD'!P23</f>
        <v>9.1</v>
      </c>
      <c r="E55" s="10">
        <v>31</v>
      </c>
      <c r="F55" s="10">
        <v>1</v>
      </c>
      <c r="G55" s="17">
        <f t="shared" si="7"/>
        <v>3820.9166666666683</v>
      </c>
      <c r="H55" s="35">
        <v>138.46317586658083</v>
      </c>
      <c r="I55" s="10">
        <v>0</v>
      </c>
      <c r="J55" s="167">
        <v>8.5827213822894208</v>
      </c>
      <c r="K55" s="167">
        <v>107.4</v>
      </c>
      <c r="L55" s="17">
        <f>'CDM Activity'!C32</f>
        <v>78753.133343233334</v>
      </c>
      <c r="M55" s="10">
        <v>351.91199999999998</v>
      </c>
      <c r="N55" s="10">
        <f t="shared" si="1"/>
        <v>5936487.0239336127</v>
      </c>
      <c r="O55" s="161">
        <f t="shared" si="6"/>
        <v>4.1110073968650962E-3</v>
      </c>
      <c r="P55" s="14">
        <f t="shared" si="2"/>
        <v>4.1110073968650962E-3</v>
      </c>
    </row>
    <row r="56" spans="1:16">
      <c r="A56" s="3">
        <v>39234</v>
      </c>
      <c r="B56" s="27">
        <v>6071468</v>
      </c>
      <c r="C56" s="151">
        <f>'HDD and CDD'!P10</f>
        <v>42.5</v>
      </c>
      <c r="D56" s="151">
        <f>'HDD and CDD'!P24</f>
        <v>50.2</v>
      </c>
      <c r="E56" s="10">
        <v>30</v>
      </c>
      <c r="F56" s="10">
        <v>0</v>
      </c>
      <c r="G56" s="17">
        <f>'Rate Class Customer Model'!J7</f>
        <v>3817</v>
      </c>
      <c r="H56" s="35">
        <v>138.69185905884657</v>
      </c>
      <c r="I56" s="10">
        <v>0</v>
      </c>
      <c r="J56" s="167">
        <v>8.558747300215984</v>
      </c>
      <c r="K56" s="167">
        <v>107.1</v>
      </c>
      <c r="L56" s="17">
        <f>'CDM Activity'!C33</f>
        <v>83431.002611788455</v>
      </c>
      <c r="M56" s="10">
        <v>336.24</v>
      </c>
      <c r="N56" s="10">
        <f t="shared" si="1"/>
        <v>6289743.1575557142</v>
      </c>
      <c r="O56" s="161">
        <f t="shared" si="6"/>
        <v>3.5950968951119266E-2</v>
      </c>
      <c r="P56" s="14">
        <f t="shared" si="2"/>
        <v>3.5950968951119266E-2</v>
      </c>
    </row>
    <row r="57" spans="1:16">
      <c r="A57" s="3">
        <v>39264</v>
      </c>
      <c r="B57" s="27">
        <v>6811577</v>
      </c>
      <c r="C57" s="151">
        <f>'HDD and CDD'!P11</f>
        <v>28.799999999999997</v>
      </c>
      <c r="D57" s="151">
        <f>'HDD and CDD'!P25</f>
        <v>68.5</v>
      </c>
      <c r="E57" s="10">
        <v>31</v>
      </c>
      <c r="F57" s="10">
        <v>0</v>
      </c>
      <c r="G57" s="17">
        <f t="shared" ref="G57:G67" si="8">($G$68-$G$56)/12+G56</f>
        <v>3813.9166666666665</v>
      </c>
      <c r="H57" s="35">
        <v>138.92091993999671</v>
      </c>
      <c r="I57" s="10">
        <v>0</v>
      </c>
      <c r="J57" s="167">
        <v>8.4948164146868379</v>
      </c>
      <c r="K57" s="167">
        <v>106.3</v>
      </c>
      <c r="L57" s="17">
        <f>'CDM Activity'!C34</f>
        <v>88108.871880343577</v>
      </c>
      <c r="M57" s="10">
        <v>336.28800000000001</v>
      </c>
      <c r="N57" s="10">
        <f t="shared" si="1"/>
        <v>6735404.5354327271</v>
      </c>
      <c r="O57" s="161">
        <f t="shared" si="6"/>
        <v>-1.1182794317273759E-2</v>
      </c>
      <c r="P57" s="14">
        <f t="shared" si="2"/>
        <v>1.1182794317273759E-2</v>
      </c>
    </row>
    <row r="58" spans="1:16">
      <c r="A58" s="3">
        <v>39295</v>
      </c>
      <c r="B58" s="27">
        <v>6209810</v>
      </c>
      <c r="C58" s="151">
        <f>'HDD and CDD'!P12</f>
        <v>46.6</v>
      </c>
      <c r="D58" s="151">
        <f>'HDD and CDD'!P26</f>
        <v>25.6</v>
      </c>
      <c r="E58" s="10">
        <v>31</v>
      </c>
      <c r="F58" s="10">
        <v>0</v>
      </c>
      <c r="G58" s="17">
        <f t="shared" si="8"/>
        <v>3810.833333333333</v>
      </c>
      <c r="H58" s="35">
        <v>139.15035913381516</v>
      </c>
      <c r="I58" s="10">
        <v>0</v>
      </c>
      <c r="J58" s="167">
        <v>8.5507559395248478</v>
      </c>
      <c r="K58" s="167">
        <v>107</v>
      </c>
      <c r="L58" s="17">
        <f>'CDM Activity'!C35</f>
        <v>92786.741148898698</v>
      </c>
      <c r="M58" s="10">
        <v>351.91199999999998</v>
      </c>
      <c r="N58" s="10">
        <f t="shared" si="1"/>
        <v>6141467.5168909058</v>
      </c>
      <c r="O58" s="161">
        <f t="shared" si="6"/>
        <v>-1.1005567498698743E-2</v>
      </c>
      <c r="P58" s="14">
        <f t="shared" si="2"/>
        <v>1.1005567498698743E-2</v>
      </c>
    </row>
    <row r="59" spans="1:16">
      <c r="A59" s="3">
        <v>39326</v>
      </c>
      <c r="B59" s="27">
        <v>5771471</v>
      </c>
      <c r="C59" s="151">
        <f>'HDD and CDD'!P13</f>
        <v>162.89999999999998</v>
      </c>
      <c r="D59" s="151">
        <f>'HDD and CDD'!P27</f>
        <v>13.899999999999999</v>
      </c>
      <c r="E59" s="10">
        <v>30</v>
      </c>
      <c r="F59" s="10">
        <v>1</v>
      </c>
      <c r="G59" s="17">
        <f t="shared" si="8"/>
        <v>3807.7499999999995</v>
      </c>
      <c r="H59" s="35">
        <v>139.38017726511606</v>
      </c>
      <c r="I59" s="10">
        <v>0</v>
      </c>
      <c r="J59" s="167">
        <v>8.4788336933045372</v>
      </c>
      <c r="K59" s="167">
        <v>106.1</v>
      </c>
      <c r="L59" s="17">
        <f>'CDM Activity'!C36</f>
        <v>97464.61041745382</v>
      </c>
      <c r="M59" s="10">
        <v>303.83999999999997</v>
      </c>
      <c r="N59" s="10">
        <f t="shared" si="1"/>
        <v>5815209.8116287887</v>
      </c>
      <c r="O59" s="161">
        <f t="shared" si="6"/>
        <v>7.5784512525123304E-3</v>
      </c>
      <c r="P59" s="14">
        <f t="shared" si="2"/>
        <v>7.5784512525123304E-3</v>
      </c>
    </row>
    <row r="60" spans="1:16">
      <c r="A60" s="3">
        <v>39356</v>
      </c>
      <c r="B60" s="27">
        <v>6424810</v>
      </c>
      <c r="C60" s="151">
        <f>'HDD and CDD'!P14</f>
        <v>320.2999999999999</v>
      </c>
      <c r="D60" s="151">
        <f>'HDD and CDD'!P28</f>
        <v>0</v>
      </c>
      <c r="E60" s="10">
        <v>31</v>
      </c>
      <c r="F60" s="10">
        <v>1</v>
      </c>
      <c r="G60" s="17">
        <f t="shared" si="8"/>
        <v>3804.6666666666661</v>
      </c>
      <c r="H60" s="35">
        <v>139.61037495974546</v>
      </c>
      <c r="I60" s="10">
        <v>0</v>
      </c>
      <c r="J60" s="167">
        <v>8.295032397408221</v>
      </c>
      <c r="K60" s="167">
        <v>103.8</v>
      </c>
      <c r="L60" s="17">
        <f>'CDM Activity'!C37</f>
        <v>102142.47968600894</v>
      </c>
      <c r="M60" s="10">
        <v>351.91199999999998</v>
      </c>
      <c r="N60" s="10">
        <f t="shared" si="1"/>
        <v>6480912.7905115662</v>
      </c>
      <c r="O60" s="161">
        <f t="shared" si="6"/>
        <v>8.7322100593738572E-3</v>
      </c>
      <c r="P60" s="14">
        <f t="shared" si="2"/>
        <v>8.7322100593738572E-3</v>
      </c>
    </row>
    <row r="61" spans="1:16">
      <c r="A61" s="3">
        <v>39387</v>
      </c>
      <c r="B61" s="27">
        <v>7619728</v>
      </c>
      <c r="C61" s="151">
        <f>'HDD and CDD'!P15</f>
        <v>569.1</v>
      </c>
      <c r="D61" s="151">
        <f>'HDD and CDD'!P29</f>
        <v>0</v>
      </c>
      <c r="E61" s="10">
        <v>30</v>
      </c>
      <c r="F61" s="10">
        <v>1</v>
      </c>
      <c r="G61" s="17">
        <f t="shared" si="8"/>
        <v>3801.5833333333326</v>
      </c>
      <c r="H61" s="35">
        <v>139.84095284458306</v>
      </c>
      <c r="I61" s="10">
        <v>0</v>
      </c>
      <c r="J61" s="167">
        <v>8.1671706263499004</v>
      </c>
      <c r="K61" s="167">
        <v>102.2</v>
      </c>
      <c r="L61" s="17">
        <f>'CDM Activity'!C38</f>
        <v>106820.34895456406</v>
      </c>
      <c r="M61" s="10">
        <v>352.08</v>
      </c>
      <c r="N61" s="10">
        <f t="shared" si="1"/>
        <v>7314955.3527660305</v>
      </c>
      <c r="O61" s="161">
        <f t="shared" si="6"/>
        <v>-3.9997838142512343E-2</v>
      </c>
      <c r="P61" s="14">
        <f t="shared" si="2"/>
        <v>3.9997838142512343E-2</v>
      </c>
    </row>
    <row r="62" spans="1:16">
      <c r="A62" s="3">
        <v>39417</v>
      </c>
      <c r="B62" s="27">
        <v>9531390</v>
      </c>
      <c r="C62" s="151">
        <f>'HDD and CDD'!P16</f>
        <v>797.6</v>
      </c>
      <c r="D62" s="151">
        <f>'HDD and CDD'!P30</f>
        <v>0</v>
      </c>
      <c r="E62" s="10">
        <v>31</v>
      </c>
      <c r="F62" s="10">
        <v>0</v>
      </c>
      <c r="G62" s="17">
        <f t="shared" si="8"/>
        <v>3798.4999999999991</v>
      </c>
      <c r="H62" s="35">
        <v>140.07191154754381</v>
      </c>
      <c r="I62" s="10">
        <v>0</v>
      </c>
      <c r="J62" s="167">
        <v>8.1671706263499004</v>
      </c>
      <c r="K62" s="167">
        <v>102.2</v>
      </c>
      <c r="L62" s="17">
        <f>'CDM Activity'!C39</f>
        <v>111498.21822311918</v>
      </c>
      <c r="M62" s="10">
        <v>304.29599999999999</v>
      </c>
      <c r="N62" s="10">
        <f t="shared" si="1"/>
        <v>8915985.1275043841</v>
      </c>
      <c r="O62" s="161">
        <f t="shared" si="6"/>
        <v>-6.4566120208659594E-2</v>
      </c>
      <c r="P62" s="14">
        <f t="shared" si="2"/>
        <v>6.4566120208659594E-2</v>
      </c>
    </row>
    <row r="63" spans="1:16">
      <c r="A63" s="3">
        <v>39448</v>
      </c>
      <c r="B63" s="17">
        <v>9728566</v>
      </c>
      <c r="C63" s="70">
        <f>'HDD and CDD'!Q5</f>
        <v>1025.0999999999999</v>
      </c>
      <c r="D63" s="70">
        <f>'HDD and CDD'!Q19</f>
        <v>0</v>
      </c>
      <c r="E63" s="10">
        <v>31</v>
      </c>
      <c r="F63" s="10">
        <v>0</v>
      </c>
      <c r="G63" s="17">
        <f t="shared" si="8"/>
        <v>3795.4166666666656</v>
      </c>
      <c r="H63" s="34">
        <v>139.96642175819056</v>
      </c>
      <c r="I63" s="10">
        <v>0</v>
      </c>
      <c r="J63" s="167">
        <v>8.8521172638436383</v>
      </c>
      <c r="K63" s="167">
        <v>103.2</v>
      </c>
      <c r="L63" s="17">
        <f>'CDM Activity'!C40</f>
        <v>111338.79788585915</v>
      </c>
      <c r="M63" s="165">
        <v>352</v>
      </c>
      <c r="N63" s="10">
        <f t="shared" si="1"/>
        <v>9860476.6871156283</v>
      </c>
      <c r="O63" s="161">
        <f t="shared" si="6"/>
        <v>1.3559109031652694E-2</v>
      </c>
      <c r="P63" s="14">
        <f t="shared" si="2"/>
        <v>1.3559109031652694E-2</v>
      </c>
    </row>
    <row r="64" spans="1:16">
      <c r="A64" s="3">
        <v>39479</v>
      </c>
      <c r="B64" s="17">
        <v>9025530</v>
      </c>
      <c r="C64" s="70">
        <f>'HDD and CDD'!Q6</f>
        <v>981.6</v>
      </c>
      <c r="D64" s="70">
        <f>'HDD and CDD'!Q20</f>
        <v>0</v>
      </c>
      <c r="E64" s="10">
        <v>29</v>
      </c>
      <c r="F64" s="10">
        <v>0</v>
      </c>
      <c r="G64" s="17">
        <f t="shared" si="8"/>
        <v>3792.3333333333321</v>
      </c>
      <c r="H64" s="34">
        <v>139.86101141442734</v>
      </c>
      <c r="I64" s="10">
        <v>0</v>
      </c>
      <c r="J64" s="167">
        <v>8.7406080347448381</v>
      </c>
      <c r="K64" s="167">
        <v>101.9</v>
      </c>
      <c r="L64" s="17">
        <f>'CDM Activity'!C41</f>
        <v>111179.37754859912</v>
      </c>
      <c r="M64" s="165">
        <v>320</v>
      </c>
      <c r="N64" s="10">
        <f t="shared" si="1"/>
        <v>9225766.9491403885</v>
      </c>
      <c r="O64" s="161">
        <f t="shared" si="6"/>
        <v>2.2185616705100886E-2</v>
      </c>
      <c r="P64" s="14">
        <f t="shared" si="2"/>
        <v>2.2185616705100886E-2</v>
      </c>
    </row>
    <row r="65" spans="1:16">
      <c r="A65" s="3">
        <v>39508</v>
      </c>
      <c r="B65" s="17">
        <v>8220022</v>
      </c>
      <c r="C65" s="70">
        <f>'HDD and CDD'!Q7</f>
        <v>759.30000000000007</v>
      </c>
      <c r="D65" s="70">
        <f>'HDD and CDD'!Q21</f>
        <v>0</v>
      </c>
      <c r="E65" s="10">
        <v>31</v>
      </c>
      <c r="F65" s="10">
        <v>1</v>
      </c>
      <c r="G65" s="17">
        <f t="shared" si="8"/>
        <v>3789.2499999999986</v>
      </c>
      <c r="H65" s="34">
        <v>139.75568045642274</v>
      </c>
      <c r="I65" s="10">
        <v>0</v>
      </c>
      <c r="J65" s="167">
        <v>8.7234527687296435</v>
      </c>
      <c r="K65" s="167">
        <v>101.7</v>
      </c>
      <c r="L65" s="17">
        <f>'CDM Activity'!C42</f>
        <v>111019.95721133909</v>
      </c>
      <c r="M65" s="165">
        <v>304</v>
      </c>
      <c r="N65" s="10">
        <f t="shared" si="1"/>
        <v>8287234.4938667724</v>
      </c>
      <c r="O65" s="161">
        <f t="shared" si="6"/>
        <v>8.1766805328225001E-3</v>
      </c>
      <c r="P65" s="14">
        <f t="shared" si="2"/>
        <v>8.1766805328225001E-3</v>
      </c>
    </row>
    <row r="66" spans="1:16">
      <c r="A66" s="3">
        <v>39539</v>
      </c>
      <c r="B66" s="17">
        <v>6595251</v>
      </c>
      <c r="C66" s="70">
        <f>'HDD and CDD'!Q8</f>
        <v>473.2000000000001</v>
      </c>
      <c r="D66" s="70">
        <f>'HDD and CDD'!Q22</f>
        <v>0</v>
      </c>
      <c r="E66" s="10">
        <v>30</v>
      </c>
      <c r="F66" s="10">
        <v>1</v>
      </c>
      <c r="G66" s="17">
        <f t="shared" si="8"/>
        <v>3786.1666666666652</v>
      </c>
      <c r="H66" s="34">
        <v>139.65042882439042</v>
      </c>
      <c r="I66" s="10">
        <v>0</v>
      </c>
      <c r="J66" s="167">
        <v>8.663409337676427</v>
      </c>
      <c r="K66" s="167">
        <v>101</v>
      </c>
      <c r="L66" s="17">
        <f>'CDM Activity'!C43</f>
        <v>110860.53687407906</v>
      </c>
      <c r="M66" s="165">
        <v>352</v>
      </c>
      <c r="N66" s="10">
        <f t="shared" si="1"/>
        <v>6845278.5278936913</v>
      </c>
      <c r="O66" s="161">
        <f t="shared" si="6"/>
        <v>3.7910236910420947E-2</v>
      </c>
      <c r="P66" s="14">
        <f t="shared" si="2"/>
        <v>3.7910236910420947E-2</v>
      </c>
    </row>
    <row r="67" spans="1:16">
      <c r="A67" s="3">
        <v>39569</v>
      </c>
      <c r="B67" s="17">
        <v>5974447</v>
      </c>
      <c r="C67" s="70">
        <f>'HDD and CDD'!Q9</f>
        <v>321.49999999999994</v>
      </c>
      <c r="D67" s="70">
        <f>'HDD and CDD'!Q23</f>
        <v>0</v>
      </c>
      <c r="E67" s="10">
        <v>31</v>
      </c>
      <c r="F67" s="10">
        <v>1</v>
      </c>
      <c r="G67" s="17">
        <f t="shared" si="8"/>
        <v>3783.0833333333317</v>
      </c>
      <c r="H67" s="34">
        <v>139.54525645858905</v>
      </c>
      <c r="I67" s="10">
        <v>0</v>
      </c>
      <c r="J67" s="167">
        <v>8.6891422366992401</v>
      </c>
      <c r="K67" s="167">
        <v>101.3</v>
      </c>
      <c r="L67" s="17">
        <f>'CDM Activity'!C44</f>
        <v>110701.11653681903</v>
      </c>
      <c r="M67" s="165">
        <v>336</v>
      </c>
      <c r="N67" s="10">
        <f t="shared" si="1"/>
        <v>6405619.2682976443</v>
      </c>
      <c r="O67" s="161">
        <f t="shared" ref="O67:O98" si="9">N67/B67-1</f>
        <v>7.2169402171890384E-2</v>
      </c>
      <c r="P67" s="14">
        <f t="shared" si="2"/>
        <v>7.2169402171890384E-2</v>
      </c>
    </row>
    <row r="68" spans="1:16">
      <c r="A68" s="3">
        <v>39600</v>
      </c>
      <c r="B68" s="17">
        <v>5625602</v>
      </c>
      <c r="C68" s="70">
        <f>'HDD and CDD'!Q10</f>
        <v>102.70000000000002</v>
      </c>
      <c r="D68" s="70">
        <f>'HDD and CDD'!Q24</f>
        <v>8.1999999999999993</v>
      </c>
      <c r="E68" s="10">
        <v>30</v>
      </c>
      <c r="F68" s="10">
        <v>0</v>
      </c>
      <c r="G68" s="17">
        <f>'Rate Class Customer Model'!J8</f>
        <v>3780</v>
      </c>
      <c r="H68" s="34">
        <v>139.44016329932234</v>
      </c>
      <c r="I68" s="10">
        <v>0</v>
      </c>
      <c r="J68" s="167">
        <v>8.6805646036916357</v>
      </c>
      <c r="K68" s="167">
        <v>101.2</v>
      </c>
      <c r="L68" s="17">
        <f>'CDM Activity'!C45</f>
        <v>110541.696199559</v>
      </c>
      <c r="M68" s="165">
        <v>336</v>
      </c>
      <c r="N68" s="10">
        <f t="shared" ref="N68:N131" si="10">$R$18+C68*$R$19+D68*$R$20+E68*$R$21+F68*$R$22+G68*$R$23+H68*$R$24+I68*$R$25</f>
        <v>5793935.2474469738</v>
      </c>
      <c r="O68" s="161">
        <f t="shared" si="9"/>
        <v>2.9922708262506648E-2</v>
      </c>
      <c r="P68" s="14">
        <f t="shared" ref="P68:P108" si="11">ABS(O68)</f>
        <v>2.9922708262506648E-2</v>
      </c>
    </row>
    <row r="69" spans="1:16">
      <c r="A69" s="3">
        <v>39630</v>
      </c>
      <c r="B69" s="17">
        <v>6179271</v>
      </c>
      <c r="C69" s="70">
        <f>'HDD and CDD'!Q11</f>
        <v>42.9</v>
      </c>
      <c r="D69" s="70">
        <f>'HDD and CDD'!Q25</f>
        <v>19.099999999999998</v>
      </c>
      <c r="E69" s="10">
        <v>31</v>
      </c>
      <c r="F69" s="10">
        <v>0</v>
      </c>
      <c r="G69" s="17">
        <f t="shared" ref="G69:G79" si="12">($G$80-$G$68)/12+G68</f>
        <v>3779.5</v>
      </c>
      <c r="H69" s="34">
        <v>139.3351492869389</v>
      </c>
      <c r="I69" s="10">
        <v>0</v>
      </c>
      <c r="J69" s="167">
        <v>8.6977198697068303</v>
      </c>
      <c r="K69" s="167">
        <v>101.4</v>
      </c>
      <c r="L69" s="17">
        <f>'CDM Activity'!C46</f>
        <v>110382.27586229896</v>
      </c>
      <c r="M69" s="165">
        <v>352</v>
      </c>
      <c r="N69" s="10">
        <f t="shared" si="10"/>
        <v>5921784.267721856</v>
      </c>
      <c r="O69" s="161">
        <f t="shared" si="9"/>
        <v>-4.1669435161226009E-2</v>
      </c>
      <c r="P69" s="14">
        <f t="shared" si="11"/>
        <v>4.1669435161226009E-2</v>
      </c>
    </row>
    <row r="70" spans="1:16">
      <c r="A70" s="3">
        <v>39661</v>
      </c>
      <c r="B70" s="17">
        <v>6267360</v>
      </c>
      <c r="C70" s="70">
        <f>'HDD and CDD'!Q12</f>
        <v>49.8</v>
      </c>
      <c r="D70" s="70">
        <f>'HDD and CDD'!Q26</f>
        <v>26.4</v>
      </c>
      <c r="E70" s="10">
        <v>31</v>
      </c>
      <c r="F70" s="10">
        <v>0</v>
      </c>
      <c r="G70" s="17">
        <f t="shared" si="12"/>
        <v>3779</v>
      </c>
      <c r="H70" s="34">
        <v>139.23021436183228</v>
      </c>
      <c r="I70" s="10">
        <v>0</v>
      </c>
      <c r="J70" s="167">
        <v>8.9035830618892504</v>
      </c>
      <c r="K70" s="167">
        <v>103.8</v>
      </c>
      <c r="L70" s="17">
        <f>'CDM Activity'!C47</f>
        <v>110222.85552503893</v>
      </c>
      <c r="M70" s="165">
        <v>320</v>
      </c>
      <c r="N70" s="10">
        <f t="shared" si="10"/>
        <v>6057805.2273453521</v>
      </c>
      <c r="O70" s="161">
        <f t="shared" si="9"/>
        <v>-3.3435892090872055E-2</v>
      </c>
      <c r="P70" s="14">
        <f t="shared" si="11"/>
        <v>3.3435892090872055E-2</v>
      </c>
    </row>
    <row r="71" spans="1:16">
      <c r="A71" s="3">
        <v>39692</v>
      </c>
      <c r="B71" s="17">
        <v>5631253</v>
      </c>
      <c r="C71" s="70">
        <f>'HDD and CDD'!Q13</f>
        <v>177.49999999999997</v>
      </c>
      <c r="D71" s="70">
        <f>'HDD and CDD'!Q27</f>
        <v>7.8999999999999995</v>
      </c>
      <c r="E71" s="10">
        <v>30</v>
      </c>
      <c r="F71" s="10">
        <v>1</v>
      </c>
      <c r="G71" s="17">
        <f t="shared" si="12"/>
        <v>3778.5</v>
      </c>
      <c r="H71" s="34">
        <v>139.12535846444095</v>
      </c>
      <c r="I71" s="10">
        <v>0</v>
      </c>
      <c r="J71" s="167">
        <v>9.049402823018454</v>
      </c>
      <c r="K71" s="167">
        <v>105.5</v>
      </c>
      <c r="L71" s="17">
        <f>'CDM Activity'!C48</f>
        <v>110063.4351877789</v>
      </c>
      <c r="M71" s="165">
        <v>336</v>
      </c>
      <c r="N71" s="10">
        <f t="shared" si="10"/>
        <v>5665914.7232939657</v>
      </c>
      <c r="O71" s="161">
        <f t="shared" si="9"/>
        <v>6.1552417009085314E-3</v>
      </c>
      <c r="P71" s="14">
        <f t="shared" si="11"/>
        <v>6.1552417009085314E-3</v>
      </c>
    </row>
    <row r="72" spans="1:16">
      <c r="A72" s="3">
        <v>39722</v>
      </c>
      <c r="B72" s="17">
        <v>6344212</v>
      </c>
      <c r="C72" s="70">
        <f>'HDD and CDD'!Q14</f>
        <v>368.70000000000005</v>
      </c>
      <c r="D72" s="70">
        <f>'HDD and CDD'!Q28</f>
        <v>0</v>
      </c>
      <c r="E72" s="10">
        <v>31</v>
      </c>
      <c r="F72" s="10">
        <v>1</v>
      </c>
      <c r="G72" s="17">
        <f t="shared" si="12"/>
        <v>3778</v>
      </c>
      <c r="H72" s="34">
        <v>139.02058153524823</v>
      </c>
      <c r="I72" s="10">
        <v>0</v>
      </c>
      <c r="J72" s="167">
        <v>9.1437567861020597</v>
      </c>
      <c r="K72" s="167">
        <v>106.6</v>
      </c>
      <c r="L72" s="17">
        <f>'CDM Activity'!C49</f>
        <v>109904.01485051887</v>
      </c>
      <c r="M72" s="165">
        <v>352</v>
      </c>
      <c r="N72" s="10">
        <f t="shared" si="10"/>
        <v>6560378.3386618095</v>
      </c>
      <c r="O72" s="161">
        <f t="shared" si="9"/>
        <v>3.4073000502159889E-2</v>
      </c>
      <c r="P72" s="14">
        <f t="shared" si="11"/>
        <v>3.4073000502159889E-2</v>
      </c>
    </row>
    <row r="73" spans="1:16">
      <c r="A73" s="3">
        <v>39753</v>
      </c>
      <c r="B73" s="17">
        <v>7643732</v>
      </c>
      <c r="C73" s="70">
        <f>'HDD and CDD'!Q15</f>
        <v>613</v>
      </c>
      <c r="D73" s="70">
        <f>'HDD and CDD'!Q29</f>
        <v>0</v>
      </c>
      <c r="E73" s="10">
        <v>30</v>
      </c>
      <c r="F73" s="10">
        <v>1</v>
      </c>
      <c r="G73" s="17">
        <f t="shared" si="12"/>
        <v>3777.5</v>
      </c>
      <c r="H73" s="34">
        <v>138.91588351478222</v>
      </c>
      <c r="I73" s="10">
        <v>0</v>
      </c>
      <c r="J73" s="167">
        <v>9.0150922909880506</v>
      </c>
      <c r="K73" s="167">
        <v>105.1</v>
      </c>
      <c r="L73" s="17">
        <f>'CDM Activity'!C50</f>
        <v>109744.59451325884</v>
      </c>
      <c r="M73" s="165">
        <v>304</v>
      </c>
      <c r="N73" s="10">
        <f t="shared" si="10"/>
        <v>7367752.604441925</v>
      </c>
      <c r="O73" s="161">
        <f t="shared" si="9"/>
        <v>-3.6105320746210756E-2</v>
      </c>
      <c r="P73" s="14">
        <f t="shared" si="11"/>
        <v>3.6105320746210756E-2</v>
      </c>
    </row>
    <row r="74" spans="1:16">
      <c r="A74" s="3">
        <v>39783</v>
      </c>
      <c r="B74" s="17">
        <v>10307842</v>
      </c>
      <c r="C74" s="70">
        <f>'HDD and CDD'!Q16</f>
        <v>1127.0999999999999</v>
      </c>
      <c r="D74" s="70">
        <f>'HDD and CDD'!Q30</f>
        <v>0</v>
      </c>
      <c r="E74" s="10">
        <v>31</v>
      </c>
      <c r="F74" s="10">
        <v>0</v>
      </c>
      <c r="G74" s="17">
        <f t="shared" si="12"/>
        <v>3777</v>
      </c>
      <c r="H74" s="34">
        <v>138.8112643436159</v>
      </c>
      <c r="I74" s="10">
        <v>0</v>
      </c>
      <c r="J74" s="167">
        <v>8.9550488599348483</v>
      </c>
      <c r="K74" s="167">
        <v>104.4</v>
      </c>
      <c r="L74" s="17">
        <f>'CDM Activity'!C51</f>
        <v>109585.17417599881</v>
      </c>
      <c r="M74" s="165">
        <v>336</v>
      </c>
      <c r="N74" s="10">
        <f t="shared" si="10"/>
        <v>10167299.0268407</v>
      </c>
      <c r="O74" s="161">
        <f t="shared" si="9"/>
        <v>-1.3634568046279716E-2</v>
      </c>
      <c r="P74" s="14">
        <f t="shared" si="11"/>
        <v>1.3634568046279716E-2</v>
      </c>
    </row>
    <row r="75" spans="1:16">
      <c r="A75" s="3">
        <v>39814</v>
      </c>
      <c r="B75" s="17">
        <v>10493890</v>
      </c>
      <c r="C75" s="70">
        <f>'HDD and CDD'!R5</f>
        <v>1163.5999999999999</v>
      </c>
      <c r="D75" s="70">
        <f>'HDD and CDD'!R19</f>
        <v>0</v>
      </c>
      <c r="E75" s="10">
        <v>31</v>
      </c>
      <c r="F75" s="10">
        <v>0</v>
      </c>
      <c r="G75" s="17">
        <f t="shared" si="12"/>
        <v>3776.5</v>
      </c>
      <c r="H75" s="34">
        <v>138.43555825854429</v>
      </c>
      <c r="I75" s="10">
        <v>0</v>
      </c>
      <c r="J75" s="167">
        <v>10.052799121844117</v>
      </c>
      <c r="K75" s="167">
        <v>102.9</v>
      </c>
      <c r="L75" s="17">
        <f>'CDM Activity'!C52</f>
        <v>112583.58910189751</v>
      </c>
      <c r="M75" s="165">
        <v>336</v>
      </c>
      <c r="N75" s="10">
        <f t="shared" si="10"/>
        <v>10300740.741864458</v>
      </c>
      <c r="O75" s="161">
        <f t="shared" si="9"/>
        <v>-1.8405877909482782E-2</v>
      </c>
      <c r="P75" s="14">
        <f t="shared" si="11"/>
        <v>1.8405877909482782E-2</v>
      </c>
    </row>
    <row r="76" spans="1:16">
      <c r="A76" s="3">
        <v>39845</v>
      </c>
      <c r="B76" s="17">
        <v>8314570</v>
      </c>
      <c r="C76" s="70">
        <f>'HDD and CDD'!R6</f>
        <v>882.00000000000011</v>
      </c>
      <c r="D76" s="70">
        <f>'HDD and CDD'!R20</f>
        <v>0</v>
      </c>
      <c r="E76" s="10">
        <v>28</v>
      </c>
      <c r="F76" s="10">
        <v>0</v>
      </c>
      <c r="G76" s="17">
        <f t="shared" si="12"/>
        <v>3776</v>
      </c>
      <c r="H76" s="34">
        <v>138.06086905825526</v>
      </c>
      <c r="I76" s="10">
        <v>0</v>
      </c>
      <c r="J76" s="167">
        <v>9.9844127332601431</v>
      </c>
      <c r="K76" s="167">
        <v>102.2</v>
      </c>
      <c r="L76" s="17">
        <f>'CDM Activity'!C53</f>
        <v>115582.00402779621</v>
      </c>
      <c r="M76" s="165">
        <v>304</v>
      </c>
      <c r="N76" s="10">
        <f t="shared" si="10"/>
        <v>8438771.7977326848</v>
      </c>
      <c r="O76" s="161">
        <f t="shared" si="9"/>
        <v>1.4937849790510382E-2</v>
      </c>
      <c r="P76" s="14">
        <f t="shared" si="11"/>
        <v>1.4937849790510382E-2</v>
      </c>
    </row>
    <row r="77" spans="1:16">
      <c r="A77" s="3">
        <v>39873</v>
      </c>
      <c r="B77" s="17">
        <v>8181014</v>
      </c>
      <c r="C77" s="70">
        <f>'HDD and CDD'!R7</f>
        <v>744.6</v>
      </c>
      <c r="D77" s="70">
        <f>'HDD and CDD'!R21</f>
        <v>0</v>
      </c>
      <c r="E77" s="10">
        <v>31</v>
      </c>
      <c r="F77" s="10">
        <v>1</v>
      </c>
      <c r="G77" s="17">
        <f t="shared" si="12"/>
        <v>3775.5</v>
      </c>
      <c r="H77" s="34">
        <v>137.68719399045199</v>
      </c>
      <c r="I77" s="10">
        <v>0</v>
      </c>
      <c r="J77" s="167">
        <v>9.7304061470911023</v>
      </c>
      <c r="K77" s="167">
        <v>99.6</v>
      </c>
      <c r="L77" s="17">
        <f>'CDM Activity'!C54</f>
        <v>118580.41895369491</v>
      </c>
      <c r="M77" s="165">
        <v>352</v>
      </c>
      <c r="N77" s="10">
        <f t="shared" si="10"/>
        <v>8071847.8553840667</v>
      </c>
      <c r="O77" s="161">
        <f t="shared" si="9"/>
        <v>-1.334384033763214E-2</v>
      </c>
      <c r="P77" s="14">
        <f t="shared" si="11"/>
        <v>1.334384033763214E-2</v>
      </c>
    </row>
    <row r="78" spans="1:16">
      <c r="A78" s="3">
        <v>39904</v>
      </c>
      <c r="B78" s="17">
        <v>6496237</v>
      </c>
      <c r="C78" s="70">
        <f>'HDD and CDD'!R8</f>
        <v>436.59999999999997</v>
      </c>
      <c r="D78" s="70">
        <f>'HDD and CDD'!R22</f>
        <v>0</v>
      </c>
      <c r="E78" s="10">
        <v>30</v>
      </c>
      <c r="F78" s="10">
        <v>1</v>
      </c>
      <c r="G78" s="17">
        <f t="shared" si="12"/>
        <v>3775</v>
      </c>
      <c r="H78" s="34">
        <v>137.31453031028698</v>
      </c>
      <c r="I78" s="10">
        <v>0</v>
      </c>
      <c r="J78" s="167">
        <v>9.5447859495060356</v>
      </c>
      <c r="K78" s="167">
        <v>97.7</v>
      </c>
      <c r="L78" s="17">
        <f>'CDM Activity'!C55</f>
        <v>121578.83387959361</v>
      </c>
      <c r="M78" s="165">
        <v>320</v>
      </c>
      <c r="N78" s="10">
        <f t="shared" si="10"/>
        <v>6533155.4741976587</v>
      </c>
      <c r="O78" s="161">
        <f t="shared" si="9"/>
        <v>5.68305531304647E-3</v>
      </c>
      <c r="P78" s="14">
        <f t="shared" si="11"/>
        <v>5.68305531304647E-3</v>
      </c>
    </row>
    <row r="79" spans="1:16">
      <c r="A79" s="3">
        <v>39934</v>
      </c>
      <c r="B79" s="17">
        <v>5925166</v>
      </c>
      <c r="C79" s="70">
        <f>'HDD and CDD'!R9</f>
        <v>287.10000000000008</v>
      </c>
      <c r="D79" s="70">
        <f>'HDD and CDD'!R23</f>
        <v>0</v>
      </c>
      <c r="E79" s="10">
        <v>31</v>
      </c>
      <c r="F79" s="10">
        <v>1</v>
      </c>
      <c r="G79" s="17">
        <f t="shared" si="12"/>
        <v>3774.5</v>
      </c>
      <c r="H79" s="34">
        <v>136.94287528034204</v>
      </c>
      <c r="I79" s="10">
        <v>0</v>
      </c>
      <c r="J79" s="167">
        <v>9.4763995609220615</v>
      </c>
      <c r="K79" s="167">
        <v>97</v>
      </c>
      <c r="L79" s="17">
        <f>'CDM Activity'!C56</f>
        <v>124577.24880549232</v>
      </c>
      <c r="M79" s="165">
        <v>320</v>
      </c>
      <c r="N79" s="10">
        <f t="shared" si="10"/>
        <v>6098589.8759209244</v>
      </c>
      <c r="O79" s="161">
        <f t="shared" si="9"/>
        <v>2.9269032449204646E-2</v>
      </c>
      <c r="P79" s="14">
        <f t="shared" si="11"/>
        <v>2.9269032449204646E-2</v>
      </c>
    </row>
    <row r="80" spans="1:16">
      <c r="A80" s="3">
        <v>39965</v>
      </c>
      <c r="B80" s="17">
        <v>5762012</v>
      </c>
      <c r="C80" s="70">
        <f>'HDD and CDD'!R10</f>
        <v>118.5</v>
      </c>
      <c r="D80" s="70">
        <f>'HDD and CDD'!R24</f>
        <v>19.899999999999999</v>
      </c>
      <c r="E80" s="10">
        <v>30</v>
      </c>
      <c r="F80" s="10">
        <v>0</v>
      </c>
      <c r="G80" s="17">
        <f>'Rate Class Customer Model'!J9</f>
        <v>3774</v>
      </c>
      <c r="H80" s="34">
        <v>136.57222617060793</v>
      </c>
      <c r="I80" s="10">
        <v>0</v>
      </c>
      <c r="J80" s="167">
        <v>9.6522502744237073</v>
      </c>
      <c r="K80" s="167">
        <v>98.8</v>
      </c>
      <c r="L80" s="17">
        <f>'CDM Activity'!C57</f>
        <v>127575.66373139102</v>
      </c>
      <c r="M80" s="165">
        <v>352</v>
      </c>
      <c r="N80" s="10">
        <f t="shared" si="10"/>
        <v>5877402.3470122628</v>
      </c>
      <c r="O80" s="161">
        <f t="shared" si="9"/>
        <v>2.0026051145374701E-2</v>
      </c>
      <c r="P80" s="14">
        <f t="shared" si="11"/>
        <v>2.0026051145374701E-2</v>
      </c>
    </row>
    <row r="81" spans="1:16">
      <c r="A81" s="3">
        <v>39995</v>
      </c>
      <c r="B81" s="17">
        <v>5684267</v>
      </c>
      <c r="C81" s="70">
        <f>'HDD and CDD'!R11</f>
        <v>80.8</v>
      </c>
      <c r="D81" s="70">
        <f>'HDD and CDD'!R25</f>
        <v>0.8</v>
      </c>
      <c r="E81" s="10">
        <v>31</v>
      </c>
      <c r="F81" s="10">
        <v>0</v>
      </c>
      <c r="G81" s="17">
        <f t="shared" ref="G81:G91" si="13">($G$92-$G$80)/12+G80</f>
        <v>3774.25</v>
      </c>
      <c r="H81" s="34">
        <v>136.20258025846454</v>
      </c>
      <c r="I81" s="10">
        <v>0</v>
      </c>
      <c r="J81" s="167">
        <v>9.8574094401756298</v>
      </c>
      <c r="K81" s="167">
        <v>100.9</v>
      </c>
      <c r="L81" s="17">
        <f>'CDM Activity'!C58</f>
        <v>130574.07865728972</v>
      </c>
      <c r="M81" s="165">
        <v>352</v>
      </c>
      <c r="N81" s="10">
        <f t="shared" si="10"/>
        <v>5619642.8252666593</v>
      </c>
      <c r="O81" s="161">
        <f t="shared" si="9"/>
        <v>-1.1368954824490296E-2</v>
      </c>
      <c r="P81" s="14">
        <f t="shared" si="11"/>
        <v>1.1368954824490296E-2</v>
      </c>
    </row>
    <row r="82" spans="1:16">
      <c r="A82" s="3">
        <v>40026</v>
      </c>
      <c r="B82" s="17">
        <v>5876387</v>
      </c>
      <c r="C82" s="70">
        <f>'HDD and CDD'!R12</f>
        <v>80.700000000000017</v>
      </c>
      <c r="D82" s="70">
        <f>'HDD and CDD'!R26</f>
        <v>24.5</v>
      </c>
      <c r="E82" s="10">
        <v>31</v>
      </c>
      <c r="F82" s="10">
        <v>0</v>
      </c>
      <c r="G82" s="17">
        <f t="shared" si="13"/>
        <v>3774.5</v>
      </c>
      <c r="H82" s="34">
        <v>135.83393482866074</v>
      </c>
      <c r="I82" s="10">
        <v>0</v>
      </c>
      <c r="J82" s="167">
        <v>9.9453347969264456</v>
      </c>
      <c r="K82" s="167">
        <v>101.8</v>
      </c>
      <c r="L82" s="17">
        <f>'CDM Activity'!C59</f>
        <v>133572.49358318842</v>
      </c>
      <c r="M82" s="165">
        <v>320</v>
      </c>
      <c r="N82" s="10">
        <f t="shared" si="10"/>
        <v>5971494.8416886516</v>
      </c>
      <c r="O82" s="161">
        <f t="shared" si="9"/>
        <v>1.6184747820157552E-2</v>
      </c>
      <c r="P82" s="14">
        <f t="shared" si="11"/>
        <v>1.6184747820157552E-2</v>
      </c>
    </row>
    <row r="83" spans="1:16">
      <c r="A83" s="3">
        <v>40057</v>
      </c>
      <c r="B83" s="17">
        <v>6025850</v>
      </c>
      <c r="C83" s="70">
        <f>'HDD and CDD'!R13</f>
        <v>75.7</v>
      </c>
      <c r="D83" s="70">
        <f>'HDD and CDD'!R27</f>
        <v>13.5</v>
      </c>
      <c r="E83" s="10">
        <v>30</v>
      </c>
      <c r="F83" s="10">
        <v>1</v>
      </c>
      <c r="G83" s="17">
        <f t="shared" si="13"/>
        <v>3774.75</v>
      </c>
      <c r="H83" s="34">
        <v>135.46628717329455</v>
      </c>
      <c r="I83" s="10">
        <v>0</v>
      </c>
      <c r="J83" s="167">
        <v>9.925795828759604</v>
      </c>
      <c r="K83" s="167">
        <v>101.6</v>
      </c>
      <c r="L83" s="17">
        <f>'CDM Activity'!C60</f>
        <v>136570.90850908714</v>
      </c>
      <c r="M83" s="165">
        <v>336</v>
      </c>
      <c r="N83" s="10">
        <f t="shared" si="10"/>
        <v>5125676.8930830397</v>
      </c>
      <c r="O83" s="161">
        <f t="shared" si="9"/>
        <v>-0.14938524970202716</v>
      </c>
      <c r="P83" s="14">
        <f t="shared" si="11"/>
        <v>0.14938524970202716</v>
      </c>
    </row>
    <row r="84" spans="1:16">
      <c r="A84" s="3">
        <v>40087</v>
      </c>
      <c r="B84" s="17">
        <v>6652375</v>
      </c>
      <c r="C84" s="70">
        <f>'HDD and CDD'!R14</f>
        <v>447.90000000000003</v>
      </c>
      <c r="D84" s="70">
        <f>'HDD and CDD'!R28</f>
        <v>0</v>
      </c>
      <c r="E84" s="10">
        <v>31</v>
      </c>
      <c r="F84" s="10">
        <v>1</v>
      </c>
      <c r="G84" s="17">
        <f t="shared" si="13"/>
        <v>3775</v>
      </c>
      <c r="H84" s="34">
        <v>135.09963459179312</v>
      </c>
      <c r="I84" s="10">
        <v>0</v>
      </c>
      <c r="J84" s="167">
        <v>9.9062568605927481</v>
      </c>
      <c r="K84" s="167">
        <v>101.4</v>
      </c>
      <c r="L84" s="17">
        <f>'CDM Activity'!C61</f>
        <v>139569.32343498585</v>
      </c>
      <c r="M84" s="165">
        <v>336</v>
      </c>
      <c r="N84" s="10">
        <f t="shared" si="10"/>
        <v>6686642.9609018341</v>
      </c>
      <c r="O84" s="161">
        <f t="shared" si="9"/>
        <v>5.1512370998079149E-3</v>
      </c>
      <c r="P84" s="14">
        <f t="shared" si="11"/>
        <v>5.1512370998079149E-3</v>
      </c>
    </row>
    <row r="85" spans="1:16">
      <c r="A85" s="3">
        <v>40118</v>
      </c>
      <c r="B85" s="17">
        <v>7017451</v>
      </c>
      <c r="C85" s="70">
        <f>'HDD and CDD'!R15</f>
        <v>495.09999999999997</v>
      </c>
      <c r="D85" s="70">
        <f>'HDD and CDD'!R29</f>
        <v>0</v>
      </c>
      <c r="E85" s="10">
        <v>30</v>
      </c>
      <c r="F85" s="10">
        <v>1</v>
      </c>
      <c r="G85" s="17">
        <f t="shared" si="13"/>
        <v>3775.25</v>
      </c>
      <c r="H85" s="34">
        <v>134.733974390893</v>
      </c>
      <c r="I85" s="10">
        <v>0</v>
      </c>
      <c r="J85" s="167">
        <v>9.9941822173435781</v>
      </c>
      <c r="K85" s="167">
        <v>102.3</v>
      </c>
      <c r="L85" s="17">
        <f>'CDM Activity'!C62</f>
        <v>142567.73836088457</v>
      </c>
      <c r="M85" s="165">
        <v>320</v>
      </c>
      <c r="N85" s="10">
        <f t="shared" si="10"/>
        <v>6651123.5304623069</v>
      </c>
      <c r="O85" s="161">
        <f t="shared" si="9"/>
        <v>-5.2202355176786175E-2</v>
      </c>
      <c r="P85" s="14">
        <f t="shared" si="11"/>
        <v>5.2202355176786175E-2</v>
      </c>
    </row>
    <row r="86" spans="1:16">
      <c r="A86" s="3">
        <v>40148</v>
      </c>
      <c r="B86" s="17">
        <v>9716461</v>
      </c>
      <c r="C86" s="70">
        <f>'HDD and CDD'!R16</f>
        <v>976.69999999999993</v>
      </c>
      <c r="D86" s="70">
        <f>'HDD and CDD'!R30</f>
        <v>0</v>
      </c>
      <c r="E86" s="10">
        <v>31</v>
      </c>
      <c r="F86" s="10">
        <v>0</v>
      </c>
      <c r="G86" s="17">
        <f t="shared" si="13"/>
        <v>3775.5</v>
      </c>
      <c r="H86" s="34">
        <v>134.36930388462019</v>
      </c>
      <c r="I86" s="10">
        <v>0</v>
      </c>
      <c r="J86" s="167">
        <v>10.072338090010973</v>
      </c>
      <c r="K86" s="167">
        <v>103.1</v>
      </c>
      <c r="L86" s="17">
        <f>'CDM Activity'!C63</f>
        <v>145566.15328678329</v>
      </c>
      <c r="M86" s="165">
        <v>352</v>
      </c>
      <c r="N86" s="10">
        <f t="shared" si="10"/>
        <v>9302989.1353868358</v>
      </c>
      <c r="O86" s="161">
        <f t="shared" si="9"/>
        <v>-4.2553751269434836E-2</v>
      </c>
      <c r="P86" s="14">
        <f t="shared" si="11"/>
        <v>4.2553751269434836E-2</v>
      </c>
    </row>
    <row r="87" spans="1:16">
      <c r="A87" s="3">
        <v>40179</v>
      </c>
      <c r="B87" s="17">
        <v>9777652</v>
      </c>
      <c r="C87" s="70">
        <f>'HDD and CDD'!S5</f>
        <v>1001.1999999999999</v>
      </c>
      <c r="D87" s="70">
        <f>'HDD and CDD'!S19</f>
        <v>0</v>
      </c>
      <c r="E87" s="10">
        <v>31</v>
      </c>
      <c r="F87" s="10">
        <v>0</v>
      </c>
      <c r="G87" s="17">
        <f t="shared" si="13"/>
        <v>3775.75</v>
      </c>
      <c r="H87" s="34">
        <v>134.72247169214629</v>
      </c>
      <c r="I87" s="10">
        <v>0</v>
      </c>
      <c r="J87" s="167">
        <v>8.0379310344827672</v>
      </c>
      <c r="K87" s="167">
        <v>103.6</v>
      </c>
      <c r="L87" s="17">
        <f>'CDM Activity'!C64</f>
        <v>141762.26128855738</v>
      </c>
      <c r="M87" s="10">
        <v>320</v>
      </c>
      <c r="N87" s="10">
        <f t="shared" si="10"/>
        <v>9425144.9302847441</v>
      </c>
      <c r="O87" s="161">
        <f t="shared" si="9"/>
        <v>-3.6052323166671951E-2</v>
      </c>
      <c r="P87" s="14">
        <f t="shared" si="11"/>
        <v>3.6052323166671951E-2</v>
      </c>
    </row>
    <row r="88" spans="1:16">
      <c r="A88" s="3">
        <v>40210</v>
      </c>
      <c r="B88" s="17">
        <v>8208207</v>
      </c>
      <c r="C88" s="70">
        <f>'HDD and CDD'!S6</f>
        <v>867.80000000000018</v>
      </c>
      <c r="D88" s="70">
        <f>'HDD and CDD'!S20</f>
        <v>0</v>
      </c>
      <c r="E88" s="10">
        <v>28</v>
      </c>
      <c r="F88" s="10">
        <v>0</v>
      </c>
      <c r="G88" s="17">
        <f t="shared" si="13"/>
        <v>3776</v>
      </c>
      <c r="H88" s="34">
        <v>135.07656774367356</v>
      </c>
      <c r="I88" s="10">
        <v>0</v>
      </c>
      <c r="J88" s="167">
        <v>8.0068965517241395</v>
      </c>
      <c r="K88" s="167">
        <v>103.2</v>
      </c>
      <c r="L88" s="17">
        <f>'CDM Activity'!C65</f>
        <v>137958.36929033147</v>
      </c>
      <c r="M88" s="10">
        <v>304</v>
      </c>
      <c r="N88" s="10">
        <f t="shared" si="10"/>
        <v>8228469.7611438548</v>
      </c>
      <c r="O88" s="161">
        <f t="shared" si="9"/>
        <v>2.4685977271108328E-3</v>
      </c>
      <c r="P88" s="14">
        <f t="shared" si="11"/>
        <v>2.4685977271108328E-3</v>
      </c>
    </row>
    <row r="89" spans="1:16">
      <c r="A89" s="3">
        <v>40238</v>
      </c>
      <c r="B89" s="17">
        <v>7186143</v>
      </c>
      <c r="C89" s="70">
        <f>'HDD and CDD'!S7</f>
        <v>506.9</v>
      </c>
      <c r="D89" s="70">
        <f>'HDD and CDD'!S21</f>
        <v>0</v>
      </c>
      <c r="E89" s="10">
        <v>31</v>
      </c>
      <c r="F89" s="10">
        <v>1</v>
      </c>
      <c r="G89" s="17">
        <f t="shared" si="13"/>
        <v>3776.25</v>
      </c>
      <c r="H89" s="34">
        <v>135.43159447894001</v>
      </c>
      <c r="I89" s="10">
        <v>0</v>
      </c>
      <c r="J89" s="167">
        <v>7.9137931034482847</v>
      </c>
      <c r="K89" s="167">
        <v>102</v>
      </c>
      <c r="L89" s="17">
        <f>'CDM Activity'!C66</f>
        <v>134154.47729210556</v>
      </c>
      <c r="M89" s="10">
        <v>368</v>
      </c>
      <c r="N89" s="10">
        <f t="shared" si="10"/>
        <v>6957008.0969418036</v>
      </c>
      <c r="O89" s="161">
        <f t="shared" si="9"/>
        <v>-3.1885658698720065E-2</v>
      </c>
      <c r="P89" s="14">
        <f t="shared" si="11"/>
        <v>3.1885658698720065E-2</v>
      </c>
    </row>
    <row r="90" spans="1:16">
      <c r="A90" s="3">
        <v>40269</v>
      </c>
      <c r="B90" s="17">
        <v>5751946</v>
      </c>
      <c r="C90" s="70">
        <f>'HDD and CDD'!S8</f>
        <v>300.10000000000002</v>
      </c>
      <c r="D90" s="70">
        <f>'HDD and CDD'!S22</f>
        <v>0</v>
      </c>
      <c r="E90" s="10">
        <v>30</v>
      </c>
      <c r="F90" s="10">
        <v>1</v>
      </c>
      <c r="G90" s="17">
        <f t="shared" si="13"/>
        <v>3776.5</v>
      </c>
      <c r="H90" s="34">
        <v>135.78755434409612</v>
      </c>
      <c r="I90" s="10">
        <v>0</v>
      </c>
      <c r="J90" s="167">
        <v>7.8982758620689708</v>
      </c>
      <c r="K90" s="167">
        <v>101.8</v>
      </c>
      <c r="L90" s="17">
        <f>'CDM Activity'!C67</f>
        <v>130350.58529387963</v>
      </c>
      <c r="M90" s="10">
        <v>320</v>
      </c>
      <c r="N90" s="10">
        <f t="shared" si="10"/>
        <v>5885102.8710107142</v>
      </c>
      <c r="O90" s="161">
        <f t="shared" si="9"/>
        <v>2.3149881972242881E-2</v>
      </c>
      <c r="P90" s="14">
        <f t="shared" si="11"/>
        <v>2.3149881972242881E-2</v>
      </c>
    </row>
    <row r="91" spans="1:16">
      <c r="A91" s="3">
        <v>40299</v>
      </c>
      <c r="B91" s="17">
        <v>5955445</v>
      </c>
      <c r="C91" s="70">
        <f>'HDD and CDD'!S9</f>
        <v>191.1999999999999</v>
      </c>
      <c r="D91" s="70">
        <f>'HDD and CDD'!S23</f>
        <v>10.7</v>
      </c>
      <c r="E91" s="10">
        <v>31</v>
      </c>
      <c r="F91" s="10">
        <v>1</v>
      </c>
      <c r="G91" s="17">
        <f t="shared" si="13"/>
        <v>3776.75</v>
      </c>
      <c r="H91" s="34">
        <v>136.14444979172168</v>
      </c>
      <c r="I91" s="10">
        <v>0</v>
      </c>
      <c r="J91" s="167">
        <v>7.9603448275862121</v>
      </c>
      <c r="K91" s="167">
        <v>102.6</v>
      </c>
      <c r="L91" s="17">
        <f>'CDM Activity'!C68</f>
        <v>126546.69329565371</v>
      </c>
      <c r="M91" s="10">
        <v>320</v>
      </c>
      <c r="N91" s="10">
        <f t="shared" si="10"/>
        <v>5828408.950424049</v>
      </c>
      <c r="O91" s="161">
        <f t="shared" si="9"/>
        <v>-2.133107594410677E-2</v>
      </c>
      <c r="P91" s="14">
        <f t="shared" si="11"/>
        <v>2.133107594410677E-2</v>
      </c>
    </row>
    <row r="92" spans="1:16">
      <c r="A92" s="3">
        <v>40330</v>
      </c>
      <c r="B92" s="17">
        <v>5593546</v>
      </c>
      <c r="C92" s="70">
        <f>'HDD and CDD'!S10</f>
        <v>84.6</v>
      </c>
      <c r="D92" s="70">
        <f>'HDD and CDD'!S24</f>
        <v>7.5</v>
      </c>
      <c r="E92" s="10">
        <v>30</v>
      </c>
      <c r="F92" s="10">
        <v>0</v>
      </c>
      <c r="G92" s="17">
        <f>'Rate Class Customer Model'!J10</f>
        <v>3777</v>
      </c>
      <c r="H92" s="34">
        <v>136.50228328084265</v>
      </c>
      <c r="I92" s="10">
        <v>0</v>
      </c>
      <c r="J92" s="167">
        <v>7.9293103448275986</v>
      </c>
      <c r="K92" s="167">
        <v>102.2</v>
      </c>
      <c r="L92" s="17">
        <f>'CDM Activity'!C69</f>
        <v>122742.80129742778</v>
      </c>
      <c r="M92" s="10">
        <v>352</v>
      </c>
      <c r="N92" s="10">
        <f t="shared" si="10"/>
        <v>5547859.6277870676</v>
      </c>
      <c r="O92" s="161">
        <f t="shared" si="9"/>
        <v>-8.1676940196669934E-3</v>
      </c>
      <c r="P92" s="14">
        <f t="shared" si="11"/>
        <v>8.1676940196669934E-3</v>
      </c>
    </row>
    <row r="93" spans="1:16">
      <c r="A93" s="3">
        <v>40360</v>
      </c>
      <c r="B93" s="17">
        <v>6583421</v>
      </c>
      <c r="C93" s="70">
        <f>'HDD and CDD'!S11</f>
        <v>5.0999999999999996</v>
      </c>
      <c r="D93" s="70">
        <f>'HDD and CDD'!S25</f>
        <v>62.6</v>
      </c>
      <c r="E93" s="10">
        <v>31</v>
      </c>
      <c r="F93" s="10">
        <v>0</v>
      </c>
      <c r="G93" s="17">
        <f t="shared" ref="G93:G103" si="14">($G$104-$G$92)/12+G92</f>
        <v>3776.8333333333335</v>
      </c>
      <c r="H93" s="34">
        <v>136.86105727694815</v>
      </c>
      <c r="I93" s="10">
        <v>0</v>
      </c>
      <c r="J93" s="167">
        <v>7.8284482758620726</v>
      </c>
      <c r="K93" s="167">
        <v>100.9</v>
      </c>
      <c r="L93" s="17">
        <f>'CDM Activity'!C70</f>
        <v>118938.90929920186</v>
      </c>
      <c r="M93" s="10">
        <v>336</v>
      </c>
      <c r="N93" s="10">
        <f t="shared" si="10"/>
        <v>6307013.1757071335</v>
      </c>
      <c r="O93" s="161">
        <f t="shared" si="9"/>
        <v>-4.1985439529519164E-2</v>
      </c>
      <c r="P93" s="14">
        <f t="shared" si="11"/>
        <v>4.1985439529519164E-2</v>
      </c>
    </row>
    <row r="94" spans="1:16">
      <c r="A94" s="3">
        <v>40391</v>
      </c>
      <c r="B94" s="17">
        <v>6579397</v>
      </c>
      <c r="C94" s="70">
        <f>'HDD and CDD'!S12</f>
        <v>40.9</v>
      </c>
      <c r="D94" s="70">
        <f>'HDD and CDD'!S26</f>
        <v>78.600000000000009</v>
      </c>
      <c r="E94" s="10">
        <v>31</v>
      </c>
      <c r="F94" s="10">
        <v>0</v>
      </c>
      <c r="G94" s="17">
        <f t="shared" si="14"/>
        <v>3776.666666666667</v>
      </c>
      <c r="H94" s="34">
        <v>137.22077425200746</v>
      </c>
      <c r="I94" s="10">
        <v>0</v>
      </c>
      <c r="J94" s="167">
        <v>7.6112068965517352</v>
      </c>
      <c r="K94" s="167">
        <v>98.1</v>
      </c>
      <c r="L94" s="17">
        <f>'CDM Activity'!C71</f>
        <v>115135.01730097593</v>
      </c>
      <c r="M94" s="10">
        <v>336</v>
      </c>
      <c r="N94" s="10">
        <f t="shared" si="10"/>
        <v>6725491.2327287635</v>
      </c>
      <c r="O94" s="161">
        <f t="shared" si="9"/>
        <v>2.2204805809523886E-2</v>
      </c>
      <c r="P94" s="14">
        <f t="shared" si="11"/>
        <v>2.2204805809523886E-2</v>
      </c>
    </row>
    <row r="95" spans="1:16">
      <c r="A95" s="3">
        <v>40422</v>
      </c>
      <c r="B95" s="17">
        <v>5631042</v>
      </c>
      <c r="C95" s="70">
        <f>'HDD and CDD'!S13</f>
        <v>238.50000000000006</v>
      </c>
      <c r="D95" s="70">
        <f>'HDD and CDD'!S27</f>
        <v>0</v>
      </c>
      <c r="E95" s="10">
        <v>30</v>
      </c>
      <c r="F95" s="10">
        <v>1</v>
      </c>
      <c r="G95" s="17">
        <f t="shared" si="14"/>
        <v>3776.5000000000005</v>
      </c>
      <c r="H95" s="34">
        <v>137.58143668448704</v>
      </c>
      <c r="I95" s="10">
        <v>0</v>
      </c>
      <c r="J95" s="167">
        <v>7.6034482758620783</v>
      </c>
      <c r="K95" s="167">
        <v>98</v>
      </c>
      <c r="L95" s="17">
        <f>'CDM Activity'!C72</f>
        <v>111331.12530275001</v>
      </c>
      <c r="M95" s="10">
        <v>336</v>
      </c>
      <c r="N95" s="10">
        <f t="shared" si="10"/>
        <v>5715307.5744748469</v>
      </c>
      <c r="O95" s="161">
        <f t="shared" si="9"/>
        <v>1.4964472734326328E-2</v>
      </c>
      <c r="P95" s="14">
        <f t="shared" si="11"/>
        <v>1.4964472734326328E-2</v>
      </c>
    </row>
    <row r="96" spans="1:16">
      <c r="A96" s="3">
        <v>40452</v>
      </c>
      <c r="B96" s="17">
        <v>6099363</v>
      </c>
      <c r="C96" s="70">
        <f>'HDD and CDD'!S14</f>
        <v>313.10000000000002</v>
      </c>
      <c r="D96" s="70">
        <f>'HDD and CDD'!S28</f>
        <v>0</v>
      </c>
      <c r="E96" s="10">
        <v>31</v>
      </c>
      <c r="F96" s="10">
        <v>1</v>
      </c>
      <c r="G96" s="17">
        <f t="shared" si="14"/>
        <v>3776.3333333333339</v>
      </c>
      <c r="H96" s="34">
        <v>137.94304705936756</v>
      </c>
      <c r="I96" s="10">
        <v>0</v>
      </c>
      <c r="J96" s="167">
        <v>7.6344827586206918</v>
      </c>
      <c r="K96" s="167">
        <v>98.4</v>
      </c>
      <c r="L96" s="17">
        <f>'CDM Activity'!C73</f>
        <v>107527.23330452408</v>
      </c>
      <c r="M96" s="10">
        <v>320</v>
      </c>
      <c r="N96" s="10">
        <f t="shared" si="10"/>
        <v>6265327.2952837758</v>
      </c>
      <c r="O96" s="161">
        <f t="shared" si="9"/>
        <v>2.7210102970388172E-2</v>
      </c>
      <c r="P96" s="14">
        <f t="shared" si="11"/>
        <v>2.7210102970388172E-2</v>
      </c>
    </row>
    <row r="97" spans="1:16">
      <c r="A97" s="3">
        <v>40483</v>
      </c>
      <c r="B97" s="17">
        <v>7293701</v>
      </c>
      <c r="C97" s="70">
        <f>'HDD and CDD'!S15</f>
        <v>525.1</v>
      </c>
      <c r="D97" s="70">
        <f>'HDD and CDD'!S29</f>
        <v>0</v>
      </c>
      <c r="E97" s="10">
        <v>30</v>
      </c>
      <c r="F97" s="10">
        <v>1</v>
      </c>
      <c r="G97" s="17">
        <f t="shared" si="14"/>
        <v>3776.1666666666674</v>
      </c>
      <c r="H97" s="34">
        <v>138.30560786816105</v>
      </c>
      <c r="I97" s="10">
        <v>0</v>
      </c>
      <c r="J97" s="167">
        <v>7.70431034482759</v>
      </c>
      <c r="K97" s="167">
        <v>99.3</v>
      </c>
      <c r="L97" s="17">
        <f>'CDM Activity'!C74</f>
        <v>103723.34130629816</v>
      </c>
      <c r="M97" s="10">
        <v>336</v>
      </c>
      <c r="N97" s="10">
        <f t="shared" si="10"/>
        <v>6961014.6311781658</v>
      </c>
      <c r="O97" s="161">
        <f t="shared" si="9"/>
        <v>-4.5612833432825739E-2</v>
      </c>
      <c r="P97" s="14">
        <f t="shared" si="11"/>
        <v>4.5612833432825739E-2</v>
      </c>
    </row>
    <row r="98" spans="1:16">
      <c r="A98" s="3">
        <v>40513</v>
      </c>
      <c r="B98" s="17">
        <v>9387908</v>
      </c>
      <c r="C98" s="70">
        <f>'HDD and CDD'!S16</f>
        <v>974.39999999999975</v>
      </c>
      <c r="D98" s="70">
        <f>'HDD and CDD'!S30</f>
        <v>0</v>
      </c>
      <c r="E98" s="10">
        <v>31</v>
      </c>
      <c r="F98" s="10">
        <v>0</v>
      </c>
      <c r="G98" s="17">
        <f t="shared" si="14"/>
        <v>3776.0000000000009</v>
      </c>
      <c r="H98" s="34">
        <v>138.66912160892804</v>
      </c>
      <c r="I98" s="10">
        <v>0</v>
      </c>
      <c r="J98" s="167">
        <v>7.6189655172413921</v>
      </c>
      <c r="K98" s="167">
        <v>98.2</v>
      </c>
      <c r="L98" s="17">
        <f>'CDM Activity'!C75</f>
        <v>99919.449308072231</v>
      </c>
      <c r="M98" s="10">
        <v>368</v>
      </c>
      <c r="N98" s="10">
        <f t="shared" si="10"/>
        <v>9511658.5713506974</v>
      </c>
      <c r="O98" s="161">
        <f t="shared" si="9"/>
        <v>1.3181911385443668E-2</v>
      </c>
      <c r="P98" s="14">
        <f t="shared" si="11"/>
        <v>1.3181911385443668E-2</v>
      </c>
    </row>
    <row r="99" spans="1:16">
      <c r="A99" s="3">
        <v>40544</v>
      </c>
      <c r="B99" s="17">
        <v>9814872</v>
      </c>
      <c r="C99" s="70">
        <f>'HDD and CDD'!T5</f>
        <v>1132.3</v>
      </c>
      <c r="D99" s="70">
        <f>'HDD and CDD'!T19</f>
        <v>0</v>
      </c>
      <c r="E99" s="51">
        <v>31</v>
      </c>
      <c r="F99" s="10">
        <v>0</v>
      </c>
      <c r="G99" s="17">
        <f t="shared" si="14"/>
        <v>3775.8333333333344</v>
      </c>
      <c r="H99" s="34">
        <v>138.87542873989656</v>
      </c>
      <c r="I99" s="10">
        <v>0</v>
      </c>
      <c r="J99" s="167">
        <v>7.6157667386609091</v>
      </c>
      <c r="K99" s="167">
        <v>95.3</v>
      </c>
      <c r="L99" s="17">
        <f>'CDM Activity'!C76</f>
        <v>98008.736131228172</v>
      </c>
      <c r="M99" s="10">
        <v>336</v>
      </c>
      <c r="N99" s="10">
        <f t="shared" si="10"/>
        <v>10188326.197746197</v>
      </c>
      <c r="O99" s="161">
        <f t="shared" ref="O99:O122" si="15">N99/B99-1</f>
        <v>3.8049828642308992E-2</v>
      </c>
      <c r="P99" s="14">
        <f t="shared" si="11"/>
        <v>3.8049828642308992E-2</v>
      </c>
    </row>
    <row r="100" spans="1:16">
      <c r="A100" s="3">
        <v>40575</v>
      </c>
      <c r="B100" s="17">
        <v>8264268</v>
      </c>
      <c r="C100" s="70">
        <f>'HDD and CDD'!T6</f>
        <v>871.5999999999998</v>
      </c>
      <c r="D100" s="70">
        <f>'HDD and CDD'!T20</f>
        <v>0</v>
      </c>
      <c r="E100" s="51">
        <v>28</v>
      </c>
      <c r="F100" s="10">
        <v>0</v>
      </c>
      <c r="G100" s="17">
        <f t="shared" si="14"/>
        <v>3775.6666666666679</v>
      </c>
      <c r="H100" s="34">
        <v>139.08204280749089</v>
      </c>
      <c r="I100" s="10">
        <v>0</v>
      </c>
      <c r="J100" s="167">
        <v>7.4399568034557291</v>
      </c>
      <c r="K100" s="167">
        <v>93.1</v>
      </c>
      <c r="L100" s="17">
        <f>'CDM Activity'!C77</f>
        <v>96098.022954384112</v>
      </c>
      <c r="M100" s="10">
        <v>304</v>
      </c>
      <c r="N100" s="10">
        <f t="shared" si="10"/>
        <v>8445098.5377114415</v>
      </c>
      <c r="O100" s="161">
        <f t="shared" si="15"/>
        <v>2.1881010842272008E-2</v>
      </c>
      <c r="P100" s="14">
        <f t="shared" si="11"/>
        <v>2.1881010842272008E-2</v>
      </c>
    </row>
    <row r="101" spans="1:16">
      <c r="A101" s="3">
        <v>40603</v>
      </c>
      <c r="B101" s="17">
        <v>7972095</v>
      </c>
      <c r="C101" s="70">
        <f>'HDD and CDD'!T7</f>
        <v>750.19999999999982</v>
      </c>
      <c r="D101" s="70">
        <f>'HDD and CDD'!T21</f>
        <v>0</v>
      </c>
      <c r="E101" s="51">
        <v>31</v>
      </c>
      <c r="F101" s="10">
        <v>1</v>
      </c>
      <c r="G101" s="17">
        <f t="shared" si="14"/>
        <v>3775.5000000000014</v>
      </c>
      <c r="H101" s="34">
        <v>139.28896426836073</v>
      </c>
      <c r="I101" s="10">
        <v>0</v>
      </c>
      <c r="J101" s="167">
        <v>7.3680345572354327</v>
      </c>
      <c r="K101" s="167">
        <v>92.2</v>
      </c>
      <c r="L101" s="17">
        <f>'CDM Activity'!C78</f>
        <v>94187.309777540053</v>
      </c>
      <c r="M101" s="10">
        <v>368</v>
      </c>
      <c r="N101" s="10">
        <f t="shared" si="10"/>
        <v>8176185.7566682082</v>
      </c>
      <c r="O101" s="161">
        <f t="shared" si="15"/>
        <v>2.5600642825782671E-2</v>
      </c>
      <c r="P101" s="14">
        <f t="shared" si="11"/>
        <v>2.5600642825782671E-2</v>
      </c>
    </row>
    <row r="102" spans="1:16">
      <c r="A102" s="3">
        <v>40634</v>
      </c>
      <c r="B102" s="17">
        <v>6350764</v>
      </c>
      <c r="C102" s="70">
        <f>'HDD and CDD'!T8</f>
        <v>412.60000000000014</v>
      </c>
      <c r="D102" s="70">
        <f>'HDD and CDD'!T22</f>
        <v>0</v>
      </c>
      <c r="E102" s="51">
        <v>30</v>
      </c>
      <c r="F102" s="10">
        <v>1</v>
      </c>
      <c r="G102" s="17">
        <f t="shared" si="14"/>
        <v>3775.3333333333348</v>
      </c>
      <c r="H102" s="34">
        <v>139.49619357983516</v>
      </c>
      <c r="I102" s="10">
        <v>0</v>
      </c>
      <c r="J102" s="167">
        <v>7.407991360691156</v>
      </c>
      <c r="K102" s="167">
        <v>92.7</v>
      </c>
      <c r="L102" s="17">
        <f>'CDM Activity'!C79</f>
        <v>92276.596600695993</v>
      </c>
      <c r="M102" s="10">
        <v>320</v>
      </c>
      <c r="N102" s="10">
        <f t="shared" si="10"/>
        <v>6542883.3435701942</v>
      </c>
      <c r="O102" s="161">
        <f t="shared" si="15"/>
        <v>3.0251375042466444E-2</v>
      </c>
      <c r="P102" s="14">
        <f t="shared" si="11"/>
        <v>3.0251375042466444E-2</v>
      </c>
    </row>
    <row r="103" spans="1:16">
      <c r="A103" s="3">
        <v>40664</v>
      </c>
      <c r="B103" s="17">
        <v>5642159</v>
      </c>
      <c r="C103" s="70">
        <f>'HDD and CDD'!T9</f>
        <v>208.29999999999995</v>
      </c>
      <c r="D103" s="70">
        <f>'HDD and CDD'!T23</f>
        <v>0.2</v>
      </c>
      <c r="E103" s="51">
        <v>31</v>
      </c>
      <c r="F103" s="10">
        <v>1</v>
      </c>
      <c r="G103" s="17">
        <f t="shared" si="14"/>
        <v>3775.1666666666683</v>
      </c>
      <c r="H103" s="34">
        <v>139.70373119992371</v>
      </c>
      <c r="I103" s="10">
        <v>0</v>
      </c>
      <c r="J103" s="167">
        <v>7.495896328293739</v>
      </c>
      <c r="K103" s="167">
        <v>93.8</v>
      </c>
      <c r="L103" s="17">
        <f>'CDM Activity'!C80</f>
        <v>90365.883423851934</v>
      </c>
      <c r="M103" s="10">
        <v>336</v>
      </c>
      <c r="N103" s="10">
        <f t="shared" si="10"/>
        <v>5910365.4194805417</v>
      </c>
      <c r="O103" s="161">
        <f t="shared" si="15"/>
        <v>4.7536132796069941E-2</v>
      </c>
      <c r="P103" s="14">
        <f t="shared" si="11"/>
        <v>4.7536132796069941E-2</v>
      </c>
    </row>
    <row r="104" spans="1:16">
      <c r="A104" s="3">
        <v>40695</v>
      </c>
      <c r="B104" s="17">
        <v>5352529</v>
      </c>
      <c r="C104" s="70">
        <f>'HDD and CDD'!T10</f>
        <v>93.300000000000026</v>
      </c>
      <c r="D104" s="70">
        <f>'HDD and CDD'!T24</f>
        <v>14.999999999999998</v>
      </c>
      <c r="E104" s="51">
        <v>30</v>
      </c>
      <c r="F104" s="10">
        <v>0</v>
      </c>
      <c r="G104" s="17">
        <f>'Rate Class Customer Model'!J11</f>
        <v>3775</v>
      </c>
      <c r="H104" s="34">
        <v>139.91157758731728</v>
      </c>
      <c r="I104" s="10">
        <v>0</v>
      </c>
      <c r="J104" s="167">
        <v>7.6157667386609091</v>
      </c>
      <c r="K104" s="167">
        <v>95.3</v>
      </c>
      <c r="L104" s="17">
        <f>'CDM Activity'!C81</f>
        <v>88455.170247007874</v>
      </c>
      <c r="M104" s="10">
        <v>352</v>
      </c>
      <c r="N104" s="10">
        <f t="shared" si="10"/>
        <v>5866272.1700969059</v>
      </c>
      <c r="O104" s="161">
        <f t="shared" si="15"/>
        <v>9.5981389376293968E-2</v>
      </c>
      <c r="P104" s="14">
        <f t="shared" si="11"/>
        <v>9.5981389376293968E-2</v>
      </c>
    </row>
    <row r="105" spans="1:16">
      <c r="A105" s="3">
        <v>40725</v>
      </c>
      <c r="B105" s="17">
        <v>6471635</v>
      </c>
      <c r="C105" s="70">
        <f>'HDD and CDD'!T11</f>
        <v>13.100000000000001</v>
      </c>
      <c r="D105" s="70">
        <f>'HDD and CDD'!T25</f>
        <v>84.1</v>
      </c>
      <c r="E105" s="51">
        <v>31</v>
      </c>
      <c r="F105" s="10">
        <v>0</v>
      </c>
      <c r="G105" s="17">
        <f t="shared" ref="G105:G115" si="16">($G$116-$G$104)/12+G104</f>
        <v>3774.6666666666665</v>
      </c>
      <c r="H105" s="34">
        <v>140.11973320138921</v>
      </c>
      <c r="I105" s="10">
        <v>0</v>
      </c>
      <c r="J105" s="167">
        <v>7.8155507559395261</v>
      </c>
      <c r="K105" s="167">
        <v>97.8</v>
      </c>
      <c r="L105" s="17">
        <f>'CDM Activity'!C82</f>
        <v>86544.457070163815</v>
      </c>
      <c r="M105" s="10">
        <v>320</v>
      </c>
      <c r="N105" s="10">
        <f t="shared" si="10"/>
        <v>6832823.7099481216</v>
      </c>
      <c r="O105" s="161">
        <f t="shared" si="15"/>
        <v>5.5811044650713626E-2</v>
      </c>
      <c r="P105" s="14">
        <f t="shared" si="11"/>
        <v>5.5811044650713626E-2</v>
      </c>
    </row>
    <row r="106" spans="1:16">
      <c r="A106" s="3">
        <v>40756</v>
      </c>
      <c r="B106" s="17">
        <v>6284765</v>
      </c>
      <c r="C106" s="70">
        <f>'HDD and CDD'!T12</f>
        <v>24.999999999999996</v>
      </c>
      <c r="D106" s="70">
        <f>'HDD and CDD'!T26</f>
        <v>37.299999999999997</v>
      </c>
      <c r="E106" s="51">
        <v>31</v>
      </c>
      <c r="F106" s="10">
        <v>0</v>
      </c>
      <c r="G106" s="17">
        <f t="shared" si="16"/>
        <v>3774.333333333333</v>
      </c>
      <c r="H106" s="34">
        <v>140.32819850219627</v>
      </c>
      <c r="I106" s="10">
        <v>0</v>
      </c>
      <c r="J106" s="167">
        <v>8.0313174946004438</v>
      </c>
      <c r="K106" s="167">
        <v>100.5</v>
      </c>
      <c r="L106" s="17">
        <f>'CDM Activity'!C83</f>
        <v>84633.743893319755</v>
      </c>
      <c r="M106" s="10">
        <v>352</v>
      </c>
      <c r="N106" s="10">
        <f t="shared" si="10"/>
        <v>6161855.3362790355</v>
      </c>
      <c r="O106" s="161">
        <f t="shared" si="15"/>
        <v>-1.9556763653209686E-2</v>
      </c>
      <c r="P106" s="14">
        <f t="shared" si="11"/>
        <v>1.9556763653209686E-2</v>
      </c>
    </row>
    <row r="107" spans="1:16">
      <c r="A107" s="3">
        <v>40787</v>
      </c>
      <c r="B107" s="17">
        <v>5538247</v>
      </c>
      <c r="C107" s="70">
        <f>'HDD and CDD'!T13</f>
        <v>182.3</v>
      </c>
      <c r="D107" s="70">
        <f>'HDD and CDD'!T27</f>
        <v>9</v>
      </c>
      <c r="E107" s="51">
        <v>30</v>
      </c>
      <c r="F107" s="10">
        <v>1</v>
      </c>
      <c r="G107" s="17">
        <f t="shared" si="16"/>
        <v>3773.9999999999995</v>
      </c>
      <c r="H107" s="34">
        <v>140.53697395047968</v>
      </c>
      <c r="I107" s="10">
        <v>0</v>
      </c>
      <c r="J107" s="167">
        <v>8.1991360691144735</v>
      </c>
      <c r="K107" s="167">
        <v>102.6</v>
      </c>
      <c r="L107" s="17">
        <f>'CDM Activity'!C84</f>
        <v>82723.030716475696</v>
      </c>
      <c r="M107" s="10">
        <v>336</v>
      </c>
      <c r="N107" s="10">
        <f t="shared" si="10"/>
        <v>5758394.8751234449</v>
      </c>
      <c r="O107" s="161">
        <f t="shared" si="15"/>
        <v>3.9750461675588822E-2</v>
      </c>
      <c r="P107" s="14">
        <f t="shared" si="11"/>
        <v>3.9750461675588822E-2</v>
      </c>
    </row>
    <row r="108" spans="1:16">
      <c r="A108" s="3">
        <v>40817</v>
      </c>
      <c r="B108" s="17">
        <v>5976736</v>
      </c>
      <c r="C108" s="70">
        <f>'HDD and CDD'!T14</f>
        <v>305.59999999999997</v>
      </c>
      <c r="D108" s="70">
        <f>'HDD and CDD'!T28</f>
        <v>6.4</v>
      </c>
      <c r="E108" s="51">
        <v>31</v>
      </c>
      <c r="F108" s="10">
        <v>1</v>
      </c>
      <c r="G108" s="17">
        <f t="shared" si="16"/>
        <v>3773.6666666666661</v>
      </c>
      <c r="H108" s="34">
        <v>140.74606000766616</v>
      </c>
      <c r="I108" s="10">
        <v>0</v>
      </c>
      <c r="J108" s="167">
        <v>8.3669546436285174</v>
      </c>
      <c r="K108" s="167">
        <v>104.7</v>
      </c>
      <c r="L108" s="17">
        <f>'CDM Activity'!C85</f>
        <v>80812.317539631636</v>
      </c>
      <c r="M108" s="10">
        <v>320</v>
      </c>
      <c r="N108" s="10">
        <f t="shared" si="10"/>
        <v>6465228.9718633564</v>
      </c>
      <c r="O108" s="161">
        <f t="shared" si="15"/>
        <v>8.1732399065870709E-2</v>
      </c>
      <c r="P108" s="14">
        <f t="shared" si="11"/>
        <v>8.1732399065870709E-2</v>
      </c>
    </row>
    <row r="109" spans="1:16">
      <c r="A109" s="3">
        <v>40848</v>
      </c>
      <c r="B109" s="17">
        <v>6943826</v>
      </c>
      <c r="C109" s="70">
        <f>'HDD and CDD'!T15</f>
        <v>585.19999999999993</v>
      </c>
      <c r="D109" s="70">
        <f>'HDD and CDD'!T29</f>
        <v>0</v>
      </c>
      <c r="E109" s="51">
        <v>30</v>
      </c>
      <c r="F109" s="10">
        <v>1</v>
      </c>
      <c r="G109" s="17">
        <f t="shared" si="16"/>
        <v>3773.3333333333326</v>
      </c>
      <c r="H109" s="34">
        <v>140.9554571358689</v>
      </c>
      <c r="I109" s="10">
        <v>0</v>
      </c>
      <c r="J109" s="167">
        <v>8.3669546436285174</v>
      </c>
      <c r="K109" s="167">
        <v>104.7</v>
      </c>
      <c r="L109" s="17">
        <f>'CDM Activity'!C86</f>
        <v>78901.604362787577</v>
      </c>
      <c r="M109" s="10">
        <v>352</v>
      </c>
      <c r="N109" s="10">
        <f t="shared" si="10"/>
        <v>7338203.0794016533</v>
      </c>
      <c r="O109" s="161">
        <f t="shared" si="15"/>
        <v>5.6795357401186797E-2</v>
      </c>
      <c r="P109" s="14">
        <f>ABS(O109)</f>
        <v>5.6795357401186797E-2</v>
      </c>
    </row>
    <row r="110" spans="1:16">
      <c r="A110" s="3">
        <v>40878</v>
      </c>
      <c r="B110" s="17">
        <v>8414405</v>
      </c>
      <c r="C110" s="70">
        <f>'HDD and CDD'!T16</f>
        <v>788.4</v>
      </c>
      <c r="D110" s="70">
        <f>'HDD and CDD'!T30</f>
        <v>0</v>
      </c>
      <c r="E110" s="51">
        <v>31</v>
      </c>
      <c r="F110" s="10">
        <v>0</v>
      </c>
      <c r="G110" s="17">
        <f t="shared" si="16"/>
        <v>3772.9999999999991</v>
      </c>
      <c r="H110" s="34">
        <v>141.16516579788873</v>
      </c>
      <c r="I110" s="10">
        <v>0</v>
      </c>
      <c r="J110" s="167">
        <v>8.358963282937367</v>
      </c>
      <c r="K110" s="167">
        <v>104.6</v>
      </c>
      <c r="L110" s="17">
        <f>'CDM Activity'!C87</f>
        <v>76990.891185943517</v>
      </c>
      <c r="M110" s="10">
        <v>336</v>
      </c>
      <c r="N110" s="10">
        <f t="shared" si="10"/>
        <v>8841132.2767299712</v>
      </c>
      <c r="O110" s="161">
        <f t="shared" si="15"/>
        <v>5.0713897979711042E-2</v>
      </c>
      <c r="P110" s="14">
        <f t="shared" ref="P110:P122" si="17">ABS(O110)</f>
        <v>5.0713897979711042E-2</v>
      </c>
    </row>
    <row r="111" spans="1:16">
      <c r="A111" s="3">
        <v>40909</v>
      </c>
      <c r="B111" s="27">
        <v>8727109</v>
      </c>
      <c r="C111" s="70">
        <f>'HDD and CDD'!U5</f>
        <v>875.50000000000011</v>
      </c>
      <c r="D111" s="70">
        <f>'HDD and CDD'!U19</f>
        <v>0</v>
      </c>
      <c r="E111" s="10">
        <v>31</v>
      </c>
      <c r="F111" s="10">
        <v>0</v>
      </c>
      <c r="G111" s="17">
        <f t="shared" si="16"/>
        <v>3772.6666666666656</v>
      </c>
      <c r="H111" s="34">
        <v>141.35201968430201</v>
      </c>
      <c r="I111" s="10">
        <v>1</v>
      </c>
      <c r="J111" s="167">
        <v>7.5042872454448002</v>
      </c>
      <c r="K111" s="167">
        <v>104.5</v>
      </c>
      <c r="L111" s="17">
        <f>'CDM Activity'!C88</f>
        <v>84099.483560762543</v>
      </c>
      <c r="M111" s="10">
        <v>336</v>
      </c>
      <c r="N111" s="10">
        <f t="shared" si="10"/>
        <v>8699666.3581448197</v>
      </c>
      <c r="O111" s="161">
        <f t="shared" si="15"/>
        <v>-3.1445283719019335E-3</v>
      </c>
      <c r="P111" s="14">
        <f t="shared" si="17"/>
        <v>3.1445283719019335E-3</v>
      </c>
    </row>
    <row r="112" spans="1:16">
      <c r="A112" s="3">
        <v>40940</v>
      </c>
      <c r="B112" s="27">
        <v>7633417</v>
      </c>
      <c r="C112" s="70">
        <f>'HDD and CDD'!U6</f>
        <v>743.6</v>
      </c>
      <c r="D112" s="70">
        <f>'HDD and CDD'!U20</f>
        <v>0</v>
      </c>
      <c r="E112" s="10">
        <v>29</v>
      </c>
      <c r="F112" s="10">
        <v>0</v>
      </c>
      <c r="G112" s="17">
        <f t="shared" si="16"/>
        <v>3772.3333333333321</v>
      </c>
      <c r="H112" s="34">
        <v>141.53912090067567</v>
      </c>
      <c r="I112" s="10">
        <v>1</v>
      </c>
      <c r="J112" s="167">
        <v>7.4755627009646304</v>
      </c>
      <c r="K112" s="167">
        <v>104.1</v>
      </c>
      <c r="L112" s="17">
        <f>'CDM Activity'!C89</f>
        <v>91208.075935581568</v>
      </c>
      <c r="M112" s="10">
        <v>320</v>
      </c>
      <c r="N112" s="10">
        <f t="shared" si="10"/>
        <v>7716166.6008435879</v>
      </c>
      <c r="O112" s="161">
        <f t="shared" si="15"/>
        <v>1.0840440243679694E-2</v>
      </c>
      <c r="P112" s="14">
        <f t="shared" si="17"/>
        <v>1.0840440243679694E-2</v>
      </c>
    </row>
    <row r="113" spans="1:16">
      <c r="A113" s="3">
        <v>40969</v>
      </c>
      <c r="B113" s="27">
        <v>6730943</v>
      </c>
      <c r="C113" s="70">
        <f>'HDD and CDD'!U7</f>
        <v>445.2</v>
      </c>
      <c r="D113" s="70">
        <f>'HDD and CDD'!U21</f>
        <v>2.6</v>
      </c>
      <c r="E113" s="10">
        <v>31</v>
      </c>
      <c r="F113" s="10">
        <v>1</v>
      </c>
      <c r="G113" s="17">
        <f t="shared" si="16"/>
        <v>3771.9999999999986</v>
      </c>
      <c r="H113" s="34">
        <v>141.72646977438913</v>
      </c>
      <c r="I113" s="10">
        <v>1</v>
      </c>
      <c r="J113" s="167">
        <v>7.3463022508038591</v>
      </c>
      <c r="K113" s="167">
        <v>102.3</v>
      </c>
      <c r="L113" s="17">
        <f>'CDM Activity'!C90</f>
        <v>98316.668310400593</v>
      </c>
      <c r="M113" s="10">
        <v>352</v>
      </c>
      <c r="N113" s="10">
        <f t="shared" si="10"/>
        <v>6521385.4763213424</v>
      </c>
      <c r="O113" s="161">
        <f t="shared" si="15"/>
        <v>-3.1133456883925104E-2</v>
      </c>
      <c r="P113" s="14">
        <f t="shared" si="17"/>
        <v>3.1133456883925104E-2</v>
      </c>
    </row>
    <row r="114" spans="1:16">
      <c r="A114" s="3">
        <v>41000</v>
      </c>
      <c r="B114" s="27">
        <v>5894180</v>
      </c>
      <c r="C114" s="70">
        <f>'HDD and CDD'!U8</f>
        <v>396.2000000000001</v>
      </c>
      <c r="D114" s="70">
        <f>'HDD and CDD'!U22</f>
        <v>0</v>
      </c>
      <c r="E114" s="10">
        <v>30</v>
      </c>
      <c r="F114" s="10">
        <v>1</v>
      </c>
      <c r="G114" s="17">
        <f t="shared" si="16"/>
        <v>3771.6666666666652</v>
      </c>
      <c r="H114" s="34">
        <v>141.91406663325509</v>
      </c>
      <c r="I114" s="10">
        <v>1</v>
      </c>
      <c r="J114" s="167">
        <v>7.2385852090032046</v>
      </c>
      <c r="K114" s="167">
        <v>100.8</v>
      </c>
      <c r="L114" s="17">
        <f>'CDM Activity'!C91</f>
        <v>105425.26068521962</v>
      </c>
      <c r="M114" s="10">
        <v>320</v>
      </c>
      <c r="N114" s="10">
        <f t="shared" si="10"/>
        <v>6064778.5794791402</v>
      </c>
      <c r="O114" s="161">
        <f t="shared" si="15"/>
        <v>2.8943564580508285E-2</v>
      </c>
      <c r="P114" s="14">
        <f t="shared" si="17"/>
        <v>2.8943564580508285E-2</v>
      </c>
    </row>
    <row r="115" spans="1:16">
      <c r="A115" s="3">
        <v>41030</v>
      </c>
      <c r="B115" s="27">
        <v>5346984</v>
      </c>
      <c r="C115" s="70">
        <f>'HDD and CDD'!U9</f>
        <v>186.8</v>
      </c>
      <c r="D115" s="70">
        <f>'HDD and CDD'!U23</f>
        <v>4.5999999999999996</v>
      </c>
      <c r="E115" s="10">
        <v>31</v>
      </c>
      <c r="F115" s="10">
        <v>1</v>
      </c>
      <c r="G115" s="17">
        <f t="shared" si="16"/>
        <v>3771.3333333333317</v>
      </c>
      <c r="H115" s="34">
        <v>142.10191180552019</v>
      </c>
      <c r="I115" s="10">
        <v>1</v>
      </c>
      <c r="J115" s="167">
        <v>7.2098606645230348</v>
      </c>
      <c r="K115" s="167">
        <v>100.4</v>
      </c>
      <c r="L115" s="17">
        <f>'CDM Activity'!C92</f>
        <v>112533.85306003864</v>
      </c>
      <c r="M115" s="10">
        <v>352</v>
      </c>
      <c r="N115" s="10">
        <f t="shared" si="10"/>
        <v>5477817.2419736851</v>
      </c>
      <c r="O115" s="161">
        <f t="shared" si="15"/>
        <v>2.4468605474354366E-2</v>
      </c>
      <c r="P115" s="14">
        <f t="shared" si="17"/>
        <v>2.4468605474354366E-2</v>
      </c>
    </row>
    <row r="116" spans="1:16">
      <c r="A116" s="3">
        <v>41061</v>
      </c>
      <c r="B116" s="27">
        <v>5626698</v>
      </c>
      <c r="C116" s="70">
        <f>'HDD and CDD'!U10</f>
        <v>45.099999999999994</v>
      </c>
      <c r="D116" s="70">
        <f>'HDD and CDD'!U24</f>
        <v>29.1</v>
      </c>
      <c r="E116" s="10">
        <v>30</v>
      </c>
      <c r="F116" s="10">
        <v>0</v>
      </c>
      <c r="G116" s="17">
        <f>SUM('Rate Class Customer Model'!B12:D12)</f>
        <v>3771</v>
      </c>
      <c r="H116" s="34">
        <v>142.29000561986552</v>
      </c>
      <c r="I116" s="10">
        <v>1</v>
      </c>
      <c r="J116" s="167">
        <v>7.2888531618435053</v>
      </c>
      <c r="K116" s="167">
        <v>101.5</v>
      </c>
      <c r="L116" s="17">
        <f>'CDM Activity'!C93</f>
        <v>119642.44543485767</v>
      </c>
      <c r="M116" s="10">
        <v>336</v>
      </c>
      <c r="N116" s="10">
        <f t="shared" si="10"/>
        <v>5470784.4980821442</v>
      </c>
      <c r="O116" s="161">
        <f t="shared" si="15"/>
        <v>-2.7709591294548974E-2</v>
      </c>
      <c r="P116" s="14">
        <f t="shared" si="17"/>
        <v>2.7709591294548974E-2</v>
      </c>
    </row>
    <row r="117" spans="1:16">
      <c r="A117" s="3">
        <v>41091</v>
      </c>
      <c r="B117" s="27">
        <v>6620914</v>
      </c>
      <c r="C117" s="70">
        <f>'HDD and CDD'!U11</f>
        <v>0.7</v>
      </c>
      <c r="D117" s="70">
        <f>'HDD and CDD'!U25</f>
        <v>95.500000000000028</v>
      </c>
      <c r="E117" s="10">
        <v>31</v>
      </c>
      <c r="F117" s="10">
        <v>0</v>
      </c>
      <c r="G117" s="17">
        <f t="shared" ref="G117:G127" si="18">G116+($G$128-$G$116)/12</f>
        <v>3769.8198253220071</v>
      </c>
      <c r="H117" s="34">
        <v>142.47834840540727</v>
      </c>
      <c r="I117" s="10">
        <v>1</v>
      </c>
      <c r="J117" s="167">
        <v>7.2601286173633355</v>
      </c>
      <c r="K117" s="167">
        <v>101.1</v>
      </c>
      <c r="L117" s="17">
        <f>'CDM Activity'!C94</f>
        <v>126751.03780967669</v>
      </c>
      <c r="M117" s="10">
        <v>336</v>
      </c>
      <c r="N117" s="10">
        <f t="shared" si="10"/>
        <v>6542363.9717286685</v>
      </c>
      <c r="O117" s="161">
        <f t="shared" si="15"/>
        <v>-1.1863925172767908E-2</v>
      </c>
      <c r="P117" s="14">
        <f t="shared" si="17"/>
        <v>1.1863925172767908E-2</v>
      </c>
    </row>
    <row r="118" spans="1:16">
      <c r="A118" s="3">
        <v>41122</v>
      </c>
      <c r="B118" s="27">
        <v>5921709</v>
      </c>
      <c r="C118" s="70">
        <f>'HDD and CDD'!U12</f>
        <v>57.100000000000009</v>
      </c>
      <c r="D118" s="70">
        <f>'HDD and CDD'!U26</f>
        <v>25.899999999999995</v>
      </c>
      <c r="E118" s="10">
        <v>31</v>
      </c>
      <c r="F118" s="10">
        <v>0</v>
      </c>
      <c r="G118" s="17">
        <f t="shared" si="18"/>
        <v>3768.6396506440142</v>
      </c>
      <c r="H118" s="34">
        <v>142.66694049169723</v>
      </c>
      <c r="I118" s="10">
        <v>1</v>
      </c>
      <c r="J118" s="167">
        <v>7.2170418006430879</v>
      </c>
      <c r="K118" s="167">
        <v>100.5</v>
      </c>
      <c r="L118" s="17">
        <f>'CDM Activity'!C95</f>
        <v>133859.63018449571</v>
      </c>
      <c r="M118" s="10">
        <v>352</v>
      </c>
      <c r="N118" s="10">
        <f t="shared" si="10"/>
        <v>5699407.4580283398</v>
      </c>
      <c r="O118" s="161">
        <f t="shared" si="15"/>
        <v>-3.7540098976775127E-2</v>
      </c>
      <c r="P118" s="14">
        <f t="shared" si="17"/>
        <v>3.7540098976775127E-2</v>
      </c>
    </row>
    <row r="119" spans="1:16">
      <c r="A119" s="3">
        <v>41153</v>
      </c>
      <c r="B119" s="27">
        <v>5253287</v>
      </c>
      <c r="C119" s="70">
        <f>'HDD and CDD'!U13</f>
        <v>217.69999999999996</v>
      </c>
      <c r="D119" s="70">
        <f>'HDD and CDD'!U27</f>
        <v>4.0999999999999996</v>
      </c>
      <c r="E119" s="10">
        <v>30</v>
      </c>
      <c r="F119" s="10">
        <v>1</v>
      </c>
      <c r="G119" s="17">
        <f t="shared" si="18"/>
        <v>3767.4594759660213</v>
      </c>
      <c r="H119" s="34">
        <v>142.85578220872344</v>
      </c>
      <c r="I119" s="10">
        <v>1</v>
      </c>
      <c r="J119" s="167">
        <v>7.1883172561629038</v>
      </c>
      <c r="K119" s="167">
        <v>100.1</v>
      </c>
      <c r="L119" s="17">
        <f>'CDM Activity'!C96</f>
        <v>140968.22255931472</v>
      </c>
      <c r="M119" s="10">
        <v>304</v>
      </c>
      <c r="N119" s="10">
        <f t="shared" si="10"/>
        <v>5407319.1364776827</v>
      </c>
      <c r="O119" s="161">
        <f t="shared" si="15"/>
        <v>2.9321096768115451E-2</v>
      </c>
      <c r="P119" s="14">
        <f t="shared" si="17"/>
        <v>2.9321096768115451E-2</v>
      </c>
    </row>
    <row r="120" spans="1:16">
      <c r="A120" s="3">
        <v>41183</v>
      </c>
      <c r="B120" s="27">
        <v>6277895</v>
      </c>
      <c r="C120" s="70">
        <f>'HDD and CDD'!U14</f>
        <v>427.90000000000003</v>
      </c>
      <c r="D120" s="70">
        <f>'HDD and CDD'!U28</f>
        <v>0</v>
      </c>
      <c r="E120" s="10">
        <v>31</v>
      </c>
      <c r="F120" s="10">
        <v>1</v>
      </c>
      <c r="G120" s="17">
        <f t="shared" si="18"/>
        <v>3766.2793012880284</v>
      </c>
      <c r="H120" s="34">
        <v>143.04487388691072</v>
      </c>
      <c r="I120" s="10">
        <v>1</v>
      </c>
      <c r="J120" s="167">
        <v>7.2242229367631268</v>
      </c>
      <c r="K120" s="167">
        <v>100.6</v>
      </c>
      <c r="L120" s="17">
        <f>'CDM Activity'!C97</f>
        <v>148076.81493413373</v>
      </c>
      <c r="M120" s="10">
        <v>352</v>
      </c>
      <c r="N120" s="10">
        <f t="shared" si="10"/>
        <v>6453718.0433419067</v>
      </c>
      <c r="O120" s="161">
        <f t="shared" si="15"/>
        <v>2.8006687487112547E-2</v>
      </c>
      <c r="P120" s="14">
        <f t="shared" si="17"/>
        <v>2.8006687487112547E-2</v>
      </c>
    </row>
    <row r="121" spans="1:16">
      <c r="A121" s="3">
        <v>41214</v>
      </c>
      <c r="B121" s="27">
        <v>7277979</v>
      </c>
      <c r="C121" s="70">
        <f>'HDD and CDD'!U15</f>
        <v>623.6</v>
      </c>
      <c r="D121" s="70">
        <f>'HDD and CDD'!U29</f>
        <v>0</v>
      </c>
      <c r="E121" s="10">
        <v>30</v>
      </c>
      <c r="F121" s="10">
        <v>1</v>
      </c>
      <c r="G121" s="17">
        <f t="shared" si="18"/>
        <v>3765.0991266100355</v>
      </c>
      <c r="H121" s="34">
        <v>143.23421585712123</v>
      </c>
      <c r="I121" s="10">
        <v>1</v>
      </c>
      <c r="J121" s="167">
        <v>7.2026795284029959</v>
      </c>
      <c r="K121" s="167">
        <v>100.3</v>
      </c>
      <c r="L121" s="17">
        <f>'CDM Activity'!C98</f>
        <v>155185.40730895274</v>
      </c>
      <c r="M121" s="10">
        <v>352</v>
      </c>
      <c r="N121" s="10">
        <f t="shared" si="10"/>
        <v>7068219.1770031825</v>
      </c>
      <c r="O121" s="161">
        <f t="shared" si="15"/>
        <v>-2.8821163539605954E-2</v>
      </c>
      <c r="P121" s="14">
        <f t="shared" si="17"/>
        <v>2.8821163539605954E-2</v>
      </c>
    </row>
    <row r="122" spans="1:16">
      <c r="A122" s="3">
        <v>41244</v>
      </c>
      <c r="B122" s="27">
        <v>8826989</v>
      </c>
      <c r="C122" s="70">
        <f>'HDD and CDD'!U16</f>
        <v>933.19999999999993</v>
      </c>
      <c r="D122" s="70">
        <f>'HDD and CDD'!U30</f>
        <v>0</v>
      </c>
      <c r="E122" s="10">
        <v>31</v>
      </c>
      <c r="F122" s="10">
        <v>0</v>
      </c>
      <c r="G122" s="17">
        <f t="shared" si="18"/>
        <v>3763.9189519320425</v>
      </c>
      <c r="H122" s="34">
        <v>143.42380845065495</v>
      </c>
      <c r="I122" s="10">
        <v>1</v>
      </c>
      <c r="J122" s="167">
        <v>7.2601286173633355</v>
      </c>
      <c r="K122" s="167">
        <v>101.1</v>
      </c>
      <c r="L122" s="17">
        <f>'CDM Activity'!C99</f>
        <v>162293.99968377175</v>
      </c>
      <c r="M122" s="10">
        <v>304</v>
      </c>
      <c r="N122" s="10">
        <f t="shared" si="10"/>
        <v>9016477.4585755169</v>
      </c>
      <c r="O122" s="161">
        <f t="shared" si="15"/>
        <v>2.1466941736929535E-2</v>
      </c>
      <c r="P122" s="14">
        <f t="shared" si="17"/>
        <v>2.1466941736929535E-2</v>
      </c>
    </row>
    <row r="123" spans="1:16">
      <c r="A123" s="3">
        <v>41275</v>
      </c>
      <c r="C123" s="70">
        <f>(C3+C15+C27+C39+C51+C63+C75+C87+C99+C111)/10</f>
        <v>1016.89</v>
      </c>
      <c r="D123" s="70">
        <f>(D3+D15+D27+D39+D51+D63+D75+D87+D99+D111)/10</f>
        <v>0</v>
      </c>
      <c r="E123" s="10">
        <v>31</v>
      </c>
      <c r="F123" s="10">
        <v>0</v>
      </c>
      <c r="G123" s="17">
        <f t="shared" si="18"/>
        <v>3762.7387772540496</v>
      </c>
      <c r="H123" s="34">
        <v>143.60186734709282</v>
      </c>
      <c r="I123" s="10">
        <v>1</v>
      </c>
      <c r="K123" s="166"/>
      <c r="L123" s="17">
        <f>'CDM Activity'!C100</f>
        <v>156119.2127282843</v>
      </c>
      <c r="M123" s="10">
        <v>352</v>
      </c>
      <c r="N123" s="10">
        <f t="shared" si="10"/>
        <v>9374686.1213763542</v>
      </c>
      <c r="O123" s="163" t="s">
        <v>143</v>
      </c>
      <c r="P123" s="162">
        <f>AVERAGE(P3:P122)</f>
        <v>2.7128398391512487E-2</v>
      </c>
    </row>
    <row r="124" spans="1:16">
      <c r="A124" s="3">
        <v>41306</v>
      </c>
      <c r="C124" s="70">
        <f t="shared" ref="C124:D133" si="19">(C4+C16+C28+C40+C52+C64+C76+C88+C100+C112)/10</f>
        <v>861.83999999999992</v>
      </c>
      <c r="D124" s="70">
        <f t="shared" si="19"/>
        <v>0</v>
      </c>
      <c r="E124" s="10">
        <v>28</v>
      </c>
      <c r="F124" s="10">
        <v>0</v>
      </c>
      <c r="G124" s="17">
        <f t="shared" si="18"/>
        <v>3761.5586025760567</v>
      </c>
      <c r="H124" s="34">
        <v>143.78014730146342</v>
      </c>
      <c r="I124" s="10">
        <v>1</v>
      </c>
      <c r="K124" s="166"/>
      <c r="L124" s="17">
        <f>'CDM Activity'!C101</f>
        <v>149944.42577279685</v>
      </c>
      <c r="M124" s="10">
        <v>304</v>
      </c>
      <c r="N124" s="10">
        <f t="shared" si="10"/>
        <v>8072610.8213324696</v>
      </c>
      <c r="O124" s="10"/>
    </row>
    <row r="125" spans="1:16">
      <c r="A125" s="3">
        <v>41334</v>
      </c>
      <c r="C125" s="70">
        <f t="shared" si="19"/>
        <v>655.21</v>
      </c>
      <c r="D125" s="70">
        <f t="shared" si="19"/>
        <v>0.26</v>
      </c>
      <c r="E125" s="10">
        <v>31</v>
      </c>
      <c r="F125" s="10">
        <v>1</v>
      </c>
      <c r="G125" s="17">
        <f t="shared" si="18"/>
        <v>3760.3784278980638</v>
      </c>
      <c r="H125" s="34">
        <v>143.95864858820744</v>
      </c>
      <c r="I125" s="10">
        <v>1</v>
      </c>
      <c r="K125" s="166"/>
      <c r="L125" s="17">
        <f>'CDM Activity'!C102</f>
        <v>143769.6388173094</v>
      </c>
      <c r="M125" s="10">
        <v>320</v>
      </c>
      <c r="N125" s="10">
        <f t="shared" si="10"/>
        <v>7442747.3984407969</v>
      </c>
      <c r="O125" s="10"/>
    </row>
    <row r="126" spans="1:16">
      <c r="A126" s="3">
        <v>41365</v>
      </c>
      <c r="C126" s="70">
        <f t="shared" si="19"/>
        <v>384.31</v>
      </c>
      <c r="D126" s="70">
        <f t="shared" si="19"/>
        <v>0.05</v>
      </c>
      <c r="E126" s="10">
        <v>30</v>
      </c>
      <c r="F126" s="10">
        <v>1</v>
      </c>
      <c r="G126" s="17">
        <f t="shared" si="18"/>
        <v>3759.1982532200709</v>
      </c>
      <c r="H126" s="34">
        <v>144.13737148210635</v>
      </c>
      <c r="I126" s="10">
        <v>1</v>
      </c>
      <c r="K126" s="166"/>
      <c r="L126" s="17">
        <f>'CDM Activity'!C103</f>
        <v>137594.85186182195</v>
      </c>
      <c r="M126" s="10">
        <v>352</v>
      </c>
      <c r="N126" s="10">
        <f t="shared" si="10"/>
        <v>6082810.2830402423</v>
      </c>
      <c r="O126" s="10"/>
    </row>
    <row r="127" spans="1:16">
      <c r="A127" s="3">
        <v>41395</v>
      </c>
      <c r="C127" s="70">
        <f t="shared" si="19"/>
        <v>225.78999999999996</v>
      </c>
      <c r="D127" s="70">
        <f t="shared" si="19"/>
        <v>4.58</v>
      </c>
      <c r="E127" s="10">
        <v>31</v>
      </c>
      <c r="F127" s="10">
        <v>1</v>
      </c>
      <c r="G127" s="17">
        <f t="shared" si="18"/>
        <v>3758.018078542078</v>
      </c>
      <c r="H127" s="34">
        <v>144.31631625828265</v>
      </c>
      <c r="I127" s="10">
        <v>1</v>
      </c>
      <c r="K127" s="166"/>
      <c r="L127" s="17">
        <f>'CDM Activity'!C104</f>
        <v>131420.0649063345</v>
      </c>
      <c r="M127" s="10">
        <v>352</v>
      </c>
      <c r="N127" s="10">
        <f t="shared" si="10"/>
        <v>5706168.7186846454</v>
      </c>
      <c r="O127" s="10"/>
    </row>
    <row r="128" spans="1:16">
      <c r="A128" s="3">
        <v>41426</v>
      </c>
      <c r="C128" s="70">
        <f t="shared" si="19"/>
        <v>76.720000000000013</v>
      </c>
      <c r="D128" s="70">
        <f t="shared" si="19"/>
        <v>22.209999999999997</v>
      </c>
      <c r="E128" s="10">
        <v>30</v>
      </c>
      <c r="F128" s="10">
        <v>0</v>
      </c>
      <c r="G128" s="17">
        <f>SUM('Rate Class Customer Model'!B13:D13)</f>
        <v>3756.8379038640824</v>
      </c>
      <c r="H128" s="34">
        <v>144.49548319220051</v>
      </c>
      <c r="I128" s="10">
        <v>1</v>
      </c>
      <c r="K128" s="166"/>
      <c r="L128" s="17">
        <f>'CDM Activity'!C105</f>
        <v>125245.27795084706</v>
      </c>
      <c r="M128" s="10">
        <v>320</v>
      </c>
      <c r="N128" s="10">
        <f t="shared" si="10"/>
        <v>5557296.5747862132</v>
      </c>
      <c r="O128" s="10"/>
    </row>
    <row r="129" spans="1:15">
      <c r="A129" s="3">
        <v>41456</v>
      </c>
      <c r="C129" s="70">
        <f t="shared" si="19"/>
        <v>26.889999999999997</v>
      </c>
      <c r="D129" s="70">
        <f t="shared" si="19"/>
        <v>59.580000000000005</v>
      </c>
      <c r="E129" s="10">
        <v>31</v>
      </c>
      <c r="F129" s="10">
        <v>0</v>
      </c>
      <c r="G129" s="17">
        <f t="shared" ref="G129:G139" si="20">G128+($G$140-$G$128)/12</f>
        <v>3755.6676458869315</v>
      </c>
      <c r="H129" s="34">
        <v>144.67487255966603</v>
      </c>
      <c r="I129" s="10">
        <v>1</v>
      </c>
      <c r="K129" s="166"/>
      <c r="L129" s="17">
        <f>'CDM Activity'!C106</f>
        <v>119070.49099535961</v>
      </c>
      <c r="M129" s="10">
        <v>352</v>
      </c>
      <c r="N129" s="10">
        <f t="shared" si="10"/>
        <v>6152375.9311682787</v>
      </c>
      <c r="O129" s="10"/>
    </row>
    <row r="130" spans="1:15">
      <c r="A130" s="3">
        <v>41487</v>
      </c>
      <c r="C130" s="70">
        <f t="shared" si="19"/>
        <v>52.930000000000007</v>
      </c>
      <c r="D130" s="70">
        <f t="shared" si="19"/>
        <v>37.47</v>
      </c>
      <c r="E130" s="10">
        <v>31</v>
      </c>
      <c r="F130" s="10">
        <v>0</v>
      </c>
      <c r="G130" s="17">
        <f t="shared" si="20"/>
        <v>3754.4973879097806</v>
      </c>
      <c r="H130" s="34">
        <v>144.85448463682772</v>
      </c>
      <c r="I130" s="10">
        <v>1</v>
      </c>
      <c r="K130" s="166"/>
      <c r="L130" s="17">
        <f>'CDM Activity'!C107</f>
        <v>112895.70403987216</v>
      </c>
      <c r="M130" s="10">
        <v>336</v>
      </c>
      <c r="N130" s="10">
        <f t="shared" si="10"/>
        <v>5922088.8625328643</v>
      </c>
      <c r="O130" s="10"/>
    </row>
    <row r="131" spans="1:15">
      <c r="A131" s="3">
        <v>41518</v>
      </c>
      <c r="C131" s="70">
        <f t="shared" si="19"/>
        <v>163.57</v>
      </c>
      <c r="D131" s="70">
        <f t="shared" si="19"/>
        <v>11.860000000000003</v>
      </c>
      <c r="E131" s="10">
        <v>30</v>
      </c>
      <c r="F131" s="10">
        <v>1</v>
      </c>
      <c r="G131" s="17">
        <f t="shared" si="20"/>
        <v>3753.3271299326298</v>
      </c>
      <c r="H131" s="34">
        <v>145.03431970017692</v>
      </c>
      <c r="I131" s="10">
        <v>1</v>
      </c>
      <c r="K131" s="166"/>
      <c r="L131" s="17">
        <f>'CDM Activity'!C108</f>
        <v>106720.91708438471</v>
      </c>
      <c r="M131" s="10">
        <v>320</v>
      </c>
      <c r="N131" s="10">
        <f t="shared" si="10"/>
        <v>5359109.3826099951</v>
      </c>
      <c r="O131" s="10"/>
    </row>
    <row r="132" spans="1:15">
      <c r="A132" s="3">
        <v>41548</v>
      </c>
      <c r="C132" s="70">
        <f t="shared" si="19"/>
        <v>370.07</v>
      </c>
      <c r="D132" s="70">
        <f t="shared" si="19"/>
        <v>1.1199999999999999</v>
      </c>
      <c r="E132" s="10">
        <v>31</v>
      </c>
      <c r="F132" s="10">
        <v>1</v>
      </c>
      <c r="G132" s="17">
        <f t="shared" si="20"/>
        <v>3752.1568719554789</v>
      </c>
      <c r="H132" s="34">
        <v>145.21437802654827</v>
      </c>
      <c r="I132" s="10">
        <v>1</v>
      </c>
      <c r="K132" s="166"/>
      <c r="L132" s="17">
        <f>'CDM Activity'!C109</f>
        <v>100546.13012889726</v>
      </c>
      <c r="M132" s="10">
        <v>352</v>
      </c>
      <c r="N132" s="10">
        <f t="shared" ref="N132:N146" si="21">$R$18+C132*$R$19+D132*$R$20+E132*$R$21+F132*$R$22+G132*$R$23+H132*$R$24+I132*$R$25</f>
        <v>6285813.3174624825</v>
      </c>
      <c r="O132" s="10"/>
    </row>
    <row r="133" spans="1:15">
      <c r="A133" s="3">
        <v>41579</v>
      </c>
      <c r="C133" s="70">
        <f t="shared" si="19"/>
        <v>583.45000000000005</v>
      </c>
      <c r="D133" s="70">
        <f t="shared" si="19"/>
        <v>0</v>
      </c>
      <c r="E133" s="10">
        <v>30</v>
      </c>
      <c r="F133" s="10">
        <v>1</v>
      </c>
      <c r="G133" s="17">
        <f t="shared" si="20"/>
        <v>3750.986613978328</v>
      </c>
      <c r="H133" s="34">
        <v>145.39465989312006</v>
      </c>
      <c r="I133" s="10">
        <v>1</v>
      </c>
      <c r="K133" s="166"/>
      <c r="L133" s="17">
        <f>'CDM Activity'!C110</f>
        <v>94371.343173409812</v>
      </c>
      <c r="M133" s="10">
        <v>336</v>
      </c>
      <c r="N133" s="10">
        <f t="shared" si="21"/>
        <v>6957079.7478503156</v>
      </c>
      <c r="O133" s="10"/>
    </row>
    <row r="134" spans="1:15">
      <c r="A134" s="3">
        <v>41609</v>
      </c>
      <c r="C134" s="70">
        <f>(C14+C26+C38+C50+C62+C74+C86+C98+C110+C122)/10</f>
        <v>898.30999999999983</v>
      </c>
      <c r="D134" s="70">
        <f>(D14+D26+D38+D50+D62+D74+D86+D98+D110+D122)/10</f>
        <v>0</v>
      </c>
      <c r="E134" s="10">
        <v>31</v>
      </c>
      <c r="F134" s="10">
        <v>0</v>
      </c>
      <c r="G134" s="17">
        <f t="shared" si="20"/>
        <v>3749.8163560011772</v>
      </c>
      <c r="H134" s="34">
        <v>145.57516557741477</v>
      </c>
      <c r="I134" s="10">
        <v>1</v>
      </c>
      <c r="K134" s="166"/>
      <c r="L134" s="17">
        <f>'CDM Activity'!C111</f>
        <v>88196.556217922363</v>
      </c>
      <c r="M134" s="10">
        <v>320</v>
      </c>
      <c r="N134" s="10">
        <f t="shared" si="21"/>
        <v>8927130.6400742568</v>
      </c>
      <c r="O134" s="10"/>
    </row>
    <row r="135" spans="1:15">
      <c r="A135" s="3">
        <v>41640</v>
      </c>
      <c r="C135" s="70">
        <f>C123</f>
        <v>1016.89</v>
      </c>
      <c r="D135" s="70">
        <f>D123</f>
        <v>0</v>
      </c>
      <c r="E135" s="10">
        <v>31</v>
      </c>
      <c r="F135" s="10">
        <v>0</v>
      </c>
      <c r="G135" s="17">
        <f t="shared" si="20"/>
        <v>3748.6460980240263</v>
      </c>
      <c r="H135" s="34">
        <v>145.85128582788457</v>
      </c>
      <c r="I135" s="10">
        <v>1</v>
      </c>
      <c r="K135" s="166"/>
      <c r="L135" s="17">
        <f>'CDM Activity'!C112</f>
        <v>92394.587757323927</v>
      </c>
      <c r="M135" s="10">
        <v>352</v>
      </c>
      <c r="N135" s="10">
        <f t="shared" si="21"/>
        <v>9437667.8689495251</v>
      </c>
      <c r="O135" s="10"/>
    </row>
    <row r="136" spans="1:15">
      <c r="A136" s="3">
        <v>41671</v>
      </c>
      <c r="C136" s="70">
        <f t="shared" ref="C136:D146" si="22">C124</f>
        <v>861.83999999999992</v>
      </c>
      <c r="D136" s="70">
        <f t="shared" si="22"/>
        <v>0</v>
      </c>
      <c r="E136" s="10">
        <v>28</v>
      </c>
      <c r="F136" s="10">
        <v>0</v>
      </c>
      <c r="G136" s="17">
        <f t="shared" si="20"/>
        <v>3747.4758400468754</v>
      </c>
      <c r="H136" s="34">
        <v>146.12792981049245</v>
      </c>
      <c r="I136" s="10">
        <v>1</v>
      </c>
      <c r="K136" s="166"/>
      <c r="L136" s="17">
        <f>'CDM Activity'!C113</f>
        <v>96592.61929672549</v>
      </c>
      <c r="M136" s="10">
        <v>304</v>
      </c>
      <c r="N136" s="10">
        <f t="shared" si="21"/>
        <v>8140582.9401370268</v>
      </c>
      <c r="O136" s="10"/>
    </row>
    <row r="137" spans="1:15">
      <c r="A137" s="3">
        <v>41699</v>
      </c>
      <c r="C137" s="70">
        <f t="shared" si="22"/>
        <v>655.21</v>
      </c>
      <c r="D137" s="70">
        <f t="shared" si="22"/>
        <v>0.26</v>
      </c>
      <c r="E137" s="10">
        <v>31</v>
      </c>
      <c r="F137" s="10">
        <v>1</v>
      </c>
      <c r="G137" s="17">
        <f t="shared" si="20"/>
        <v>3746.3055820697246</v>
      </c>
      <c r="H137" s="34">
        <v>146.40509851862936</v>
      </c>
      <c r="I137" s="10">
        <v>1</v>
      </c>
      <c r="K137" s="166"/>
      <c r="L137" s="17">
        <f>'CDM Activity'!C114</f>
        <v>100790.65083612705</v>
      </c>
      <c r="M137" s="10">
        <v>336</v>
      </c>
      <c r="N137" s="10">
        <f t="shared" si="21"/>
        <v>7515725.171498118</v>
      </c>
      <c r="O137" s="10"/>
    </row>
    <row r="138" spans="1:15">
      <c r="A138" s="3">
        <v>41730</v>
      </c>
      <c r="C138" s="70">
        <f t="shared" si="22"/>
        <v>384.31</v>
      </c>
      <c r="D138" s="70">
        <f t="shared" si="22"/>
        <v>0.05</v>
      </c>
      <c r="E138" s="10">
        <v>30</v>
      </c>
      <c r="F138" s="10">
        <v>1</v>
      </c>
      <c r="G138" s="17">
        <f t="shared" si="20"/>
        <v>3745.1353240925737</v>
      </c>
      <c r="H138" s="34">
        <v>146.68279294757042</v>
      </c>
      <c r="I138" s="10">
        <v>1</v>
      </c>
      <c r="K138" s="166"/>
      <c r="L138" s="17">
        <f>'CDM Activity'!C115</f>
        <v>104988.68237552862</v>
      </c>
      <c r="M138" s="10">
        <v>320</v>
      </c>
      <c r="N138" s="10">
        <f t="shared" si="21"/>
        <v>6160809.0296655986</v>
      </c>
      <c r="O138" s="10"/>
    </row>
    <row r="139" spans="1:15">
      <c r="A139" s="3">
        <v>41760</v>
      </c>
      <c r="C139" s="70">
        <f t="shared" si="22"/>
        <v>225.78999999999996</v>
      </c>
      <c r="D139" s="70">
        <f t="shared" si="22"/>
        <v>4.58</v>
      </c>
      <c r="E139" s="10">
        <v>31</v>
      </c>
      <c r="F139" s="10">
        <v>1</v>
      </c>
      <c r="G139" s="17">
        <f t="shared" si="20"/>
        <v>3743.9650661154228</v>
      </c>
      <c r="H139" s="34">
        <v>146.96101409447857</v>
      </c>
      <c r="I139" s="10">
        <v>1</v>
      </c>
      <c r="K139" s="166"/>
      <c r="L139" s="17">
        <f>'CDM Activity'!C116</f>
        <v>109186.71391493018</v>
      </c>
      <c r="M139" s="10">
        <v>336</v>
      </c>
      <c r="N139" s="10">
        <f t="shared" si="21"/>
        <v>5789203.7945651198</v>
      </c>
      <c r="O139" s="10"/>
    </row>
    <row r="140" spans="1:15">
      <c r="A140" s="3">
        <v>41791</v>
      </c>
      <c r="C140" s="70">
        <f t="shared" si="22"/>
        <v>76.720000000000013</v>
      </c>
      <c r="D140" s="70">
        <f t="shared" si="22"/>
        <v>22.209999999999997</v>
      </c>
      <c r="E140" s="10">
        <v>30</v>
      </c>
      <c r="F140" s="10">
        <v>0</v>
      </c>
      <c r="G140" s="17">
        <f>SUM('Rate Class Customer Model'!B14:D14)</f>
        <v>3742.7948081382706</v>
      </c>
      <c r="H140" s="34">
        <v>147.23976295840814</v>
      </c>
      <c r="I140" s="10">
        <v>1</v>
      </c>
      <c r="K140" s="166"/>
      <c r="L140" s="17">
        <f>'CDM Activity'!C117</f>
        <v>113384.74545433174</v>
      </c>
      <c r="M140" s="10">
        <v>336</v>
      </c>
      <c r="N140" s="10">
        <f t="shared" si="21"/>
        <v>5645383.372058779</v>
      </c>
      <c r="O140" s="10"/>
    </row>
    <row r="141" spans="1:15">
      <c r="A141" s="3">
        <v>41821</v>
      </c>
      <c r="C141" s="70">
        <f t="shared" si="22"/>
        <v>26.889999999999997</v>
      </c>
      <c r="D141" s="70">
        <f t="shared" si="22"/>
        <v>59.580000000000005</v>
      </c>
      <c r="E141" s="10">
        <v>31</v>
      </c>
      <c r="F141" s="10">
        <v>0</v>
      </c>
      <c r="G141" s="17">
        <f t="shared" ref="G141:G146" si="23">G140+($G$140-$G$128)/12</f>
        <v>3741.6245501611197</v>
      </c>
      <c r="H141" s="34">
        <v>147.5190405403084</v>
      </c>
      <c r="I141" s="10">
        <v>1</v>
      </c>
      <c r="K141" s="166"/>
      <c r="L141" s="17">
        <f>'CDM Activity'!C118</f>
        <v>117582.77699373331</v>
      </c>
      <c r="M141" s="10">
        <v>352</v>
      </c>
      <c r="N141" s="10">
        <f t="shared" si="21"/>
        <v>6245494.4626381863</v>
      </c>
      <c r="O141" s="10"/>
    </row>
    <row r="142" spans="1:15">
      <c r="A142" s="3">
        <v>41852</v>
      </c>
      <c r="C142" s="70">
        <f t="shared" si="22"/>
        <v>52.930000000000007</v>
      </c>
      <c r="D142" s="70">
        <f t="shared" si="22"/>
        <v>37.47</v>
      </c>
      <c r="E142" s="10">
        <v>31</v>
      </c>
      <c r="F142" s="10">
        <v>0</v>
      </c>
      <c r="G142" s="17">
        <f t="shared" si="23"/>
        <v>3740.4542921839688</v>
      </c>
      <c r="H142" s="34">
        <v>147.79884784302718</v>
      </c>
      <c r="I142" s="10">
        <v>1</v>
      </c>
      <c r="K142" s="166"/>
      <c r="L142" s="17">
        <f>'CDM Activity'!C119</f>
        <v>121780.80853313487</v>
      </c>
      <c r="M142" s="10">
        <v>320</v>
      </c>
      <c r="N142" s="10">
        <f t="shared" si="21"/>
        <v>6020254.5934716864</v>
      </c>
      <c r="O142" s="10"/>
    </row>
    <row r="143" spans="1:15">
      <c r="A143" s="3">
        <v>41883</v>
      </c>
      <c r="C143" s="70">
        <f t="shared" si="22"/>
        <v>163.57</v>
      </c>
      <c r="D143" s="70">
        <f t="shared" si="22"/>
        <v>11.860000000000003</v>
      </c>
      <c r="E143" s="10">
        <v>30</v>
      </c>
      <c r="F143" s="10">
        <v>1</v>
      </c>
      <c r="G143" s="17">
        <f t="shared" si="23"/>
        <v>3739.284034206818</v>
      </c>
      <c r="H143" s="34">
        <v>148.07918587131445</v>
      </c>
      <c r="I143" s="10">
        <v>1</v>
      </c>
      <c r="K143" s="166"/>
      <c r="L143" s="17">
        <f>'CDM Activity'!C120</f>
        <v>125978.84007253643</v>
      </c>
      <c r="M143" s="10">
        <v>336</v>
      </c>
      <c r="N143" s="10">
        <f t="shared" si="21"/>
        <v>5462337.8149743536</v>
      </c>
      <c r="O143" s="10"/>
    </row>
    <row r="144" spans="1:15">
      <c r="A144" s="3">
        <v>41913</v>
      </c>
      <c r="C144" s="70">
        <f t="shared" si="22"/>
        <v>370.07</v>
      </c>
      <c r="D144" s="70">
        <f t="shared" si="22"/>
        <v>1.1199999999999999</v>
      </c>
      <c r="E144" s="10">
        <v>31</v>
      </c>
      <c r="F144" s="10">
        <v>1</v>
      </c>
      <c r="G144" s="17">
        <f t="shared" si="23"/>
        <v>3738.1137762296671</v>
      </c>
      <c r="H144" s="34">
        <v>148.36005563182596</v>
      </c>
      <c r="I144" s="10">
        <v>1</v>
      </c>
      <c r="K144" s="166"/>
      <c r="L144" s="17">
        <f>'CDM Activity'!C121</f>
        <v>130176.871611938</v>
      </c>
      <c r="M144" s="10">
        <v>352</v>
      </c>
      <c r="N144" s="10">
        <f t="shared" si="21"/>
        <v>6394119.9899727535</v>
      </c>
      <c r="O144" s="10"/>
    </row>
    <row r="145" spans="1:16">
      <c r="A145" s="3">
        <v>41944</v>
      </c>
      <c r="C145" s="70">
        <f t="shared" si="22"/>
        <v>583.45000000000005</v>
      </c>
      <c r="D145" s="70">
        <f t="shared" si="22"/>
        <v>0</v>
      </c>
      <c r="E145" s="10">
        <v>30</v>
      </c>
      <c r="F145" s="10">
        <v>1</v>
      </c>
      <c r="G145" s="17">
        <f t="shared" si="23"/>
        <v>3736.9435182525162</v>
      </c>
      <c r="H145" s="34">
        <v>148.64145813312683</v>
      </c>
      <c r="I145" s="10">
        <v>1</v>
      </c>
      <c r="K145" s="166"/>
      <c r="L145" s="17">
        <f>'CDM Activity'!C122</f>
        <v>134374.90315133956</v>
      </c>
      <c r="M145" s="10">
        <v>304</v>
      </c>
      <c r="N145" s="10">
        <f t="shared" si="21"/>
        <v>7070480.2360695023</v>
      </c>
      <c r="O145" s="10"/>
    </row>
    <row r="146" spans="1:16">
      <c r="A146" s="3">
        <v>41974</v>
      </c>
      <c r="C146" s="70">
        <f t="shared" si="22"/>
        <v>898.30999999999983</v>
      </c>
      <c r="D146" s="70">
        <f t="shared" si="22"/>
        <v>0</v>
      </c>
      <c r="E146" s="10">
        <v>31</v>
      </c>
      <c r="F146" s="10">
        <v>0</v>
      </c>
      <c r="G146" s="17">
        <f t="shared" si="23"/>
        <v>3735.7732602753654</v>
      </c>
      <c r="H146" s="35">
        <v>148.9233943856953</v>
      </c>
      <c r="I146" s="10">
        <v>1</v>
      </c>
      <c r="K146" s="166"/>
      <c r="L146" s="17">
        <f>'CDM Activity'!C123</f>
        <v>138572.93469074112</v>
      </c>
      <c r="M146" s="165">
        <v>336</v>
      </c>
      <c r="N146" s="10">
        <f t="shared" si="21"/>
        <v>9045640.5564870182</v>
      </c>
      <c r="O146" s="10"/>
    </row>
    <row r="147" spans="1:16">
      <c r="A147" s="3"/>
      <c r="L147" s="17"/>
      <c r="N147" s="10"/>
      <c r="O147" s="10"/>
    </row>
    <row r="148" spans="1:16">
      <c r="A148" s="3"/>
      <c r="D148" s="23" t="s">
        <v>66</v>
      </c>
      <c r="N148" s="51">
        <f>SUM(N3:N147)</f>
        <v>1016505268.6298459</v>
      </c>
    </row>
    <row r="149" spans="1:16">
      <c r="A149" s="3"/>
    </row>
    <row r="150" spans="1:16">
      <c r="A150" s="16">
        <v>2003</v>
      </c>
      <c r="B150" s="27">
        <f>SUM(B3:B14)</f>
        <v>83865020</v>
      </c>
      <c r="N150" s="6">
        <f>SUM(N3:N14)</f>
        <v>84886866.001184136</v>
      </c>
      <c r="O150" s="37">
        <f t="shared" ref="O150:O159" si="24">N150-B150</f>
        <v>1021846.0011841357</v>
      </c>
      <c r="P150" s="5">
        <f t="shared" ref="P150:P159" si="25">O150/B150</f>
        <v>1.2184412537958444E-2</v>
      </c>
    </row>
    <row r="151" spans="1:16">
      <c r="A151">
        <v>2004</v>
      </c>
      <c r="B151" s="27">
        <f>SUM(B15:B26)</f>
        <v>85465666</v>
      </c>
      <c r="N151" s="6">
        <f>SUM(N15:N26)</f>
        <v>85501943.515376061</v>
      </c>
      <c r="O151" s="37">
        <f t="shared" si="24"/>
        <v>36277.515376061201</v>
      </c>
      <c r="P151" s="5">
        <f t="shared" si="25"/>
        <v>4.2446887825177892E-4</v>
      </c>
    </row>
    <row r="152" spans="1:16">
      <c r="A152" s="16">
        <v>2005</v>
      </c>
      <c r="B152" s="27">
        <f>SUM(B27:B38)</f>
        <v>87506711</v>
      </c>
      <c r="N152" s="6">
        <f>SUM(N27:N38)</f>
        <v>87374193.813147485</v>
      </c>
      <c r="O152" s="37">
        <f t="shared" si="24"/>
        <v>-132517.18685251474</v>
      </c>
      <c r="P152" s="5">
        <f t="shared" si="25"/>
        <v>-1.5143659879127984E-3</v>
      </c>
    </row>
    <row r="153" spans="1:16">
      <c r="A153">
        <v>2006</v>
      </c>
      <c r="B153" s="27">
        <f>SUM(B39:B50)</f>
        <v>86305341</v>
      </c>
      <c r="N153" s="6">
        <f>SUM(N39:N50)</f>
        <v>86028268.656512722</v>
      </c>
      <c r="O153" s="37">
        <f t="shared" si="24"/>
        <v>-277072.34348727763</v>
      </c>
      <c r="P153" s="5">
        <f t="shared" si="25"/>
        <v>-3.210373080934558E-3</v>
      </c>
    </row>
    <row r="154" spans="1:16">
      <c r="A154" s="16">
        <v>2007</v>
      </c>
      <c r="B154" s="27">
        <f>SUM(B51:B62)</f>
        <v>87693969</v>
      </c>
      <c r="N154" s="6">
        <f>SUM(N51:N62)</f>
        <v>85086374.979876891</v>
      </c>
      <c r="O154" s="37">
        <f t="shared" si="24"/>
        <v>-2607594.0201231092</v>
      </c>
      <c r="P154" s="5">
        <f t="shared" si="25"/>
        <v>-2.973515795736317E-2</v>
      </c>
    </row>
    <row r="155" spans="1:16">
      <c r="A155">
        <v>2008</v>
      </c>
      <c r="B155" s="27">
        <f>SUM(B63:B74)</f>
        <v>87543088</v>
      </c>
      <c r="N155" s="6">
        <f>SUM(N63:N74)</f>
        <v>88159245.362066716</v>
      </c>
      <c r="O155" s="37">
        <f t="shared" si="24"/>
        <v>616157.36206671596</v>
      </c>
      <c r="P155" s="5">
        <f t="shared" si="25"/>
        <v>7.0383325073787202E-3</v>
      </c>
    </row>
    <row r="156" spans="1:16">
      <c r="A156" s="16">
        <v>2009</v>
      </c>
      <c r="B156" s="27">
        <f>SUM(B75:B86)</f>
        <v>86145680</v>
      </c>
      <c r="N156" s="6">
        <f>SUM(N75:N86)</f>
        <v>84678078.278901368</v>
      </c>
      <c r="O156" s="37">
        <f t="shared" si="24"/>
        <v>-1467601.7210986316</v>
      </c>
      <c r="P156" s="5">
        <f t="shared" si="25"/>
        <v>-1.7036277629924469E-2</v>
      </c>
    </row>
    <row r="157" spans="1:16">
      <c r="A157">
        <v>2010</v>
      </c>
      <c r="B157" s="27">
        <f>SUM(B87:B98)</f>
        <v>84047771</v>
      </c>
      <c r="N157" s="6">
        <f>SUM(N87:N98)</f>
        <v>83357806.718315616</v>
      </c>
      <c r="O157" s="37">
        <f t="shared" si="24"/>
        <v>-689964.28168438375</v>
      </c>
      <c r="P157" s="5">
        <f t="shared" si="25"/>
        <v>-8.2091919092581733E-3</v>
      </c>
    </row>
    <row r="158" spans="1:16">
      <c r="A158">
        <v>2011</v>
      </c>
      <c r="B158" s="27">
        <f>SUM(B99:B110)</f>
        <v>83026301</v>
      </c>
      <c r="N158" s="6">
        <f>SUM(N99:N110)</f>
        <v>86526769.674619079</v>
      </c>
      <c r="O158" s="37">
        <f t="shared" si="24"/>
        <v>3500468.6746190786</v>
      </c>
      <c r="P158" s="5">
        <f t="shared" si="25"/>
        <v>4.2160961435811509E-2</v>
      </c>
    </row>
    <row r="159" spans="1:16">
      <c r="A159">
        <v>2012</v>
      </c>
      <c r="B159" s="27">
        <f>SUM(B111:B122)</f>
        <v>80138104</v>
      </c>
      <c r="N159" s="6">
        <f>SUM(N111:N122)</f>
        <v>80138104</v>
      </c>
      <c r="O159" s="37">
        <f t="shared" si="24"/>
        <v>0</v>
      </c>
      <c r="P159" s="5">
        <f t="shared" si="25"/>
        <v>0</v>
      </c>
    </row>
    <row r="160" spans="1:16">
      <c r="A160">
        <v>2013</v>
      </c>
      <c r="N160" s="6">
        <f>SUM(N123:N134)</f>
        <v>81839917.799358904</v>
      </c>
      <c r="O160" s="37"/>
      <c r="P160" s="5"/>
    </row>
    <row r="161" spans="1:16">
      <c r="A161" s="16">
        <v>2014</v>
      </c>
      <c r="E161" s="94"/>
      <c r="F161" s="94"/>
      <c r="G161" s="6"/>
      <c r="M161" s="6"/>
      <c r="N161" s="6">
        <f>SUM(N135:N147)</f>
        <v>82927699.830487669</v>
      </c>
      <c r="O161" s="94"/>
      <c r="P161" s="94"/>
    </row>
    <row r="162" spans="1:16">
      <c r="N162" s="6"/>
    </row>
    <row r="163" spans="1:16">
      <c r="A163" s="96" t="s">
        <v>145</v>
      </c>
      <c r="B163" s="27">
        <f>SUM(B150:B159)</f>
        <v>851737651</v>
      </c>
      <c r="N163" s="6">
        <f>SUM(N150:N159)</f>
        <v>851737651</v>
      </c>
      <c r="O163" s="6">
        <f>N163-B163</f>
        <v>0</v>
      </c>
    </row>
    <row r="165" spans="1:16">
      <c r="N165" s="6">
        <f>SUM(N150:N161)</f>
        <v>1016505268.6298466</v>
      </c>
      <c r="O165" s="51">
        <f>N148-N165</f>
        <v>0</v>
      </c>
    </row>
    <row r="166" spans="1:16">
      <c r="N166" s="18"/>
      <c r="O166" s="18" t="s">
        <v>63</v>
      </c>
      <c r="P166" s="18"/>
    </row>
    <row r="169" spans="1:16">
      <c r="B169" s="27" t="s">
        <v>102</v>
      </c>
    </row>
    <row r="170" spans="1:16">
      <c r="C170" s="70">
        <f>'HDD and CDD'!W5</f>
        <v>971.85135338345935</v>
      </c>
      <c r="D170" s="70">
        <f>'HDD and CDD'!W19</f>
        <v>0</v>
      </c>
      <c r="E170" s="10">
        <f>E135</f>
        <v>31</v>
      </c>
      <c r="F170" s="10">
        <f t="shared" ref="F170:I170" si="26">F135</f>
        <v>0</v>
      </c>
      <c r="G170" s="10">
        <f t="shared" si="26"/>
        <v>3748.6460980240263</v>
      </c>
      <c r="H170" s="34">
        <f t="shared" si="26"/>
        <v>145.85128582788457</v>
      </c>
      <c r="I170" s="10">
        <f t="shared" si="26"/>
        <v>1</v>
      </c>
      <c r="K170" s="17"/>
      <c r="L170" s="17"/>
      <c r="M170" s="10"/>
      <c r="N170" s="10">
        <f t="shared" ref="N170:N181" si="27">$R$18+C170*$R$19+D170*$R$20+E170*$R$21+F170*$R$22+G170*$R$23+H170*$R$24+I170*$R$25</f>
        <v>9247452.9195047766</v>
      </c>
      <c r="O170" s="158"/>
    </row>
    <row r="171" spans="1:16">
      <c r="C171" s="70">
        <f>'HDD and CDD'!W6</f>
        <v>843.05676691729332</v>
      </c>
      <c r="D171" s="70">
        <f>'HDD and CDD'!W20</f>
        <v>0</v>
      </c>
      <c r="E171" s="10">
        <f t="shared" ref="E171:I181" si="28">E136</f>
        <v>28</v>
      </c>
      <c r="F171" s="10">
        <f t="shared" si="28"/>
        <v>0</v>
      </c>
      <c r="G171" s="10">
        <f t="shared" si="28"/>
        <v>3747.4758400468754</v>
      </c>
      <c r="H171" s="34">
        <f t="shared" si="28"/>
        <v>146.12792981049245</v>
      </c>
      <c r="I171" s="10">
        <f t="shared" si="28"/>
        <v>1</v>
      </c>
      <c r="K171" s="17"/>
      <c r="L171" s="17"/>
      <c r="M171" s="10"/>
      <c r="N171" s="10">
        <f t="shared" si="27"/>
        <v>8061254.363466965</v>
      </c>
      <c r="O171" s="158"/>
    </row>
    <row r="172" spans="1:16">
      <c r="C172" s="70">
        <f>'HDD and CDD'!W7</f>
        <v>620.50751879699237</v>
      </c>
      <c r="D172" s="70">
        <f>'HDD and CDD'!W21</f>
        <v>0.55714285714284983</v>
      </c>
      <c r="E172" s="10">
        <f t="shared" si="28"/>
        <v>31</v>
      </c>
      <c r="F172" s="10">
        <f t="shared" si="28"/>
        <v>1</v>
      </c>
      <c r="G172" s="10">
        <f t="shared" si="28"/>
        <v>3746.3055820697246</v>
      </c>
      <c r="H172" s="34">
        <f t="shared" si="28"/>
        <v>146.40509851862936</v>
      </c>
      <c r="I172" s="10">
        <f t="shared" si="28"/>
        <v>1</v>
      </c>
      <c r="K172" s="17"/>
      <c r="L172" s="17"/>
      <c r="M172" s="10"/>
      <c r="N172" s="10">
        <f t="shared" si="27"/>
        <v>7373802.0229486804</v>
      </c>
      <c r="O172" s="158"/>
    </row>
    <row r="173" spans="1:16">
      <c r="C173" s="70">
        <f>'HDD and CDD'!W8</f>
        <v>349.86827067669401</v>
      </c>
      <c r="D173" s="70">
        <f>'HDD and CDD'!W22</f>
        <v>0.10195488721804491</v>
      </c>
      <c r="E173" s="10">
        <f t="shared" si="28"/>
        <v>30</v>
      </c>
      <c r="F173" s="10">
        <f t="shared" si="28"/>
        <v>1</v>
      </c>
      <c r="G173" s="10">
        <f t="shared" si="28"/>
        <v>3745.1353240925737</v>
      </c>
      <c r="H173" s="34">
        <f t="shared" si="28"/>
        <v>146.68279294757042</v>
      </c>
      <c r="I173" s="10">
        <f t="shared" si="28"/>
        <v>1</v>
      </c>
      <c r="K173" s="17"/>
      <c r="L173" s="17"/>
      <c r="M173" s="10"/>
      <c r="N173" s="10">
        <f t="shared" si="27"/>
        <v>6016159.805558959</v>
      </c>
      <c r="O173" s="158"/>
    </row>
    <row r="174" spans="1:16">
      <c r="C174" s="70">
        <f>'HDD and CDD'!W9</f>
        <v>221.80067669172945</v>
      </c>
      <c r="D174" s="70">
        <f>'HDD and CDD'!W23</f>
        <v>5.0016541353383275</v>
      </c>
      <c r="E174" s="10">
        <f t="shared" si="28"/>
        <v>31</v>
      </c>
      <c r="F174" s="10">
        <f t="shared" si="28"/>
        <v>1</v>
      </c>
      <c r="G174" s="10">
        <f t="shared" si="28"/>
        <v>3743.9650661154228</v>
      </c>
      <c r="H174" s="34">
        <f t="shared" si="28"/>
        <v>146.96101409447857</v>
      </c>
      <c r="I174" s="10">
        <f t="shared" si="28"/>
        <v>1</v>
      </c>
      <c r="K174" s="17"/>
      <c r="L174" s="17"/>
      <c r="M174" s="10"/>
      <c r="N174" s="10">
        <f t="shared" si="27"/>
        <v>5778937.3229078995</v>
      </c>
      <c r="O174" s="158"/>
    </row>
    <row r="175" spans="1:16">
      <c r="C175" s="70">
        <f>'HDD and CDD'!W10</f>
        <v>79.593909774436042</v>
      </c>
      <c r="D175" s="70">
        <f>'HDD and CDD'!W24</f>
        <v>16.38203007518814</v>
      </c>
      <c r="E175" s="10">
        <f t="shared" si="28"/>
        <v>30</v>
      </c>
      <c r="F175" s="10">
        <f t="shared" si="28"/>
        <v>0</v>
      </c>
      <c r="G175" s="10">
        <f t="shared" si="28"/>
        <v>3742.7948081382706</v>
      </c>
      <c r="H175" s="34">
        <f t="shared" si="28"/>
        <v>147.23976295840814</v>
      </c>
      <c r="I175" s="10">
        <f t="shared" si="28"/>
        <v>1</v>
      </c>
      <c r="K175" s="17"/>
      <c r="L175" s="17"/>
      <c r="M175" s="10"/>
      <c r="N175" s="10">
        <f t="shared" si="27"/>
        <v>5566547.6944666319</v>
      </c>
      <c r="O175" s="158"/>
    </row>
    <row r="176" spans="1:16">
      <c r="C176" s="70">
        <f>'HDD and CDD'!W11</f>
        <v>21.241428571428514</v>
      </c>
      <c r="D176" s="70">
        <f>'HDD and CDD'!W25</f>
        <v>73.565112781954667</v>
      </c>
      <c r="E176" s="10">
        <f t="shared" si="28"/>
        <v>31</v>
      </c>
      <c r="F176" s="10">
        <f t="shared" si="28"/>
        <v>0</v>
      </c>
      <c r="G176" s="10">
        <f t="shared" si="28"/>
        <v>3741.6245501611197</v>
      </c>
      <c r="H176" s="34">
        <f t="shared" si="28"/>
        <v>147.5190405403084</v>
      </c>
      <c r="I176" s="10">
        <f t="shared" si="28"/>
        <v>1</v>
      </c>
      <c r="K176" s="17"/>
      <c r="L176" s="17"/>
      <c r="M176" s="10"/>
      <c r="N176" s="10">
        <f t="shared" si="27"/>
        <v>6439942.8320820872</v>
      </c>
      <c r="O176" s="158"/>
    </row>
    <row r="177" spans="3:15">
      <c r="C177" s="70">
        <f>'HDD and CDD'!W12</f>
        <v>52.170000000000073</v>
      </c>
      <c r="D177" s="70">
        <f>'HDD and CDD'!W26</f>
        <v>35.154661654135339</v>
      </c>
      <c r="E177" s="10">
        <f t="shared" si="28"/>
        <v>31</v>
      </c>
      <c r="F177" s="10">
        <f t="shared" si="28"/>
        <v>0</v>
      </c>
      <c r="G177" s="10">
        <f t="shared" si="28"/>
        <v>3740.4542921839688</v>
      </c>
      <c r="H177" s="34">
        <f t="shared" si="28"/>
        <v>147.79884784302718</v>
      </c>
      <c r="I177" s="10">
        <f t="shared" si="28"/>
        <v>1</v>
      </c>
      <c r="K177" s="17"/>
      <c r="L177" s="17"/>
      <c r="M177" s="10"/>
      <c r="N177" s="10">
        <f t="shared" si="27"/>
        <v>5980902.9330707146</v>
      </c>
      <c r="O177" s="158"/>
    </row>
    <row r="178" spans="3:15">
      <c r="C178" s="70">
        <f>'HDD and CDD'!W13</f>
        <v>163.14015037593981</v>
      </c>
      <c r="D178" s="70">
        <f>'HDD and CDD'!W27</f>
        <v>12.767067669172889</v>
      </c>
      <c r="E178" s="10">
        <f t="shared" si="28"/>
        <v>30</v>
      </c>
      <c r="F178" s="10">
        <f t="shared" si="28"/>
        <v>1</v>
      </c>
      <c r="G178" s="10">
        <f t="shared" si="28"/>
        <v>3739.284034206818</v>
      </c>
      <c r="H178" s="34">
        <f t="shared" si="28"/>
        <v>148.07918587131445</v>
      </c>
      <c r="I178" s="10">
        <f t="shared" si="28"/>
        <v>1</v>
      </c>
      <c r="K178" s="17"/>
      <c r="L178" s="17"/>
      <c r="M178" s="10"/>
      <c r="N178" s="10">
        <f t="shared" si="27"/>
        <v>5474681.5174163068</v>
      </c>
      <c r="O178" s="158"/>
    </row>
    <row r="179" spans="3:15">
      <c r="C179" s="70">
        <f>'HDD and CDD'!W14</f>
        <v>370.66052631578941</v>
      </c>
      <c r="D179" s="70">
        <f>'HDD and CDD'!W28</f>
        <v>1.530225563909795</v>
      </c>
      <c r="E179" s="10">
        <f t="shared" si="28"/>
        <v>31</v>
      </c>
      <c r="F179" s="10">
        <f t="shared" si="28"/>
        <v>1</v>
      </c>
      <c r="G179" s="10">
        <f t="shared" si="28"/>
        <v>3738.1137762296671</v>
      </c>
      <c r="H179" s="34">
        <f t="shared" si="28"/>
        <v>148.36005563182596</v>
      </c>
      <c r="I179" s="10">
        <f t="shared" si="28"/>
        <v>1</v>
      </c>
      <c r="K179" s="17"/>
      <c r="L179" s="17"/>
      <c r="M179" s="10"/>
      <c r="N179" s="10">
        <f t="shared" si="27"/>
        <v>6403017.5286410097</v>
      </c>
      <c r="O179" s="158"/>
    </row>
    <row r="180" spans="3:15">
      <c r="C180" s="70">
        <f>'HDD and CDD'!W15</f>
        <v>529.3662406015028</v>
      </c>
      <c r="D180" s="70">
        <f>'HDD and CDD'!W29</f>
        <v>0</v>
      </c>
      <c r="E180" s="10">
        <f t="shared" si="28"/>
        <v>30</v>
      </c>
      <c r="F180" s="10">
        <f t="shared" si="28"/>
        <v>1</v>
      </c>
      <c r="G180" s="10">
        <f t="shared" si="28"/>
        <v>3736.9435182525162</v>
      </c>
      <c r="H180" s="34">
        <f t="shared" si="28"/>
        <v>148.64145813312683</v>
      </c>
      <c r="I180" s="10">
        <f t="shared" si="28"/>
        <v>1</v>
      </c>
      <c r="K180" s="17"/>
      <c r="L180" s="17"/>
      <c r="M180" s="10"/>
      <c r="N180" s="10">
        <f t="shared" si="27"/>
        <v>6842064.4124912489</v>
      </c>
      <c r="O180" s="158"/>
    </row>
    <row r="181" spans="3:15">
      <c r="C181" s="70">
        <f>'HDD and CDD'!W16</f>
        <v>938.82969924811914</v>
      </c>
      <c r="D181" s="70">
        <f>'HDD and CDD'!W30</f>
        <v>0</v>
      </c>
      <c r="E181" s="10">
        <f t="shared" si="28"/>
        <v>31</v>
      </c>
      <c r="F181" s="10">
        <f t="shared" si="28"/>
        <v>0</v>
      </c>
      <c r="G181" s="10">
        <f t="shared" si="28"/>
        <v>3735.7732602753654</v>
      </c>
      <c r="H181" s="35">
        <f t="shared" si="28"/>
        <v>148.9233943856953</v>
      </c>
      <c r="I181" s="10">
        <f t="shared" si="28"/>
        <v>1</v>
      </c>
      <c r="K181" s="17"/>
      <c r="L181" s="17"/>
      <c r="M181" s="10"/>
      <c r="N181" s="10">
        <f t="shared" si="27"/>
        <v>9216770.3111090604</v>
      </c>
      <c r="O181" s="51">
        <f>SUM(N170:N181)</f>
        <v>82401533.663664341</v>
      </c>
    </row>
  </sheetData>
  <mergeCells count="1">
    <mergeCell ref="J1:M1"/>
  </mergeCells>
  <phoneticPr fontId="0" type="noConversion"/>
  <pageMargins left="0.38" right="0.75" top="0.73" bottom="0.74" header="0.5" footer="0.5"/>
  <pageSetup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2:V77"/>
  <sheetViews>
    <sheetView zoomScaleNormal="10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H59" sqref="H59:L59"/>
    </sheetView>
  </sheetViews>
  <sheetFormatPr defaultRowHeight="12.75"/>
  <cols>
    <col min="1" max="1" width="18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2" width="13.85546875" style="6" bestFit="1" customWidth="1"/>
    <col min="13" max="14" width="12.7109375" style="6" bestFit="1" customWidth="1"/>
    <col min="15" max="15" width="10.7109375" style="6" bestFit="1" customWidth="1"/>
    <col min="16" max="16" width="9.140625" style="6"/>
    <col min="17" max="17" width="11.140625" style="6" bestFit="1" customWidth="1"/>
  </cols>
  <sheetData>
    <row r="2" spans="1:17" ht="42" customHeight="1">
      <c r="B2" s="2" t="s">
        <v>7</v>
      </c>
      <c r="C2" s="2" t="s">
        <v>8</v>
      </c>
      <c r="D2" s="2" t="s">
        <v>40</v>
      </c>
      <c r="E2" s="2" t="s">
        <v>9</v>
      </c>
      <c r="F2" s="2" t="s">
        <v>1</v>
      </c>
      <c r="G2" s="7" t="s">
        <v>2</v>
      </c>
      <c r="H2" s="48" t="s">
        <v>93</v>
      </c>
      <c r="I2" s="49" t="s">
        <v>94</v>
      </c>
      <c r="J2" s="49" t="s">
        <v>95</v>
      </c>
      <c r="K2" s="49" t="s">
        <v>96</v>
      </c>
      <c r="L2" s="50" t="s">
        <v>97</v>
      </c>
    </row>
    <row r="4" spans="1:17">
      <c r="A4" s="18"/>
      <c r="B4" s="41" t="s">
        <v>42</v>
      </c>
    </row>
    <row r="5" spans="1:17" ht="13.5" thickBot="1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3.5" thickBot="1">
      <c r="H6" s="183" t="s">
        <v>130</v>
      </c>
      <c r="I6" s="184"/>
      <c r="J6" s="184"/>
      <c r="K6" s="184"/>
      <c r="L6" s="185"/>
    </row>
    <row r="7" spans="1:17">
      <c r="A7">
        <f>'Purchased Power Model '!A150</f>
        <v>2003</v>
      </c>
      <c r="B7" s="6">
        <f>'Purchased Power Model '!B150</f>
        <v>83865020</v>
      </c>
      <c r="C7" s="6">
        <f>'Purchased Power Model '!N150</f>
        <v>84886866.001184136</v>
      </c>
      <c r="D7" s="37">
        <f t="shared" ref="D7:D16" si="0">C7-B7</f>
        <v>1021846.0011841357</v>
      </c>
      <c r="E7" s="5">
        <f t="shared" ref="E7:E16" si="1">D7/B7</f>
        <v>1.2184412537958444E-2</v>
      </c>
      <c r="F7" s="55">
        <f t="shared" ref="F7:F16" si="2">1 +(B7-G7)/G7</f>
        <v>1.0543157736149673</v>
      </c>
      <c r="G7" s="69">
        <f t="shared" ref="G7:G16" si="3">SUM(H7:L7)</f>
        <v>79544499</v>
      </c>
      <c r="H7" s="39">
        <v>38329311</v>
      </c>
      <c r="I7" s="39">
        <v>23250299</v>
      </c>
      <c r="J7" s="39">
        <v>16680161</v>
      </c>
      <c r="K7" s="39">
        <v>1092500</v>
      </c>
      <c r="L7" s="39">
        <v>192228</v>
      </c>
      <c r="O7" s="25"/>
      <c r="P7" s="93"/>
      <c r="Q7" s="35"/>
    </row>
    <row r="8" spans="1:17">
      <c r="A8">
        <f>'Purchased Power Model '!A151</f>
        <v>2004</v>
      </c>
      <c r="B8" s="6">
        <f>'Purchased Power Model '!B151</f>
        <v>85465666</v>
      </c>
      <c r="C8" s="6">
        <f>'Purchased Power Model '!N151</f>
        <v>85501943.515376061</v>
      </c>
      <c r="D8" s="37">
        <f t="shared" si="0"/>
        <v>36277.515376061201</v>
      </c>
      <c r="E8" s="5">
        <f t="shared" si="1"/>
        <v>4.2446887825177892E-4</v>
      </c>
      <c r="F8" s="55">
        <f t="shared" si="2"/>
        <v>1.0433833754242126</v>
      </c>
      <c r="G8" s="69">
        <f t="shared" si="3"/>
        <v>81912045</v>
      </c>
      <c r="H8" s="39">
        <v>38423702</v>
      </c>
      <c r="I8" s="39">
        <v>21496720</v>
      </c>
      <c r="J8" s="39">
        <v>20470323</v>
      </c>
      <c r="K8" s="39">
        <v>1329072</v>
      </c>
      <c r="L8" s="39">
        <v>192228</v>
      </c>
      <c r="O8" s="25"/>
      <c r="P8" s="93"/>
      <c r="Q8" s="35"/>
    </row>
    <row r="9" spans="1:17">
      <c r="A9">
        <f>'Purchased Power Model '!A152</f>
        <v>2005</v>
      </c>
      <c r="B9" s="6">
        <f>'Purchased Power Model '!B152</f>
        <v>87506711</v>
      </c>
      <c r="C9" s="6">
        <f>'Purchased Power Model '!N152</f>
        <v>87374193.813147485</v>
      </c>
      <c r="D9" s="37">
        <f t="shared" si="0"/>
        <v>-132517.18685251474</v>
      </c>
      <c r="E9" s="5">
        <f t="shared" si="1"/>
        <v>-1.5143659879127984E-3</v>
      </c>
      <c r="F9" s="55">
        <f t="shared" si="2"/>
        <v>1.044299100031193</v>
      </c>
      <c r="G9" s="69">
        <f t="shared" si="3"/>
        <v>83794682</v>
      </c>
      <c r="H9" s="39">
        <v>39001595</v>
      </c>
      <c r="I9" s="39">
        <v>16510730</v>
      </c>
      <c r="J9" s="39">
        <v>26878664</v>
      </c>
      <c r="K9" s="39">
        <v>1211465</v>
      </c>
      <c r="L9" s="39">
        <v>192228</v>
      </c>
      <c r="O9" s="25"/>
      <c r="P9" s="93"/>
      <c r="Q9" s="35"/>
    </row>
    <row r="10" spans="1:17">
      <c r="A10">
        <f>'Purchased Power Model '!A153</f>
        <v>2006</v>
      </c>
      <c r="B10" s="6">
        <f>'Purchased Power Model '!B153</f>
        <v>86305341</v>
      </c>
      <c r="C10" s="6">
        <f>'Purchased Power Model '!N153</f>
        <v>86028268.656512722</v>
      </c>
      <c r="D10" s="37">
        <f t="shared" si="0"/>
        <v>-277072.34348727763</v>
      </c>
      <c r="E10" s="5">
        <f t="shared" si="1"/>
        <v>-3.210373080934558E-3</v>
      </c>
      <c r="F10" s="55">
        <f t="shared" si="2"/>
        <v>1.0455107878770022</v>
      </c>
      <c r="G10" s="69">
        <f t="shared" si="3"/>
        <v>82548494</v>
      </c>
      <c r="H10" s="39">
        <v>38674263</v>
      </c>
      <c r="I10" s="39">
        <v>15350875</v>
      </c>
      <c r="J10" s="39">
        <v>27269745</v>
      </c>
      <c r="K10" s="39">
        <v>1061383</v>
      </c>
      <c r="L10" s="39">
        <v>192228</v>
      </c>
      <c r="O10" s="25"/>
      <c r="P10" s="93"/>
      <c r="Q10" s="35"/>
    </row>
    <row r="11" spans="1:17">
      <c r="A11">
        <f>'Purchased Power Model '!A154</f>
        <v>2007</v>
      </c>
      <c r="B11" s="6">
        <f>'Purchased Power Model '!B154</f>
        <v>87693969</v>
      </c>
      <c r="C11" s="6">
        <f>'Purchased Power Model '!N154</f>
        <v>85086374.979876891</v>
      </c>
      <c r="D11" s="37">
        <f t="shared" si="0"/>
        <v>-2607594.0201231092</v>
      </c>
      <c r="E11" s="5">
        <f t="shared" si="1"/>
        <v>-2.973515795736317E-2</v>
      </c>
      <c r="F11" s="55">
        <f t="shared" si="2"/>
        <v>1.0433135284847692</v>
      </c>
      <c r="G11" s="69">
        <f t="shared" si="3"/>
        <v>84053323</v>
      </c>
      <c r="H11" s="39">
        <v>40986845</v>
      </c>
      <c r="I11" s="39">
        <v>15178972</v>
      </c>
      <c r="J11" s="39">
        <v>26441963</v>
      </c>
      <c r="K11" s="39">
        <v>1270115</v>
      </c>
      <c r="L11" s="39">
        <v>175428</v>
      </c>
      <c r="O11" s="25"/>
      <c r="P11" s="93"/>
      <c r="Q11" s="35"/>
    </row>
    <row r="12" spans="1:17">
      <c r="A12">
        <f>'Purchased Power Model '!A155</f>
        <v>2008</v>
      </c>
      <c r="B12" s="6">
        <f>'Purchased Power Model '!B155</f>
        <v>87543088</v>
      </c>
      <c r="C12" s="6">
        <f>'Purchased Power Model '!N155</f>
        <v>88159245.362066716</v>
      </c>
      <c r="D12" s="37">
        <f t="shared" si="0"/>
        <v>616157.36206671596</v>
      </c>
      <c r="E12" s="5">
        <f t="shared" si="1"/>
        <v>7.0383325073787202E-3</v>
      </c>
      <c r="F12" s="55">
        <f t="shared" si="2"/>
        <v>1.0554222787998413</v>
      </c>
      <c r="G12" s="69">
        <f t="shared" si="3"/>
        <v>82946030</v>
      </c>
      <c r="H12" s="39">
        <v>40872765</v>
      </c>
      <c r="I12" s="39">
        <v>15341926</v>
      </c>
      <c r="J12" s="39">
        <v>25476812</v>
      </c>
      <c r="K12" s="39">
        <v>1179263</v>
      </c>
      <c r="L12" s="39">
        <v>75264</v>
      </c>
      <c r="O12" s="25"/>
      <c r="P12" s="93"/>
      <c r="Q12" s="35"/>
    </row>
    <row r="13" spans="1:17">
      <c r="A13">
        <f>'Purchased Power Model '!A156</f>
        <v>2009</v>
      </c>
      <c r="B13" s="6">
        <f>'Purchased Power Model '!B156</f>
        <v>86145680</v>
      </c>
      <c r="C13" s="6">
        <f>'Purchased Power Model '!N156</f>
        <v>84678078.278901368</v>
      </c>
      <c r="D13" s="37">
        <f t="shared" si="0"/>
        <v>-1467601.7210986316</v>
      </c>
      <c r="E13" s="5">
        <f t="shared" si="1"/>
        <v>-1.7036277629924469E-2</v>
      </c>
      <c r="F13" s="55">
        <f t="shared" si="2"/>
        <v>1.0428086235821661</v>
      </c>
      <c r="G13" s="69">
        <f t="shared" si="3"/>
        <v>82609290</v>
      </c>
      <c r="H13" s="39">
        <v>40921847</v>
      </c>
      <c r="I13" s="39">
        <v>15681898</v>
      </c>
      <c r="J13" s="39">
        <v>24920577</v>
      </c>
      <c r="K13" s="39">
        <v>1014240</v>
      </c>
      <c r="L13" s="39">
        <v>70728</v>
      </c>
      <c r="O13" s="25"/>
      <c r="P13" s="93"/>
      <c r="Q13" s="35"/>
    </row>
    <row r="14" spans="1:17">
      <c r="A14">
        <f>'Purchased Power Model '!A157</f>
        <v>2010</v>
      </c>
      <c r="B14" s="6">
        <f>'Purchased Power Model '!B157</f>
        <v>84047771</v>
      </c>
      <c r="C14" s="6">
        <f>'Purchased Power Model '!N157</f>
        <v>83357806.718315616</v>
      </c>
      <c r="D14" s="37">
        <f t="shared" si="0"/>
        <v>-689964.28168438375</v>
      </c>
      <c r="E14" s="5">
        <f>D14/B14</f>
        <v>-8.2091919092581733E-3</v>
      </c>
      <c r="F14" s="55">
        <f t="shared" si="2"/>
        <v>1.0471687984810429</v>
      </c>
      <c r="G14" s="69">
        <f t="shared" si="3"/>
        <v>80261913</v>
      </c>
      <c r="H14" s="39">
        <v>38642702</v>
      </c>
      <c r="I14" s="39">
        <v>15009183</v>
      </c>
      <c r="J14" s="39">
        <v>25386687</v>
      </c>
      <c r="K14" s="39">
        <v>1158527</v>
      </c>
      <c r="L14" s="39">
        <v>64814</v>
      </c>
      <c r="O14" s="25"/>
      <c r="P14" s="93"/>
      <c r="Q14" s="35"/>
    </row>
    <row r="15" spans="1:17">
      <c r="A15">
        <f>'Purchased Power Model '!A158</f>
        <v>2011</v>
      </c>
      <c r="B15" s="6">
        <f>'Purchased Power Model '!B158</f>
        <v>83026301</v>
      </c>
      <c r="C15" s="6">
        <f>'Purchased Power Model '!N158</f>
        <v>86526769.674619079</v>
      </c>
      <c r="D15" s="37">
        <f t="shared" si="0"/>
        <v>3500468.6746190786</v>
      </c>
      <c r="E15" s="5">
        <f t="shared" si="1"/>
        <v>4.2160961435811509E-2</v>
      </c>
      <c r="F15" s="55">
        <f t="shared" si="2"/>
        <v>1.0388992442813074</v>
      </c>
      <c r="G15" s="69">
        <f t="shared" si="3"/>
        <v>79917568</v>
      </c>
      <c r="H15" s="39">
        <v>38681251</v>
      </c>
      <c r="I15" s="39">
        <v>15033140</v>
      </c>
      <c r="J15" s="39">
        <v>24978251</v>
      </c>
      <c r="K15" s="39">
        <v>1162298</v>
      </c>
      <c r="L15" s="39">
        <v>62628</v>
      </c>
      <c r="O15" s="25"/>
      <c r="P15" s="93"/>
      <c r="Q15" s="35"/>
    </row>
    <row r="16" spans="1:17">
      <c r="A16">
        <f>'Purchased Power Model '!A159</f>
        <v>2012</v>
      </c>
      <c r="B16" s="6">
        <f>'Purchased Power Model '!B159</f>
        <v>80138104</v>
      </c>
      <c r="C16" s="6">
        <f>'Purchased Power Model '!N159</f>
        <v>80138104</v>
      </c>
      <c r="D16" s="37">
        <f t="shared" si="0"/>
        <v>0</v>
      </c>
      <c r="E16" s="5">
        <f t="shared" si="1"/>
        <v>0</v>
      </c>
      <c r="F16" s="55">
        <f t="shared" si="2"/>
        <v>1.041080509684233</v>
      </c>
      <c r="G16" s="69">
        <f t="shared" si="3"/>
        <v>76975895</v>
      </c>
      <c r="H16" s="39">
        <v>37169840</v>
      </c>
      <c r="I16" s="39">
        <v>14736725</v>
      </c>
      <c r="J16" s="39">
        <v>23898102</v>
      </c>
      <c r="K16" s="39">
        <v>1108600</v>
      </c>
      <c r="L16" s="39">
        <v>62628</v>
      </c>
    </row>
    <row r="17" spans="1:12">
      <c r="A17">
        <f>'Purchased Power Model '!A160</f>
        <v>2013</v>
      </c>
      <c r="B17" s="6"/>
      <c r="C17" s="6">
        <f>'Purchased Power Model '!N160</f>
        <v>81839917.799358904</v>
      </c>
      <c r="G17" s="21">
        <f>C17/$F$21</f>
        <v>78269258.417903215</v>
      </c>
    </row>
    <row r="18" spans="1:12">
      <c r="A18">
        <f>'Purchased Power Model '!A161</f>
        <v>2014</v>
      </c>
      <c r="B18" s="6"/>
      <c r="C18" s="6">
        <f>'Purchased Power Model '!N161</f>
        <v>82927699.830487669</v>
      </c>
      <c r="D18" s="94"/>
      <c r="E18" s="94"/>
      <c r="F18" s="94"/>
      <c r="G18" s="21">
        <f>C18/$F$21</f>
        <v>79309580.734764531</v>
      </c>
    </row>
    <row r="19" spans="1:12">
      <c r="B19" s="6"/>
      <c r="C19" s="6"/>
      <c r="G19" s="27"/>
    </row>
    <row r="21" spans="1:12">
      <c r="A21" s="19" t="s">
        <v>13</v>
      </c>
      <c r="F21" s="55">
        <f>AVERAGE(F7:F16)</f>
        <v>1.0456202020260734</v>
      </c>
    </row>
    <row r="22" spans="1:12">
      <c r="E22"/>
      <c r="F22"/>
      <c r="G22"/>
    </row>
    <row r="24" spans="1:12">
      <c r="A24" s="22" t="s">
        <v>15</v>
      </c>
      <c r="B24" s="13"/>
      <c r="H24" s="27"/>
      <c r="I24" s="27"/>
      <c r="J24" s="27"/>
      <c r="K24" s="27"/>
    </row>
    <row r="25" spans="1:12">
      <c r="H25" s="27"/>
      <c r="I25" s="27"/>
      <c r="J25" s="27"/>
      <c r="K25" s="27"/>
    </row>
    <row r="26" spans="1:12">
      <c r="A26">
        <f t="shared" ref="A26:A37" si="4">A7</f>
        <v>2003</v>
      </c>
      <c r="H26" s="27">
        <f>H7/'Rate Class Customer Model'!B3</f>
        <v>11306.581415929204</v>
      </c>
      <c r="I26" s="27">
        <f>I7/'Rate Class Customer Model'!C3</f>
        <v>49051.263713080167</v>
      </c>
      <c r="J26" s="27">
        <f>J7/'Rate Class Customer Model'!D3</f>
        <v>417004.02500000002</v>
      </c>
      <c r="K26" s="27">
        <f>K7/'Rate Class Customer Model'!E3</f>
        <v>1085.9840954274355</v>
      </c>
      <c r="L26" s="27">
        <f>L7/'Rate Class Customer Model'!F3</f>
        <v>24028.5</v>
      </c>
    </row>
    <row r="27" spans="1:12">
      <c r="A27">
        <f t="shared" si="4"/>
        <v>2004</v>
      </c>
      <c r="H27" s="27">
        <f>H8/'Rate Class Customer Model'!B4</f>
        <v>11351.167503692763</v>
      </c>
      <c r="I27" s="27">
        <f>I8/'Rate Class Customer Model'!C4</f>
        <v>44323.134020618556</v>
      </c>
      <c r="J27" s="27">
        <f>J8/'Rate Class Customer Model'!D4</f>
        <v>476054.02325581393</v>
      </c>
      <c r="K27" s="27">
        <f>K8/'Rate Class Customer Model'!E4</f>
        <v>1321.145129224652</v>
      </c>
      <c r="L27" s="27">
        <f>L8/'Rate Class Customer Model'!F4</f>
        <v>24028.5</v>
      </c>
    </row>
    <row r="28" spans="1:12">
      <c r="A28">
        <f t="shared" si="4"/>
        <v>2005</v>
      </c>
      <c r="H28" s="27">
        <f>H9/'Rate Class Customer Model'!B5</f>
        <v>11430.713657678782</v>
      </c>
      <c r="I28" s="27">
        <f>I9/'Rate Class Customer Model'!C5</f>
        <v>37102.764044943819</v>
      </c>
      <c r="J28" s="27">
        <f>J9/'Rate Class Customer Model'!D5</f>
        <v>571886.46808510635</v>
      </c>
      <c r="K28" s="27">
        <f>K9/'Rate Class Customer Model'!E5</f>
        <v>1204.2395626242544</v>
      </c>
      <c r="L28" s="27">
        <f>L9/'Rate Class Customer Model'!F5</f>
        <v>24028.5</v>
      </c>
    </row>
    <row r="29" spans="1:12">
      <c r="A29">
        <f t="shared" si="4"/>
        <v>2006</v>
      </c>
      <c r="H29" s="27">
        <f>H10/'Rate Class Customer Model'!B6</f>
        <v>11442.089644970414</v>
      </c>
      <c r="I29" s="27">
        <f>I10/'Rate Class Customer Model'!C6</f>
        <v>35127.860411899317</v>
      </c>
      <c r="J29" s="27">
        <f>J10/'Rate Class Customer Model'!D6</f>
        <v>580207.34042553196</v>
      </c>
      <c r="K29" s="27">
        <f>K10/'Rate Class Customer Model'!E6</f>
        <v>1055.0526838966202</v>
      </c>
      <c r="L29" s="27">
        <f>L10/'Rate Class Customer Model'!F6</f>
        <v>24028.5</v>
      </c>
    </row>
    <row r="30" spans="1:12">
      <c r="A30">
        <f t="shared" si="4"/>
        <v>2007</v>
      </c>
      <c r="H30" s="27">
        <f>H11/'Rate Class Customer Model'!B7</f>
        <v>12300.973889555822</v>
      </c>
      <c r="I30" s="27">
        <f>I11/'Rate Class Customer Model'!C7</f>
        <v>34655.187214611869</v>
      </c>
      <c r="J30" s="27">
        <f>J11/'Rate Class Customer Model'!D7</f>
        <v>562594.95744680846</v>
      </c>
      <c r="K30" s="27">
        <f>K11/'Rate Class Customer Model'!E7</f>
        <v>1262.5397614314115</v>
      </c>
      <c r="L30" s="27">
        <f>L11/'Rate Class Customer Model'!F7</f>
        <v>25061.142857142859</v>
      </c>
    </row>
    <row r="31" spans="1:12">
      <c r="A31">
        <f t="shared" si="4"/>
        <v>2008</v>
      </c>
      <c r="H31" s="27">
        <f>H12/'Rate Class Customer Model'!B8</f>
        <v>12366.94856278366</v>
      </c>
      <c r="I31" s="27">
        <f>I12/'Rate Class Customer Model'!C8</f>
        <v>36013.910798122066</v>
      </c>
      <c r="J31" s="27">
        <f>J12/'Rate Class Customer Model'!D8</f>
        <v>519934.93877551018</v>
      </c>
      <c r="K31" s="27">
        <f>K12/'Rate Class Customer Model'!E8</f>
        <v>1172.2296222664015</v>
      </c>
      <c r="L31" s="27">
        <f>L12/'Rate Class Customer Model'!F8</f>
        <v>12544</v>
      </c>
    </row>
    <row r="32" spans="1:12">
      <c r="A32">
        <f t="shared" si="4"/>
        <v>2009</v>
      </c>
      <c r="H32" s="27">
        <f>H13/'Rate Class Customer Model'!B9</f>
        <v>12366.831973405862</v>
      </c>
      <c r="I32" s="27">
        <f>I13/'Rate Class Customer Model'!C9</f>
        <v>37516.502392344497</v>
      </c>
      <c r="J32" s="27">
        <f>J13/'Rate Class Customer Model'!D9</f>
        <v>530225.04255319154</v>
      </c>
      <c r="K32" s="27">
        <f>K13/'Rate Class Customer Model'!E9</f>
        <v>1008.1908548707753</v>
      </c>
      <c r="L32" s="27">
        <f>L13/'Rate Class Customer Model'!F9</f>
        <v>11788</v>
      </c>
    </row>
    <row r="33" spans="1:22">
      <c r="A33">
        <f t="shared" si="4"/>
        <v>2010</v>
      </c>
      <c r="H33" s="27">
        <f>H14/'Rate Class Customer Model'!B10</f>
        <v>11685.123072270941</v>
      </c>
      <c r="I33" s="27">
        <f>I14/'Rate Class Customer Model'!C10</f>
        <v>35821.439140811453</v>
      </c>
      <c r="J33" s="27">
        <f>J14/'Rate Class Customer Model'!D10</f>
        <v>497778.17647058825</v>
      </c>
      <c r="K33" s="27">
        <f>K14/'Rate Class Customer Model'!E10</f>
        <v>1151.617296222664</v>
      </c>
      <c r="L33" s="27">
        <f>L14/'Rate Class Customer Model'!F10</f>
        <v>10802.333333333334</v>
      </c>
    </row>
    <row r="34" spans="1:22">
      <c r="A34">
        <f t="shared" si="4"/>
        <v>2011</v>
      </c>
      <c r="H34" s="27">
        <f>H15/'Rate Class Customer Model'!B11</f>
        <v>11693.243954050786</v>
      </c>
      <c r="I34" s="27">
        <f>I15/'Rate Class Customer Model'!C11</f>
        <v>35708.171021377675</v>
      </c>
      <c r="J34" s="27">
        <f>J15/'Rate Class Customer Model'!D11</f>
        <v>543005.45652173914</v>
      </c>
      <c r="K34" s="27">
        <f>K15/'Rate Class Customer Model'!E11</f>
        <v>1155.3658051689861</v>
      </c>
      <c r="L34" s="27">
        <f>L15/'Rate Class Customer Model'!F11</f>
        <v>10438</v>
      </c>
    </row>
    <row r="35" spans="1:22">
      <c r="A35">
        <f t="shared" si="4"/>
        <v>2012</v>
      </c>
      <c r="H35" s="27">
        <f>H16/'Rate Class Customer Model'!B12</f>
        <v>11236.348246674728</v>
      </c>
      <c r="I35" s="27">
        <f>I16/'Rate Class Customer Model'!C12</f>
        <v>35339.86810551559</v>
      </c>
      <c r="J35" s="27">
        <f>J16/'Rate Class Customer Model'!D12</f>
        <v>519523.95652173914</v>
      </c>
      <c r="K35" s="27">
        <f>K16/'Rate Class Customer Model'!E12</f>
        <v>1101.9880715705765</v>
      </c>
      <c r="L35" s="27">
        <f>L16/'Rate Class Customer Model'!F12</f>
        <v>10438</v>
      </c>
    </row>
    <row r="36" spans="1:22">
      <c r="A36">
        <f t="shared" si="4"/>
        <v>2013</v>
      </c>
      <c r="H36" s="21">
        <f>H35*H49</f>
        <v>11228.571541027688</v>
      </c>
      <c r="I36" s="21">
        <f>I35*I49</f>
        <v>34075.664845945699</v>
      </c>
      <c r="J36" s="21">
        <f>J35*J49</f>
        <v>532369.0973124943</v>
      </c>
      <c r="K36" s="21">
        <f>K35*K49</f>
        <v>1101.9880715705765</v>
      </c>
      <c r="L36" s="21">
        <f>L35*L49</f>
        <v>9514.4331339626897</v>
      </c>
    </row>
    <row r="37" spans="1:22">
      <c r="A37">
        <f t="shared" si="4"/>
        <v>2014</v>
      </c>
      <c r="B37" s="94"/>
      <c r="C37" s="94"/>
      <c r="D37" s="94"/>
      <c r="E37" s="94"/>
      <c r="F37" s="94"/>
      <c r="H37" s="21">
        <f>H36*H49</f>
        <v>11220.800217658714</v>
      </c>
      <c r="I37" s="21">
        <f>I36*I49</f>
        <v>32856.685577499244</v>
      </c>
      <c r="J37" s="21">
        <f>J36*J49</f>
        <v>545531.83200794447</v>
      </c>
      <c r="K37" s="21">
        <f>K36*K49</f>
        <v>1101.9880715705765</v>
      </c>
      <c r="L37" s="21">
        <f>L36*L49</f>
        <v>8672.5845813994147</v>
      </c>
    </row>
    <row r="39" spans="1:22">
      <c r="A39" s="38">
        <v>2004</v>
      </c>
      <c r="D39" s="6"/>
      <c r="H39" s="25">
        <f t="shared" ref="H39:L47" si="5">H27/H26</f>
        <v>1.0039433747587705</v>
      </c>
      <c r="I39" s="25">
        <f t="shared" si="5"/>
        <v>0.90360840201552661</v>
      </c>
      <c r="J39" s="25">
        <f t="shared" si="5"/>
        <v>1.1416053436314286</v>
      </c>
      <c r="K39" s="25">
        <f t="shared" si="5"/>
        <v>1.2165418764302058</v>
      </c>
      <c r="L39" s="25">
        <f t="shared" si="5"/>
        <v>1</v>
      </c>
      <c r="N39" s="87"/>
      <c r="O39" s="87"/>
      <c r="P39" s="87"/>
      <c r="Q39" s="87"/>
      <c r="R39" s="87"/>
      <c r="S39" s="87"/>
      <c r="T39" s="87"/>
      <c r="U39" s="87"/>
      <c r="V39" s="87"/>
    </row>
    <row r="40" spans="1:22">
      <c r="A40" s="38">
        <v>2005</v>
      </c>
      <c r="D40" s="6"/>
      <c r="H40" s="25">
        <f t="shared" si="5"/>
        <v>1.0070077508732156</v>
      </c>
      <c r="I40" s="25">
        <f t="shared" si="5"/>
        <v>0.83709703442189098</v>
      </c>
      <c r="J40" s="25">
        <f t="shared" si="5"/>
        <v>1.2013058185578984</v>
      </c>
      <c r="K40" s="25">
        <f t="shared" si="5"/>
        <v>0.91151194216716624</v>
      </c>
      <c r="L40" s="25">
        <f t="shared" si="5"/>
        <v>1</v>
      </c>
      <c r="N40" s="87"/>
      <c r="O40" s="87"/>
      <c r="P40" s="87"/>
      <c r="Q40" s="87"/>
      <c r="R40" s="87"/>
      <c r="S40" s="87"/>
      <c r="T40" s="87"/>
      <c r="U40" s="87"/>
      <c r="V40" s="87"/>
    </row>
    <row r="41" spans="1:22">
      <c r="A41" s="38">
        <v>2006</v>
      </c>
      <c r="D41" s="6"/>
      <c r="H41" s="25">
        <f t="shared" si="5"/>
        <v>1.000995212340394</v>
      </c>
      <c r="I41" s="25">
        <f t="shared" si="5"/>
        <v>0.94677206176196915</v>
      </c>
      <c r="J41" s="25">
        <f t="shared" si="5"/>
        <v>1.014549867508296</v>
      </c>
      <c r="K41" s="25">
        <f t="shared" si="5"/>
        <v>0.87611528191074439</v>
      </c>
      <c r="L41" s="25">
        <f t="shared" si="5"/>
        <v>1</v>
      </c>
      <c r="N41" s="87"/>
      <c r="O41" s="87"/>
      <c r="P41" s="87"/>
      <c r="Q41" s="87"/>
      <c r="R41" s="87"/>
      <c r="S41" s="87"/>
      <c r="T41" s="87"/>
      <c r="U41" s="87"/>
      <c r="V41" s="87"/>
    </row>
    <row r="42" spans="1:22">
      <c r="A42" s="38">
        <v>2007</v>
      </c>
      <c r="D42" s="6"/>
      <c r="H42" s="25">
        <f t="shared" si="5"/>
        <v>1.0750635828974602</v>
      </c>
      <c r="I42" s="25">
        <f t="shared" si="5"/>
        <v>0.98654420759633477</v>
      </c>
      <c r="J42" s="25">
        <f t="shared" si="5"/>
        <v>0.96964467397843268</v>
      </c>
      <c r="K42" s="25">
        <f t="shared" si="5"/>
        <v>1.1966603949752352</v>
      </c>
      <c r="L42" s="25">
        <f t="shared" si="5"/>
        <v>1.0429757520087755</v>
      </c>
      <c r="N42" s="87"/>
      <c r="O42" s="87"/>
      <c r="P42" s="87"/>
      <c r="Q42" s="87"/>
      <c r="R42" s="87"/>
      <c r="S42" s="87"/>
      <c r="T42" s="87"/>
      <c r="U42" s="87"/>
      <c r="V42" s="87"/>
    </row>
    <row r="43" spans="1:22">
      <c r="A43" s="38">
        <v>2008</v>
      </c>
      <c r="D43" s="6"/>
      <c r="H43" s="25">
        <f t="shared" si="5"/>
        <v>1.0053633699103983</v>
      </c>
      <c r="I43" s="25">
        <f t="shared" si="5"/>
        <v>1.039206932431094</v>
      </c>
      <c r="J43" s="25">
        <f t="shared" si="5"/>
        <v>0.92417276744729504</v>
      </c>
      <c r="K43" s="25">
        <f t="shared" si="5"/>
        <v>0.92846946930002394</v>
      </c>
      <c r="L43" s="25">
        <f t="shared" si="5"/>
        <v>0.50053583236427479</v>
      </c>
      <c r="N43" s="87"/>
      <c r="O43" s="87"/>
      <c r="P43" s="87"/>
      <c r="Q43" s="87"/>
      <c r="R43" s="87"/>
      <c r="S43" s="87"/>
      <c r="T43" s="87"/>
      <c r="U43" s="87"/>
      <c r="V43" s="87"/>
    </row>
    <row r="44" spans="1:22">
      <c r="A44" s="38">
        <v>2009</v>
      </c>
      <c r="D44" s="6"/>
      <c r="H44" s="25">
        <f t="shared" si="5"/>
        <v>0.99999057250240786</v>
      </c>
      <c r="I44" s="25">
        <f t="shared" si="5"/>
        <v>1.041722533346775</v>
      </c>
      <c r="J44" s="25">
        <f t="shared" si="5"/>
        <v>1.0197911373332891</v>
      </c>
      <c r="K44" s="25">
        <f t="shared" si="5"/>
        <v>0.86006259841952137</v>
      </c>
      <c r="L44" s="25">
        <f t="shared" si="5"/>
        <v>0.9397321428571429</v>
      </c>
      <c r="N44" s="87"/>
      <c r="O44" s="87"/>
      <c r="P44" s="87"/>
      <c r="Q44" s="87"/>
      <c r="R44" s="87"/>
      <c r="S44" s="87"/>
      <c r="T44" s="87"/>
      <c r="U44" s="87"/>
      <c r="V44" s="87"/>
    </row>
    <row r="45" spans="1:22">
      <c r="A45" s="38">
        <v>2010</v>
      </c>
      <c r="D45" s="6"/>
      <c r="H45" s="25">
        <f t="shared" si="5"/>
        <v>0.9448760278621966</v>
      </c>
      <c r="I45" s="25">
        <f t="shared" si="5"/>
        <v>0.95481819616854979</v>
      </c>
      <c r="J45" s="25">
        <f t="shared" si="5"/>
        <v>0.93880548167555056</v>
      </c>
      <c r="K45" s="25">
        <f t="shared" si="5"/>
        <v>1.1422612005048116</v>
      </c>
      <c r="L45" s="25">
        <f t="shared" si="5"/>
        <v>0.91638389322474834</v>
      </c>
      <c r="N45" s="87"/>
      <c r="O45" s="87"/>
      <c r="P45" s="87"/>
      <c r="Q45" s="87"/>
      <c r="R45" s="87"/>
      <c r="S45" s="87"/>
      <c r="T45" s="87"/>
      <c r="U45" s="87"/>
      <c r="V45" s="87"/>
    </row>
    <row r="46" spans="1:22">
      <c r="A46" s="38">
        <v>2011</v>
      </c>
      <c r="D46" s="6"/>
      <c r="H46" s="25">
        <f t="shared" si="5"/>
        <v>1.0006949761444204</v>
      </c>
      <c r="I46" s="25">
        <f t="shared" si="5"/>
        <v>0.99683797965267307</v>
      </c>
      <c r="J46" s="25">
        <f t="shared" si="5"/>
        <v>1.0908583023302212</v>
      </c>
      <c r="K46" s="25">
        <f t="shared" si="5"/>
        <v>1.0032549953518564</v>
      </c>
      <c r="L46" s="25">
        <f t="shared" si="5"/>
        <v>0.96627271885703703</v>
      </c>
      <c r="N46" s="87"/>
      <c r="O46" s="87"/>
      <c r="P46" s="87"/>
      <c r="Q46" s="87"/>
      <c r="R46" s="87"/>
      <c r="S46" s="87"/>
      <c r="T46" s="87"/>
      <c r="U46" s="87"/>
      <c r="V46" s="87"/>
    </row>
    <row r="47" spans="1:22">
      <c r="A47" s="38">
        <v>2012</v>
      </c>
      <c r="B47" s="94"/>
      <c r="C47" s="94"/>
      <c r="D47" s="6"/>
      <c r="E47" s="94"/>
      <c r="F47" s="94"/>
      <c r="H47" s="25">
        <f t="shared" si="5"/>
        <v>0.9609265222575144</v>
      </c>
      <c r="I47" s="25">
        <f t="shared" si="5"/>
        <v>0.98968575243908208</v>
      </c>
      <c r="J47" s="25">
        <f t="shared" si="5"/>
        <v>0.95675641981498227</v>
      </c>
      <c r="K47" s="25">
        <f t="shared" si="5"/>
        <v>0.95380014419709913</v>
      </c>
      <c r="L47" s="25">
        <f t="shared" si="5"/>
        <v>1</v>
      </c>
      <c r="N47" s="87"/>
      <c r="O47" s="87"/>
      <c r="P47" s="87"/>
      <c r="Q47" s="87"/>
      <c r="R47" s="87"/>
      <c r="S47" s="87"/>
      <c r="T47" s="87"/>
      <c r="U47" s="87"/>
      <c r="V47" s="87"/>
    </row>
    <row r="48" spans="1:22">
      <c r="A48" s="3"/>
      <c r="D48" s="6"/>
      <c r="E48" s="6"/>
      <c r="F48" s="6"/>
    </row>
    <row r="49" spans="1:22">
      <c r="A49" t="s">
        <v>17</v>
      </c>
      <c r="D49" s="6"/>
      <c r="H49" s="146">
        <f t="shared" ref="H49:J49" si="6">H51</f>
        <v>0.99930789741681936</v>
      </c>
      <c r="I49" s="146">
        <f t="shared" si="6"/>
        <v>0.96422727850043721</v>
      </c>
      <c r="J49" s="146">
        <f t="shared" si="6"/>
        <v>1.0247248286234085</v>
      </c>
      <c r="K49" s="146">
        <v>1</v>
      </c>
      <c r="L49" s="146">
        <f>L51</f>
        <v>0.91151879037772465</v>
      </c>
    </row>
    <row r="50" spans="1:22">
      <c r="A50" s="3"/>
      <c r="D50" s="6"/>
      <c r="H50" s="13"/>
      <c r="I50" s="13"/>
      <c r="K50" s="11"/>
      <c r="L50" s="11"/>
    </row>
    <row r="51" spans="1:22">
      <c r="A51" t="s">
        <v>14</v>
      </c>
      <c r="D51" s="6"/>
      <c r="H51" s="25">
        <f>GEOMEAN(H39:H47)</f>
        <v>0.99930789741681936</v>
      </c>
      <c r="I51" s="25">
        <f>GEOMEAN(I39:I47)</f>
        <v>0.96422727850043721</v>
      </c>
      <c r="J51" s="25">
        <f>GEOMEAN(J39:J47)</f>
        <v>1.0247248286234085</v>
      </c>
      <c r="K51" s="25">
        <f>GEOMEAN(K39:K47)</f>
        <v>1.0016268006975668</v>
      </c>
      <c r="L51" s="25">
        <f>GEOMEAN(L39:L47)</f>
        <v>0.91151879037772465</v>
      </c>
      <c r="N51" s="87"/>
      <c r="O51" s="87"/>
      <c r="P51" s="87"/>
      <c r="Q51" s="87"/>
      <c r="R51" s="87"/>
      <c r="S51" s="87"/>
      <c r="T51" s="87"/>
      <c r="U51" s="87"/>
      <c r="V51" s="87"/>
    </row>
    <row r="52" spans="1:22">
      <c r="D52" s="6"/>
      <c r="H52" s="25"/>
      <c r="I52" s="25"/>
      <c r="J52" s="25"/>
      <c r="K52" s="25"/>
      <c r="L52" s="25"/>
    </row>
    <row r="53" spans="1:22">
      <c r="A53" s="19" t="s">
        <v>44</v>
      </c>
    </row>
    <row r="54" spans="1:22">
      <c r="A54">
        <v>2013</v>
      </c>
      <c r="B54"/>
      <c r="C54"/>
      <c r="D54"/>
      <c r="G54" s="37">
        <f>SUM(H54:L54)</f>
        <v>77088026.524501309</v>
      </c>
      <c r="H54" s="37">
        <f>H36*'Rate Class Customer Model'!B13</f>
        <v>37043194.65575175</v>
      </c>
      <c r="I54" s="37">
        <f>I36*'Rate Class Customer Model'!C13</f>
        <v>14008702.64086083</v>
      </c>
      <c r="J54" s="37">
        <f>J36*'Rate Class Customer Model'!D13</f>
        <v>24872238.528073639</v>
      </c>
      <c r="K54" s="37">
        <f>K36*'Rate Class Customer Model'!E13</f>
        <v>1108600</v>
      </c>
      <c r="L54" s="37">
        <f>L36*'Rate Class Customer Model'!F13</f>
        <v>55290.699815099812</v>
      </c>
    </row>
    <row r="55" spans="1:22">
      <c r="A55">
        <v>2014</v>
      </c>
      <c r="B55" s="94"/>
      <c r="C55" s="94"/>
      <c r="D55" s="94"/>
      <c r="E55" s="94"/>
      <c r="F55" s="94"/>
      <c r="G55" s="37">
        <f>SUM(H55:L55)</f>
        <v>77277122.704459265</v>
      </c>
      <c r="H55" s="37">
        <f>H37*'Rate Class Customer Model'!B14</f>
        <v>36916980.818424694</v>
      </c>
      <c r="I55" s="37">
        <f>I37*'Rate Class Customer Model'!C14</f>
        <v>13316645.976637358</v>
      </c>
      <c r="J55" s="37">
        <f>J37*'Rate Class Customer Model'!D14</f>
        <v>25886082.894674681</v>
      </c>
      <c r="K55" s="37">
        <f>K37*'Rate Class Customer Model'!E14</f>
        <v>1108600</v>
      </c>
      <c r="L55" s="37">
        <f>L37*'Rate Class Customer Model'!F14</f>
        <v>48813.014722543878</v>
      </c>
    </row>
    <row r="56" spans="1:22">
      <c r="G56" s="37"/>
      <c r="H56" s="37"/>
      <c r="I56" s="37"/>
      <c r="J56" s="37"/>
      <c r="K56" s="37"/>
      <c r="L56" s="37"/>
    </row>
    <row r="57" spans="1:22">
      <c r="A57" s="19" t="s">
        <v>43</v>
      </c>
      <c r="G57" s="37"/>
      <c r="H57" s="37"/>
      <c r="I57" s="37"/>
      <c r="J57" s="37"/>
      <c r="K57" s="37"/>
      <c r="M57" s="37" t="s">
        <v>16</v>
      </c>
    </row>
    <row r="58" spans="1:22">
      <c r="A58">
        <v>2013</v>
      </c>
      <c r="G58" s="59">
        <f>G17</f>
        <v>78269258.417903215</v>
      </c>
      <c r="H58" s="37">
        <f t="shared" ref="H58:L59" si="7">H54+H67+H71</f>
        <v>37551665.490077734</v>
      </c>
      <c r="I58" s="37">
        <f t="shared" si="7"/>
        <v>14200992.123067169</v>
      </c>
      <c r="J58" s="37">
        <f t="shared" si="7"/>
        <v>25160586.681349851</v>
      </c>
      <c r="K58" s="37">
        <f t="shared" si="7"/>
        <v>765211.14999999991</v>
      </c>
      <c r="L58" s="37">
        <f t="shared" si="7"/>
        <v>55150.788594168975</v>
      </c>
      <c r="M58" s="37">
        <f>SUM(H58:L58)</f>
        <v>77733606.233088925</v>
      </c>
      <c r="N58" s="37">
        <f>M58-G58</f>
        <v>-535652.18481428921</v>
      </c>
    </row>
    <row r="59" spans="1:22">
      <c r="A59">
        <v>2014</v>
      </c>
      <c r="B59" s="94"/>
      <c r="C59" s="94"/>
      <c r="D59" s="94"/>
      <c r="E59" s="94"/>
      <c r="F59" s="94"/>
      <c r="G59" s="59">
        <f>G18</f>
        <v>79309580.734764531</v>
      </c>
      <c r="H59" s="37">
        <f t="shared" si="7"/>
        <v>37751517.669869661</v>
      </c>
      <c r="I59" s="37">
        <f t="shared" si="7"/>
        <v>13617679.039438739</v>
      </c>
      <c r="J59" s="37">
        <f t="shared" si="7"/>
        <v>26376323.625608891</v>
      </c>
      <c r="K59" s="37">
        <f t="shared" si="7"/>
        <v>366946.6</v>
      </c>
      <c r="L59" s="37">
        <f t="shared" si="7"/>
        <v>48552.245404349109</v>
      </c>
      <c r="M59" s="37">
        <f>SUM(H59:L59)</f>
        <v>78161019.180321634</v>
      </c>
      <c r="N59" s="37">
        <f>M59-G59</f>
        <v>-1148561.5544428974</v>
      </c>
    </row>
    <row r="60" spans="1:22" ht="13.5" thickBot="1">
      <c r="B60" s="94"/>
      <c r="C60" s="94"/>
      <c r="D60" s="94"/>
      <c r="E60" s="94"/>
      <c r="F60" s="94"/>
      <c r="G60" s="59"/>
      <c r="H60" s="37"/>
      <c r="I60" s="37"/>
      <c r="J60" s="37"/>
      <c r="K60" s="37"/>
      <c r="L60" s="37"/>
      <c r="M60" s="37"/>
      <c r="N60" s="37"/>
    </row>
    <row r="61" spans="1:22" ht="13.5" thickBot="1">
      <c r="G61" s="37"/>
      <c r="H61" s="189" t="s">
        <v>133</v>
      </c>
      <c r="I61" s="190"/>
      <c r="J61" s="190"/>
      <c r="K61" s="190"/>
      <c r="L61" s="191"/>
      <c r="M61" s="37"/>
    </row>
    <row r="62" spans="1:22">
      <c r="A62" s="54" t="s">
        <v>45</v>
      </c>
      <c r="G62" s="37"/>
      <c r="H62" s="60">
        <f>(100%+J62)/2</f>
        <v>0.88400000000000001</v>
      </c>
      <c r="I62" s="60">
        <f>H62</f>
        <v>0.88400000000000001</v>
      </c>
      <c r="J62" s="60">
        <v>0.76800000000000002</v>
      </c>
      <c r="K62" s="60"/>
      <c r="L62" s="60"/>
      <c r="M62" s="37" t="s">
        <v>16</v>
      </c>
    </row>
    <row r="63" spans="1:22">
      <c r="A63">
        <v>2013</v>
      </c>
      <c r="G63" s="37">
        <f>G58-G54</f>
        <v>1181231.8934019059</v>
      </c>
      <c r="H63" s="37">
        <f t="shared" ref="H63:L63" si="8">H54*H62</f>
        <v>32746184.075684547</v>
      </c>
      <c r="I63" s="37">
        <f t="shared" si="8"/>
        <v>12383693.134520974</v>
      </c>
      <c r="J63" s="37">
        <f t="shared" si="8"/>
        <v>19101879.189560555</v>
      </c>
      <c r="K63" s="37">
        <f t="shared" si="8"/>
        <v>0</v>
      </c>
      <c r="L63" s="37">
        <f t="shared" si="8"/>
        <v>0</v>
      </c>
      <c r="M63" s="37">
        <f>SUM(H63:L63)</f>
        <v>64231756.39976608</v>
      </c>
    </row>
    <row r="64" spans="1:22">
      <c r="A64">
        <v>2014</v>
      </c>
      <c r="B64" s="94"/>
      <c r="C64" s="94"/>
      <c r="D64" s="94"/>
      <c r="E64" s="94"/>
      <c r="F64" s="94"/>
      <c r="G64" s="37">
        <f>G59-G55</f>
        <v>2032458.0303052664</v>
      </c>
      <c r="H64" s="37">
        <f>H55*H62</f>
        <v>32634611.04348743</v>
      </c>
      <c r="I64" s="37">
        <f t="shared" ref="I64:L64" si="9">I55*I62</f>
        <v>11771915.043347424</v>
      </c>
      <c r="J64" s="37">
        <f t="shared" si="9"/>
        <v>19880511.663110156</v>
      </c>
      <c r="K64" s="37">
        <f t="shared" si="9"/>
        <v>0</v>
      </c>
      <c r="L64" s="37">
        <f t="shared" si="9"/>
        <v>0</v>
      </c>
      <c r="M64" s="37">
        <f>SUM(H64:L64)</f>
        <v>64287037.749945015</v>
      </c>
    </row>
    <row r="65" spans="1:17" ht="12" customHeight="1">
      <c r="G65" s="37"/>
      <c r="H65" s="37"/>
      <c r="I65" s="37"/>
      <c r="J65" s="37"/>
      <c r="K65" s="37"/>
      <c r="M65" s="37"/>
    </row>
    <row r="66" spans="1:17">
      <c r="A66" t="s">
        <v>46</v>
      </c>
      <c r="G66" s="37"/>
      <c r="H66" s="37"/>
      <c r="I66" s="37"/>
      <c r="J66" s="37"/>
      <c r="K66" s="37"/>
      <c r="M66" s="37"/>
    </row>
    <row r="67" spans="1:17">
      <c r="A67">
        <v>2013</v>
      </c>
      <c r="B67"/>
      <c r="C67"/>
      <c r="D67"/>
      <c r="E67"/>
      <c r="H67" s="37">
        <f>H63/$M$63*$G$63</f>
        <v>602207.36883896054</v>
      </c>
      <c r="I67" s="37">
        <f>I63/$M$63*$G$63</f>
        <v>227738.02412558137</v>
      </c>
      <c r="J67" s="37">
        <f>J63/$M$63*$G$63</f>
        <v>351286.50043736387</v>
      </c>
      <c r="K67" s="37">
        <f>K63/$M$63*$G$63</f>
        <v>0</v>
      </c>
      <c r="L67" s="37">
        <f>L63/$M$63*$G$63</f>
        <v>0</v>
      </c>
      <c r="M67" s="37">
        <f>SUM(H67:L67)</f>
        <v>1181231.8934019059</v>
      </c>
    </row>
    <row r="68" spans="1:17">
      <c r="A68">
        <v>2014</v>
      </c>
      <c r="B68" s="94"/>
      <c r="C68" s="94"/>
      <c r="D68" s="94"/>
      <c r="E68" s="94"/>
      <c r="F68" s="94"/>
      <c r="H68" s="37">
        <f>H64/$M$64*$G$64</f>
        <v>1031755.0722934295</v>
      </c>
      <c r="I68" s="37">
        <f>I64/$M$64*$G$64</f>
        <v>372173.36650331662</v>
      </c>
      <c r="J68" s="37">
        <f>J64/$M$64*$G$64</f>
        <v>628529.59150851995</v>
      </c>
      <c r="K68" s="37">
        <f>K64/$M$64*$G$64</f>
        <v>0</v>
      </c>
      <c r="L68" s="37">
        <f>L64/$M$64*$G$64</f>
        <v>0</v>
      </c>
      <c r="M68" s="37">
        <f>SUM(H68:L68)</f>
        <v>2032458.0303052659</v>
      </c>
    </row>
    <row r="69" spans="1:17" ht="13.5" thickBot="1"/>
    <row r="70" spans="1:17" ht="13.5" thickBot="1">
      <c r="A70" t="s">
        <v>99</v>
      </c>
      <c r="G70" s="186" t="s">
        <v>146</v>
      </c>
      <c r="H70" s="187"/>
      <c r="I70" s="187"/>
      <c r="J70" s="187"/>
      <c r="K70" s="187"/>
      <c r="L70" s="187"/>
      <c r="M70" s="188"/>
      <c r="Q70"/>
    </row>
    <row r="71" spans="1:17">
      <c r="A71">
        <v>2013</v>
      </c>
      <c r="E71" s="37"/>
      <c r="F71" s="37"/>
      <c r="G71" s="37">
        <f>-('CDM Activity'!O13*0.5+'CDM Activity'!O14*0.5)</f>
        <v>-535652.18481430062</v>
      </c>
      <c r="H71" s="37">
        <f>H54/($G$54-$K$54)*($G$71-$K$71)</f>
        <v>-93736.534512976883</v>
      </c>
      <c r="I71" s="37">
        <f t="shared" ref="I71:L71" si="10">I54/($G$54-$K$54)*($G$71-$K$71)</f>
        <v>-35448.541919242663</v>
      </c>
      <c r="J71" s="37">
        <f t="shared" si="10"/>
        <v>-62938.347161150225</v>
      </c>
      <c r="K71" s="37">
        <f>-K54*0.669*1/12 -K54*0.508*6/12</f>
        <v>-343388.85000000003</v>
      </c>
      <c r="L71" s="37">
        <f t="shared" si="10"/>
        <v>-139.91122093083337</v>
      </c>
      <c r="M71" s="37">
        <f>SUM(H71:L71)</f>
        <v>-535652.18481430074</v>
      </c>
      <c r="Q71"/>
    </row>
    <row r="72" spans="1:17">
      <c r="A72">
        <v>2014</v>
      </c>
      <c r="G72" s="37">
        <f>-('CDM Activity'!P13*0.5+'CDM Activity'!P14+'CDM Activity'!P15*0.5)</f>
        <v>-1148561.5544429021</v>
      </c>
      <c r="H72" s="37">
        <f>H55/($G$55-$K$55)*($G$72-$K$72)</f>
        <v>-197218.22084846292</v>
      </c>
      <c r="I72" s="37">
        <f t="shared" ref="I72:L72" si="11">I55/($G$55-$K$55)*($G$72-$K$72)</f>
        <v>-71140.30370193554</v>
      </c>
      <c r="J72" s="37">
        <f t="shared" si="11"/>
        <v>-138288.86057430893</v>
      </c>
      <c r="K72" s="37">
        <f>-K55*0.669</f>
        <v>-741653.4</v>
      </c>
      <c r="L72" s="37">
        <f t="shared" si="11"/>
        <v>-260.76931819476783</v>
      </c>
      <c r="M72" s="37">
        <f>SUM(H72:L72)</f>
        <v>-1148561.5544429023</v>
      </c>
      <c r="Q72"/>
    </row>
    <row r="74" spans="1:17">
      <c r="G74" s="192" t="s">
        <v>150</v>
      </c>
      <c r="H74" s="192"/>
      <c r="I74" s="192"/>
      <c r="J74" s="192"/>
      <c r="K74" s="192"/>
      <c r="L74" s="192"/>
      <c r="M74" s="192"/>
    </row>
    <row r="75" spans="1:17" ht="25.5">
      <c r="G75" s="71"/>
      <c r="H75" s="174" t="str">
        <f>H2</f>
        <v xml:space="preserve">Residential </v>
      </c>
      <c r="I75" s="174" t="str">
        <f>I2</f>
        <v>General Service
&lt; 50 kW</v>
      </c>
      <c r="J75" s="174" t="str">
        <f>J2</f>
        <v>General Service
&gt; 50 kW</v>
      </c>
      <c r="K75" s="174" t="str">
        <f>K2</f>
        <v xml:space="preserve">Streetlights </v>
      </c>
      <c r="L75" s="174" t="str">
        <f>L2</f>
        <v xml:space="preserve">Unmetered Loads </v>
      </c>
      <c r="M75" s="174" t="s">
        <v>10</v>
      </c>
    </row>
    <row r="76" spans="1:17">
      <c r="G76" s="71" t="s">
        <v>101</v>
      </c>
      <c r="H76" s="173">
        <f>H55/($G$55-$K$55)*($M$76-$K$76)</f>
        <v>507964.79201557866</v>
      </c>
      <c r="I76" s="173">
        <f>I55/($G$55-$K$55)*($M$76-$K$76)</f>
        <v>183232.40833637421</v>
      </c>
      <c r="J76" s="173">
        <f>J55/($G$55-$K$55)*($M$76-$K$76)</f>
        <v>356183.48039796582</v>
      </c>
      <c r="K76" s="71">
        <f>-K72</f>
        <v>741653.4</v>
      </c>
      <c r="L76" s="173">
        <f>L55/($G$55-$K$55)*($M$76-$K$76)</f>
        <v>671.65007325884653</v>
      </c>
      <c r="M76" s="71">
        <f>'CDM Activity'!P16</f>
        <v>1789705.7308231774</v>
      </c>
    </row>
    <row r="77" spans="1:17">
      <c r="G77" s="71" t="s">
        <v>116</v>
      </c>
      <c r="H77" s="71"/>
      <c r="I77" s="71"/>
      <c r="J77" s="71">
        <f>J76*'Rate Class Load Model'!B28</f>
        <v>908.72755670347215</v>
      </c>
      <c r="K77" s="71">
        <f>K76*'Rate Class Load Model'!C28</f>
        <v>2131.368641361214</v>
      </c>
      <c r="L77" s="71"/>
      <c r="M77" s="71">
        <f>SUM(J77:K77)</f>
        <v>3040.0961980646862</v>
      </c>
    </row>
  </sheetData>
  <mergeCells count="4">
    <mergeCell ref="H6:L6"/>
    <mergeCell ref="G70:M70"/>
    <mergeCell ref="H61:L61"/>
    <mergeCell ref="G74:M74"/>
  </mergeCells>
  <phoneticPr fontId="0" type="noConversion"/>
  <pageMargins left="0.38" right="0.75" top="0.73" bottom="0.74" header="0.5" footer="0.5"/>
  <pageSetup scale="6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9" sqref="B29"/>
    </sheetView>
  </sheetViews>
  <sheetFormatPr defaultRowHeight="12.75"/>
  <cols>
    <col min="1" max="1" width="11" customWidth="1"/>
    <col min="2" max="2" width="15" style="6" customWidth="1"/>
    <col min="3" max="4" width="14.140625" style="6" bestFit="1" customWidth="1"/>
    <col min="5" max="5" width="17.5703125" style="6" customWidth="1"/>
    <col min="6" max="6" width="12.5703125" style="6" customWidth="1"/>
    <col min="7" max="8" width="12.7109375" style="6" bestFit="1" customWidth="1"/>
    <col min="9" max="9" width="11.7109375" style="6" bestFit="1" customWidth="1"/>
    <col min="10" max="10" width="10.7109375" style="6" bestFit="1" customWidth="1"/>
    <col min="11" max="12" width="9.140625" style="6"/>
  </cols>
  <sheetData>
    <row r="1" spans="1:10" ht="13.5" thickBot="1">
      <c r="B1" s="183" t="s">
        <v>127</v>
      </c>
      <c r="C1" s="184"/>
      <c r="D1" s="184"/>
      <c r="E1" s="184"/>
      <c r="F1" s="184"/>
      <c r="G1" s="185"/>
    </row>
    <row r="2" spans="1:10" ht="42" customHeight="1">
      <c r="B2" s="9" t="str">
        <f>'Rate Class Energy Model'!H2</f>
        <v xml:space="preserve">Residential </v>
      </c>
      <c r="C2" s="9" t="str">
        <f>'Rate Class Energy Model'!I2</f>
        <v>General Service
&lt; 50 kW</v>
      </c>
      <c r="D2" s="9" t="str">
        <f>'Rate Class Energy Model'!J2</f>
        <v>General Service
&gt; 50 kW</v>
      </c>
      <c r="E2" s="9" t="str">
        <f>'Rate Class Energy Model'!K2</f>
        <v xml:space="preserve">Streetlights </v>
      </c>
      <c r="F2" s="9" t="str">
        <f>'Rate Class Energy Model'!L2</f>
        <v xml:space="preserve">Unmetered Loads </v>
      </c>
      <c r="G2" s="6" t="s">
        <v>10</v>
      </c>
    </row>
    <row r="3" spans="1:10">
      <c r="A3" s="4">
        <v>2003</v>
      </c>
      <c r="B3" s="40">
        <v>3390</v>
      </c>
      <c r="C3" s="40">
        <v>474</v>
      </c>
      <c r="D3" s="40">
        <v>40</v>
      </c>
      <c r="E3" s="40">
        <v>1006</v>
      </c>
      <c r="F3" s="40">
        <v>8</v>
      </c>
      <c r="G3" s="39">
        <f t="shared" ref="G3:G14" si="0">SUM(B3:F3)</f>
        <v>4918</v>
      </c>
      <c r="J3" s="72">
        <f>B3+C3+D3</f>
        <v>3904</v>
      </c>
    </row>
    <row r="4" spans="1:10">
      <c r="A4" s="4">
        <v>2004</v>
      </c>
      <c r="B4" s="40">
        <v>3385</v>
      </c>
      <c r="C4" s="40">
        <v>485</v>
      </c>
      <c r="D4" s="40">
        <v>43</v>
      </c>
      <c r="E4" s="40">
        <v>1006</v>
      </c>
      <c r="F4" s="40">
        <v>8</v>
      </c>
      <c r="G4" s="39">
        <f t="shared" si="0"/>
        <v>4927</v>
      </c>
      <c r="J4" s="72">
        <f t="shared" ref="J4:J14" si="1">B4+C4+D4</f>
        <v>3913</v>
      </c>
    </row>
    <row r="5" spans="1:10">
      <c r="A5" s="4">
        <v>2005</v>
      </c>
      <c r="B5" s="40">
        <v>3412</v>
      </c>
      <c r="C5" s="40">
        <v>445</v>
      </c>
      <c r="D5" s="40">
        <v>47</v>
      </c>
      <c r="E5" s="40">
        <v>1006</v>
      </c>
      <c r="F5" s="40">
        <v>8</v>
      </c>
      <c r="G5" s="39">
        <f t="shared" si="0"/>
        <v>4918</v>
      </c>
      <c r="J5" s="72">
        <f t="shared" si="1"/>
        <v>3904</v>
      </c>
    </row>
    <row r="6" spans="1:10">
      <c r="A6" s="4">
        <v>2006</v>
      </c>
      <c r="B6" s="40">
        <v>3380</v>
      </c>
      <c r="C6" s="40">
        <v>437</v>
      </c>
      <c r="D6" s="40">
        <v>47</v>
      </c>
      <c r="E6" s="40">
        <v>1006</v>
      </c>
      <c r="F6" s="40">
        <v>8</v>
      </c>
      <c r="G6" s="39">
        <f t="shared" si="0"/>
        <v>4878</v>
      </c>
      <c r="J6" s="72">
        <f t="shared" si="1"/>
        <v>3864</v>
      </c>
    </row>
    <row r="7" spans="1:10">
      <c r="A7" s="4">
        <v>2007</v>
      </c>
      <c r="B7" s="40">
        <v>3332</v>
      </c>
      <c r="C7" s="40">
        <v>438</v>
      </c>
      <c r="D7" s="40">
        <v>47</v>
      </c>
      <c r="E7" s="40">
        <v>1006</v>
      </c>
      <c r="F7" s="40">
        <v>7</v>
      </c>
      <c r="G7" s="39">
        <f t="shared" si="0"/>
        <v>4830</v>
      </c>
      <c r="J7" s="72">
        <f t="shared" si="1"/>
        <v>3817</v>
      </c>
    </row>
    <row r="8" spans="1:10">
      <c r="A8" s="4">
        <v>2008</v>
      </c>
      <c r="B8" s="40">
        <v>3305</v>
      </c>
      <c r="C8" s="40">
        <v>426</v>
      </c>
      <c r="D8" s="40">
        <v>49</v>
      </c>
      <c r="E8" s="40">
        <v>1006</v>
      </c>
      <c r="F8" s="40">
        <v>6</v>
      </c>
      <c r="G8" s="39">
        <f t="shared" si="0"/>
        <v>4792</v>
      </c>
      <c r="J8" s="72">
        <f t="shared" si="1"/>
        <v>3780</v>
      </c>
    </row>
    <row r="9" spans="1:10">
      <c r="A9" s="4">
        <v>2009</v>
      </c>
      <c r="B9" s="39">
        <v>3309</v>
      </c>
      <c r="C9" s="39">
        <v>418</v>
      </c>
      <c r="D9" s="39">
        <v>47</v>
      </c>
      <c r="E9" s="39">
        <v>1006</v>
      </c>
      <c r="F9" s="39">
        <v>6</v>
      </c>
      <c r="G9" s="39">
        <f t="shared" si="0"/>
        <v>4786</v>
      </c>
      <c r="J9" s="72">
        <f t="shared" si="1"/>
        <v>3774</v>
      </c>
    </row>
    <row r="10" spans="1:10">
      <c r="A10" s="4">
        <v>2010</v>
      </c>
      <c r="B10" s="40">
        <v>3307</v>
      </c>
      <c r="C10" s="40">
        <v>419</v>
      </c>
      <c r="D10" s="40">
        <v>51</v>
      </c>
      <c r="E10" s="40">
        <v>1006</v>
      </c>
      <c r="F10" s="40">
        <v>6</v>
      </c>
      <c r="G10" s="39">
        <f t="shared" si="0"/>
        <v>4789</v>
      </c>
      <c r="J10" s="72">
        <f t="shared" si="1"/>
        <v>3777</v>
      </c>
    </row>
    <row r="11" spans="1:10">
      <c r="A11" s="4">
        <v>2011</v>
      </c>
      <c r="B11" s="40">
        <v>3308</v>
      </c>
      <c r="C11" s="40">
        <v>421</v>
      </c>
      <c r="D11" s="40">
        <v>46</v>
      </c>
      <c r="E11" s="40">
        <v>1006</v>
      </c>
      <c r="F11" s="40">
        <v>6</v>
      </c>
      <c r="G11" s="39">
        <f t="shared" si="0"/>
        <v>4787</v>
      </c>
      <c r="J11" s="72">
        <f t="shared" si="1"/>
        <v>3775</v>
      </c>
    </row>
    <row r="12" spans="1:10">
      <c r="A12" s="4">
        <v>2012</v>
      </c>
      <c r="B12" s="145">
        <v>3308</v>
      </c>
      <c r="C12" s="145">
        <v>417</v>
      </c>
      <c r="D12" s="145">
        <v>46</v>
      </c>
      <c r="E12" s="145">
        <v>1006</v>
      </c>
      <c r="F12" s="145">
        <v>6</v>
      </c>
      <c r="G12" s="145">
        <f t="shared" si="0"/>
        <v>4783</v>
      </c>
      <c r="J12" s="72">
        <f t="shared" si="1"/>
        <v>3771</v>
      </c>
    </row>
    <row r="13" spans="1:10">
      <c r="A13" s="4">
        <v>2013</v>
      </c>
      <c r="B13" s="21">
        <f>B12*B27</f>
        <v>3299.0122136552195</v>
      </c>
      <c r="C13" s="21">
        <f>C12*C27</f>
        <v>411.10577604849215</v>
      </c>
      <c r="D13" s="21">
        <f>D12*D27</f>
        <v>46.719914160370458</v>
      </c>
      <c r="E13" s="21">
        <f>E12*E27</f>
        <v>1006</v>
      </c>
      <c r="F13" s="21">
        <f>F12*F27</f>
        <v>5.8112447727163383</v>
      </c>
      <c r="G13" s="21">
        <f t="shared" si="0"/>
        <v>4768.6491486367986</v>
      </c>
      <c r="J13" s="72">
        <f t="shared" si="1"/>
        <v>3756.8379038640824</v>
      </c>
    </row>
    <row r="14" spans="1:10">
      <c r="A14" s="4">
        <v>2014</v>
      </c>
      <c r="B14" s="21">
        <f>B13*B27</f>
        <v>3290.0488469910251</v>
      </c>
      <c r="C14" s="21">
        <f>C13*C27</f>
        <v>405.29486594828052</v>
      </c>
      <c r="D14" s="21">
        <f>D13*D27</f>
        <v>47.451095198964865</v>
      </c>
      <c r="E14" s="21">
        <f>E13*E27</f>
        <v>1006</v>
      </c>
      <c r="F14" s="21">
        <f>F13*F27</f>
        <v>5.6284276347371609</v>
      </c>
      <c r="G14" s="21">
        <f t="shared" si="0"/>
        <v>4754.4232357730079</v>
      </c>
      <c r="J14" s="72">
        <f t="shared" si="1"/>
        <v>3742.7948081382706</v>
      </c>
    </row>
    <row r="15" spans="1:10">
      <c r="A15" s="20"/>
    </row>
    <row r="16" spans="1:10">
      <c r="A16" s="19" t="s">
        <v>41</v>
      </c>
      <c r="B16" s="5"/>
      <c r="C16" s="5"/>
      <c r="D16" s="5"/>
      <c r="E16" s="5"/>
      <c r="F16" s="5"/>
    </row>
    <row r="17" spans="1:16">
      <c r="A17" s="4">
        <v>2004</v>
      </c>
      <c r="B17" s="24">
        <f t="shared" ref="B17:F25" si="2">B4/B3</f>
        <v>0.99852507374631272</v>
      </c>
      <c r="C17" s="24">
        <f t="shared" si="2"/>
        <v>1.0232067510548524</v>
      </c>
      <c r="D17" s="24">
        <f t="shared" si="2"/>
        <v>1.075</v>
      </c>
      <c r="E17" s="24">
        <f t="shared" si="2"/>
        <v>1</v>
      </c>
      <c r="F17" s="24">
        <f t="shared" si="2"/>
        <v>1</v>
      </c>
      <c r="H17" s="87"/>
      <c r="I17" s="87"/>
      <c r="J17" s="87"/>
      <c r="K17" s="87"/>
      <c r="L17" s="87"/>
      <c r="M17" s="87"/>
      <c r="N17" s="87"/>
      <c r="O17" s="87"/>
      <c r="P17" s="87"/>
    </row>
    <row r="18" spans="1:16">
      <c r="A18" s="4">
        <v>2005</v>
      </c>
      <c r="B18" s="24">
        <f t="shared" si="2"/>
        <v>1.0079763663220089</v>
      </c>
      <c r="C18" s="24">
        <f t="shared" si="2"/>
        <v>0.91752577319587625</v>
      </c>
      <c r="D18" s="24">
        <f t="shared" si="2"/>
        <v>1.0930232558139534</v>
      </c>
      <c r="E18" s="24">
        <f t="shared" si="2"/>
        <v>1</v>
      </c>
      <c r="F18" s="24">
        <f t="shared" si="2"/>
        <v>1</v>
      </c>
      <c r="H18" s="87"/>
      <c r="I18" s="87"/>
      <c r="J18" s="87"/>
      <c r="K18" s="87"/>
      <c r="L18" s="87"/>
      <c r="M18" s="87"/>
      <c r="N18" s="87"/>
      <c r="O18" s="87"/>
      <c r="P18" s="87"/>
    </row>
    <row r="19" spans="1:16">
      <c r="A19" s="4">
        <v>2006</v>
      </c>
      <c r="B19" s="24">
        <f t="shared" si="2"/>
        <v>0.99062133645955452</v>
      </c>
      <c r="C19" s="24">
        <f t="shared" si="2"/>
        <v>0.98202247191011238</v>
      </c>
      <c r="D19" s="24">
        <f t="shared" si="2"/>
        <v>1</v>
      </c>
      <c r="E19" s="24">
        <f t="shared" si="2"/>
        <v>1</v>
      </c>
      <c r="F19" s="24">
        <f t="shared" si="2"/>
        <v>1</v>
      </c>
      <c r="H19" s="87"/>
      <c r="I19" s="87"/>
      <c r="J19" s="87"/>
      <c r="K19" s="87"/>
      <c r="L19" s="87"/>
      <c r="M19" s="87"/>
      <c r="N19" s="87"/>
      <c r="O19" s="87"/>
      <c r="P19" s="87"/>
    </row>
    <row r="20" spans="1:16">
      <c r="A20" s="4">
        <v>2007</v>
      </c>
      <c r="B20" s="24">
        <f t="shared" si="2"/>
        <v>0.98579881656804735</v>
      </c>
      <c r="C20" s="24">
        <f t="shared" si="2"/>
        <v>1.0022883295194509</v>
      </c>
      <c r="D20" s="24">
        <f t="shared" si="2"/>
        <v>1</v>
      </c>
      <c r="E20" s="24">
        <f t="shared" si="2"/>
        <v>1</v>
      </c>
      <c r="F20" s="24">
        <f t="shared" si="2"/>
        <v>0.875</v>
      </c>
      <c r="H20" s="87"/>
      <c r="I20" s="87"/>
      <c r="J20" s="87"/>
      <c r="K20" s="87"/>
      <c r="L20" s="87"/>
      <c r="M20" s="87"/>
      <c r="N20" s="87"/>
      <c r="O20" s="87"/>
      <c r="P20" s="87"/>
    </row>
    <row r="21" spans="1:16">
      <c r="A21" s="4">
        <v>2008</v>
      </c>
      <c r="B21" s="24">
        <f t="shared" si="2"/>
        <v>0.99189675870348137</v>
      </c>
      <c r="C21" s="24">
        <f t="shared" si="2"/>
        <v>0.9726027397260274</v>
      </c>
      <c r="D21" s="24">
        <f t="shared" si="2"/>
        <v>1.0425531914893618</v>
      </c>
      <c r="E21" s="24">
        <f t="shared" si="2"/>
        <v>1</v>
      </c>
      <c r="F21" s="24">
        <f t="shared" si="2"/>
        <v>0.8571428571428571</v>
      </c>
      <c r="H21" s="87"/>
      <c r="I21" s="87"/>
      <c r="J21" s="87"/>
      <c r="K21" s="87"/>
      <c r="L21" s="87"/>
      <c r="M21" s="87"/>
      <c r="N21" s="87"/>
      <c r="O21" s="87"/>
      <c r="P21" s="87"/>
    </row>
    <row r="22" spans="1:16">
      <c r="A22" s="4">
        <v>2009</v>
      </c>
      <c r="B22" s="24">
        <f t="shared" si="2"/>
        <v>1.0012102874432678</v>
      </c>
      <c r="C22" s="24">
        <f t="shared" si="2"/>
        <v>0.98122065727699526</v>
      </c>
      <c r="D22" s="24">
        <f t="shared" si="2"/>
        <v>0.95918367346938771</v>
      </c>
      <c r="E22" s="24">
        <f t="shared" si="2"/>
        <v>1</v>
      </c>
      <c r="F22" s="24">
        <f t="shared" si="2"/>
        <v>1</v>
      </c>
      <c r="H22" s="87"/>
      <c r="I22" s="87"/>
      <c r="J22" s="87"/>
      <c r="K22" s="87"/>
      <c r="L22" s="87"/>
      <c r="M22" s="87"/>
      <c r="N22" s="87"/>
      <c r="O22" s="87"/>
      <c r="P22" s="87"/>
    </row>
    <row r="23" spans="1:16">
      <c r="A23" s="4">
        <v>2010</v>
      </c>
      <c r="B23" s="24">
        <f t="shared" si="2"/>
        <v>0.99939558779087334</v>
      </c>
      <c r="C23" s="24">
        <f t="shared" si="2"/>
        <v>1.0023923444976077</v>
      </c>
      <c r="D23" s="24">
        <f t="shared" si="2"/>
        <v>1.0851063829787233</v>
      </c>
      <c r="E23" s="24">
        <f t="shared" si="2"/>
        <v>1</v>
      </c>
      <c r="F23" s="24">
        <f t="shared" si="2"/>
        <v>1</v>
      </c>
      <c r="H23" s="87"/>
      <c r="I23" s="87"/>
      <c r="J23" s="87"/>
      <c r="K23" s="87"/>
      <c r="L23" s="87"/>
      <c r="M23" s="87"/>
      <c r="N23" s="87"/>
      <c r="O23" s="87"/>
      <c r="P23" s="87"/>
    </row>
    <row r="24" spans="1:16">
      <c r="A24" s="4">
        <v>2011</v>
      </c>
      <c r="B24" s="24">
        <f t="shared" si="2"/>
        <v>1.0003023888720894</v>
      </c>
      <c r="C24" s="24">
        <f t="shared" si="2"/>
        <v>1.0047732696897376</v>
      </c>
      <c r="D24" s="24">
        <f t="shared" si="2"/>
        <v>0.90196078431372551</v>
      </c>
      <c r="E24" s="24">
        <f t="shared" si="2"/>
        <v>1</v>
      </c>
      <c r="F24" s="24">
        <f t="shared" si="2"/>
        <v>1</v>
      </c>
      <c r="H24" s="87"/>
      <c r="I24" s="87"/>
      <c r="J24" s="87"/>
      <c r="K24" s="87"/>
      <c r="L24" s="87"/>
      <c r="M24" s="87"/>
      <c r="N24" s="87"/>
      <c r="O24" s="87"/>
      <c r="P24" s="87"/>
    </row>
    <row r="25" spans="1:16">
      <c r="A25" s="4">
        <v>2012</v>
      </c>
      <c r="B25" s="24">
        <f t="shared" si="2"/>
        <v>1</v>
      </c>
      <c r="C25" s="24">
        <f t="shared" si="2"/>
        <v>0.99049881235154391</v>
      </c>
      <c r="D25" s="24">
        <f t="shared" si="2"/>
        <v>1</v>
      </c>
      <c r="E25" s="24">
        <f t="shared" si="2"/>
        <v>1</v>
      </c>
      <c r="F25" s="24">
        <f t="shared" si="2"/>
        <v>1</v>
      </c>
      <c r="H25" s="87"/>
      <c r="I25" s="87"/>
      <c r="J25" s="87"/>
      <c r="K25" s="87"/>
      <c r="L25" s="87"/>
      <c r="M25" s="87"/>
      <c r="N25" s="87"/>
      <c r="O25" s="87"/>
      <c r="P25" s="87"/>
    </row>
    <row r="27" spans="1:16">
      <c r="A27" t="s">
        <v>61</v>
      </c>
      <c r="B27" s="146">
        <f t="shared" ref="B27:E27" si="3">B29</f>
        <v>0.99728301501064676</v>
      </c>
      <c r="C27" s="146">
        <f t="shared" si="3"/>
        <v>0.98586517038007704</v>
      </c>
      <c r="D27" s="146">
        <f t="shared" si="3"/>
        <v>1.0156503078341403</v>
      </c>
      <c r="E27" s="146">
        <f t="shared" si="3"/>
        <v>1</v>
      </c>
      <c r="F27" s="146">
        <f>F29</f>
        <v>0.96854079545272309</v>
      </c>
    </row>
    <row r="28" spans="1:16">
      <c r="B28" s="25"/>
      <c r="C28" s="25"/>
      <c r="D28" s="25"/>
      <c r="E28" s="25"/>
      <c r="F28" s="25"/>
    </row>
    <row r="29" spans="1:16">
      <c r="A29" t="s">
        <v>14</v>
      </c>
      <c r="B29" s="25">
        <f>GEOMEAN(B17:B25)</f>
        <v>0.99728301501064676</v>
      </c>
      <c r="C29" s="25">
        <f>GEOMEAN(C17:C25)</f>
        <v>0.98586517038007704</v>
      </c>
      <c r="D29" s="25">
        <f>GEOMEAN(D17:D25)</f>
        <v>1.0156503078341403</v>
      </c>
      <c r="E29" s="25">
        <f>GEOMEAN(E17:E25)</f>
        <v>1</v>
      </c>
      <c r="F29" s="25">
        <f>GEOMEAN(F17:F25)</f>
        <v>0.96854079545272309</v>
      </c>
    </row>
    <row r="30" spans="1:16">
      <c r="A30" s="4"/>
      <c r="B30" s="25"/>
      <c r="C30" s="25"/>
      <c r="D30" s="25"/>
      <c r="E30" s="25"/>
      <c r="F30" s="25"/>
    </row>
    <row r="31" spans="1:16">
      <c r="A31" s="4"/>
      <c r="B31" s="172"/>
      <c r="C31" s="25"/>
      <c r="D31" s="25"/>
      <c r="E31" s="25"/>
      <c r="F31" s="25"/>
    </row>
    <row r="32" spans="1:16">
      <c r="A32" s="4"/>
      <c r="B32" s="25"/>
      <c r="C32" s="25"/>
      <c r="D32" s="25"/>
      <c r="E32" s="25"/>
      <c r="F32" s="25"/>
    </row>
    <row r="33" spans="1:6">
      <c r="A33" s="4"/>
      <c r="B33" s="25"/>
      <c r="C33" s="25"/>
      <c r="D33" s="25"/>
      <c r="E33" s="25"/>
      <c r="F33" s="25"/>
    </row>
    <row r="34" spans="1:6">
      <c r="A34" s="4"/>
      <c r="B34" s="25"/>
      <c r="C34" s="25"/>
      <c r="D34" s="25"/>
      <c r="E34" s="25"/>
      <c r="F34" s="25"/>
    </row>
    <row r="35" spans="1:6">
      <c r="A35" s="4"/>
      <c r="B35" s="25"/>
      <c r="C35" s="25"/>
      <c r="D35" s="25"/>
      <c r="E35" s="25"/>
      <c r="F35" s="25"/>
    </row>
    <row r="36" spans="1:6">
      <c r="A36" s="4"/>
      <c r="B36" s="25"/>
      <c r="C36" s="25"/>
      <c r="D36" s="25"/>
      <c r="E36" s="25"/>
      <c r="F36" s="25"/>
    </row>
    <row r="37" spans="1:6">
      <c r="A37" s="4"/>
      <c r="B37" s="25"/>
      <c r="C37" s="25"/>
      <c r="D37" s="25"/>
      <c r="E37" s="25"/>
      <c r="F37" s="25"/>
    </row>
    <row r="38" spans="1:6">
      <c r="B38" s="25"/>
      <c r="C38" s="25"/>
      <c r="D38" s="25"/>
      <c r="E38" s="25"/>
      <c r="F38" s="25"/>
    </row>
    <row r="39" spans="1:6">
      <c r="B39" s="25"/>
      <c r="C39" s="25"/>
      <c r="D39" s="25"/>
      <c r="E39" s="25"/>
      <c r="F39" s="25"/>
    </row>
    <row r="40" spans="1:6">
      <c r="B40" s="25"/>
      <c r="C40" s="25"/>
      <c r="D40" s="25"/>
      <c r="E40" s="25"/>
      <c r="F40" s="25"/>
    </row>
    <row r="41" spans="1:6">
      <c r="B41" s="25"/>
      <c r="C41" s="25"/>
      <c r="D41" s="25"/>
      <c r="E41" s="25"/>
      <c r="F41" s="25"/>
    </row>
    <row r="42" spans="1:6">
      <c r="B42" s="25"/>
      <c r="C42" s="25"/>
      <c r="D42" s="25"/>
      <c r="E42" s="25"/>
      <c r="F42" s="25"/>
    </row>
    <row r="43" spans="1:6">
      <c r="B43" s="25"/>
      <c r="C43" s="25"/>
      <c r="D43" s="25"/>
      <c r="E43" s="25"/>
      <c r="F43" s="25"/>
    </row>
    <row r="44" spans="1:6">
      <c r="B44" s="25"/>
      <c r="C44" s="25"/>
      <c r="D44" s="25"/>
      <c r="E44" s="25"/>
      <c r="F44" s="25"/>
    </row>
    <row r="45" spans="1:6">
      <c r="B45" s="25"/>
      <c r="C45" s="25"/>
      <c r="D45" s="25"/>
      <c r="E45" s="25"/>
      <c r="F45" s="25"/>
    </row>
    <row r="46" spans="1:6">
      <c r="B46" s="25"/>
      <c r="C46" s="25"/>
      <c r="D46" s="25"/>
      <c r="E46" s="25"/>
      <c r="F46" s="25"/>
    </row>
    <row r="47" spans="1:6">
      <c r="B47" s="25"/>
      <c r="C47" s="25"/>
      <c r="D47" s="25"/>
      <c r="E47" s="25"/>
      <c r="F47" s="25"/>
    </row>
    <row r="48" spans="1:6">
      <c r="B48" s="25"/>
      <c r="C48" s="25"/>
      <c r="D48" s="25"/>
      <c r="E48" s="25"/>
      <c r="F48" s="25"/>
    </row>
    <row r="49" spans="2:6">
      <c r="B49" s="25"/>
      <c r="C49" s="25"/>
      <c r="D49" s="25"/>
      <c r="E49" s="25"/>
      <c r="F49" s="25"/>
    </row>
    <row r="50" spans="2:6">
      <c r="B50" s="25"/>
      <c r="C50" s="25"/>
      <c r="D50" s="25"/>
      <c r="E50" s="25"/>
      <c r="F50" s="25"/>
    </row>
    <row r="51" spans="2:6">
      <c r="B51" s="25"/>
      <c r="C51" s="25"/>
      <c r="D51" s="25"/>
      <c r="E51" s="25"/>
      <c r="F51" s="25"/>
    </row>
    <row r="52" spans="2:6">
      <c r="B52" s="25"/>
      <c r="C52" s="25"/>
      <c r="D52" s="25"/>
      <c r="E52" s="25"/>
      <c r="F52" s="25"/>
    </row>
    <row r="53" spans="2:6">
      <c r="B53" s="25"/>
      <c r="C53" s="25"/>
      <c r="D53" s="25"/>
      <c r="E53" s="25"/>
      <c r="F53" s="25"/>
    </row>
    <row r="54" spans="2:6">
      <c r="B54" s="25"/>
      <c r="C54" s="25"/>
      <c r="D54" s="25"/>
      <c r="E54" s="25"/>
      <c r="F54" s="25"/>
    </row>
    <row r="55" spans="2:6">
      <c r="B55" s="25"/>
      <c r="C55" s="25"/>
      <c r="D55" s="25"/>
      <c r="E55" s="25"/>
      <c r="F55" s="25"/>
    </row>
    <row r="56" spans="2:6">
      <c r="B56" s="25"/>
      <c r="C56" s="25"/>
      <c r="E56" s="25"/>
      <c r="F56" s="25"/>
    </row>
    <row r="62" spans="2:6">
      <c r="D62" s="26"/>
    </row>
    <row r="63" spans="2:6">
      <c r="B63" s="26"/>
      <c r="C63" s="26"/>
      <c r="D63" s="26"/>
      <c r="E63" s="26"/>
      <c r="F63" s="26"/>
    </row>
    <row r="64" spans="2:6">
      <c r="B64" s="26"/>
      <c r="C64" s="26"/>
      <c r="E64" s="26"/>
      <c r="F64" s="26"/>
    </row>
    <row r="82" spans="2:6">
      <c r="D82" s="15"/>
    </row>
    <row r="83" spans="2:6">
      <c r="B83" s="15"/>
      <c r="C83" s="15"/>
      <c r="D83" s="15"/>
      <c r="E83" s="15"/>
      <c r="F83" s="15"/>
    </row>
    <row r="84" spans="2:6">
      <c r="B84" s="15"/>
      <c r="C84" s="15"/>
      <c r="E84" s="15"/>
      <c r="F84" s="15"/>
    </row>
  </sheetData>
  <mergeCells count="1">
    <mergeCell ref="B1:G1"/>
  </mergeCells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28" sqref="R28"/>
    </sheetView>
  </sheetViews>
  <sheetFormatPr defaultRowHeight="12.75"/>
  <cols>
    <col min="1" max="1" width="11" customWidth="1"/>
    <col min="2" max="2" width="14.140625" style="6" bestFit="1" customWidth="1"/>
    <col min="3" max="3" width="17.7109375" style="6" customWidth="1"/>
    <col min="4" max="5" width="12.7109375" style="6" bestFit="1" customWidth="1"/>
    <col min="6" max="6" width="11.7109375" bestFit="1" customWidth="1"/>
    <col min="7" max="7" width="10.7109375" bestFit="1" customWidth="1"/>
  </cols>
  <sheetData>
    <row r="1" spans="1:4" ht="33" customHeight="1" thickBot="1">
      <c r="B1" s="193" t="s">
        <v>134</v>
      </c>
      <c r="C1" s="194"/>
      <c r="D1" s="195"/>
    </row>
    <row r="2" spans="1:4" ht="42" customHeight="1">
      <c r="B2" s="8" t="str">
        <f>'Rate Class Customer Model'!D2</f>
        <v>General Service
&gt; 50 kW</v>
      </c>
      <c r="C2" s="8" t="str">
        <f>'Rate Class Customer Model'!E2</f>
        <v xml:space="preserve">Streetlights </v>
      </c>
      <c r="D2" s="6" t="s">
        <v>10</v>
      </c>
    </row>
    <row r="3" spans="1:4">
      <c r="A3" s="30">
        <v>2003</v>
      </c>
      <c r="B3" s="47">
        <v>54293</v>
      </c>
      <c r="C3" s="47">
        <v>3310</v>
      </c>
      <c r="D3" s="6">
        <f t="shared" ref="D3:D14" si="0">SUM(B3:C3)</f>
        <v>57603</v>
      </c>
    </row>
    <row r="4" spans="1:4">
      <c r="A4" s="30">
        <v>2004</v>
      </c>
      <c r="B4" s="47">
        <v>59088</v>
      </c>
      <c r="C4" s="47">
        <v>3310</v>
      </c>
      <c r="D4" s="6">
        <f t="shared" si="0"/>
        <v>62398</v>
      </c>
    </row>
    <row r="5" spans="1:4">
      <c r="A5" s="30">
        <v>2005</v>
      </c>
      <c r="B5" s="47">
        <v>63396</v>
      </c>
      <c r="C5" s="47">
        <v>3310</v>
      </c>
      <c r="D5" s="6">
        <f t="shared" si="0"/>
        <v>66706</v>
      </c>
    </row>
    <row r="6" spans="1:4">
      <c r="A6" s="30">
        <v>2006</v>
      </c>
      <c r="B6" s="47">
        <v>58180</v>
      </c>
      <c r="C6" s="47">
        <v>3310</v>
      </c>
      <c r="D6" s="6">
        <f t="shared" si="0"/>
        <v>61490</v>
      </c>
    </row>
    <row r="7" spans="1:4">
      <c r="A7" s="30">
        <v>2007</v>
      </c>
      <c r="B7" s="47">
        <v>63900</v>
      </c>
      <c r="C7" s="47">
        <v>3310</v>
      </c>
      <c r="D7" s="6">
        <f t="shared" si="0"/>
        <v>67210</v>
      </c>
    </row>
    <row r="8" spans="1:4">
      <c r="A8" s="30">
        <v>2008</v>
      </c>
      <c r="B8" s="47">
        <v>61980</v>
      </c>
      <c r="C8" s="47">
        <v>3310</v>
      </c>
      <c r="D8" s="6">
        <f t="shared" si="0"/>
        <v>65290</v>
      </c>
    </row>
    <row r="9" spans="1:4">
      <c r="A9" s="30">
        <v>2009</v>
      </c>
      <c r="B9" s="47">
        <v>61771</v>
      </c>
      <c r="C9" s="47">
        <v>3310</v>
      </c>
      <c r="D9" s="6">
        <f t="shared" si="0"/>
        <v>65081</v>
      </c>
    </row>
    <row r="10" spans="1:4">
      <c r="A10" s="30">
        <v>2010</v>
      </c>
      <c r="B10" s="47">
        <v>65577</v>
      </c>
      <c r="C10" s="47">
        <v>3310</v>
      </c>
      <c r="D10" s="6">
        <f t="shared" si="0"/>
        <v>68887</v>
      </c>
    </row>
    <row r="11" spans="1:4">
      <c r="A11" s="30">
        <v>2011</v>
      </c>
      <c r="B11" s="47">
        <v>63157</v>
      </c>
      <c r="C11" s="47">
        <v>3310</v>
      </c>
      <c r="D11" s="6">
        <f t="shared" si="0"/>
        <v>66467</v>
      </c>
    </row>
    <row r="12" spans="1:4">
      <c r="A12" s="30">
        <v>2012</v>
      </c>
      <c r="B12" s="47">
        <v>58302</v>
      </c>
      <c r="C12" s="47">
        <v>3310</v>
      </c>
      <c r="D12" s="6">
        <f t="shared" si="0"/>
        <v>61612</v>
      </c>
    </row>
    <row r="13" spans="1:4">
      <c r="A13" s="30">
        <v>2013</v>
      </c>
      <c r="B13" s="31">
        <f>'Rate Class Energy Model'!J58*$B$28</f>
        <v>64191.967675263215</v>
      </c>
      <c r="C13" s="31">
        <f>'Rate Class Energy Model'!K58*C28</f>
        <v>2199.0690653207439</v>
      </c>
      <c r="D13" s="6">
        <f t="shared" si="0"/>
        <v>66391.036740583964</v>
      </c>
    </row>
    <row r="14" spans="1:4">
      <c r="A14" s="30">
        <v>2014</v>
      </c>
      <c r="B14" s="31">
        <f>'Rate Class Energy Model'!J59*B28</f>
        <v>67293.665883490874</v>
      </c>
      <c r="C14" s="31">
        <f>'Rate Class Energy Model'!K59*C28</f>
        <v>1054.5336626166843</v>
      </c>
      <c r="D14" s="6">
        <f t="shared" si="0"/>
        <v>68348.199546107557</v>
      </c>
    </row>
    <row r="15" spans="1:4">
      <c r="A15" s="20"/>
    </row>
    <row r="16" spans="1:4">
      <c r="A16" s="19" t="s">
        <v>62</v>
      </c>
      <c r="B16" s="5"/>
      <c r="C16" s="5"/>
    </row>
    <row r="17" spans="1:3">
      <c r="A17" s="4">
        <v>2003</v>
      </c>
      <c r="B17" s="28">
        <f>B3/'Rate Class Energy Model'!J7</f>
        <v>3.2549446015539057E-3</v>
      </c>
      <c r="C17" s="28">
        <f>C3/'Rate Class Energy Model'!K7</f>
        <v>3.0297482837528603E-3</v>
      </c>
    </row>
    <row r="18" spans="1:3">
      <c r="A18" s="4">
        <v>2004</v>
      </c>
      <c r="B18" s="28">
        <f>B4/'Rate Class Energy Model'!J8</f>
        <v>2.8865201589637836E-3</v>
      </c>
      <c r="C18" s="28">
        <f>C4/'Rate Class Energy Model'!K8</f>
        <v>2.4904595085894518E-3</v>
      </c>
    </row>
    <row r="19" spans="1:3">
      <c r="A19" s="4">
        <v>2005</v>
      </c>
      <c r="B19" s="28">
        <f>B5/'Rate Class Energy Model'!J9</f>
        <v>2.3585993708615874E-3</v>
      </c>
      <c r="C19" s="28">
        <f>C5/'Rate Class Energy Model'!K9</f>
        <v>2.7322291605617992E-3</v>
      </c>
    </row>
    <row r="20" spans="1:3">
      <c r="A20" s="4">
        <v>2006</v>
      </c>
      <c r="B20" s="28">
        <f>B6/'Rate Class Energy Model'!J10</f>
        <v>2.1334999648878273E-3</v>
      </c>
      <c r="C20" s="28">
        <f>C6/'Rate Class Energy Model'!K10</f>
        <v>3.1185726547344359E-3</v>
      </c>
    </row>
    <row r="21" spans="1:3">
      <c r="A21" s="4">
        <v>2007</v>
      </c>
      <c r="B21" s="28">
        <f>B7/'Rate Class Energy Model'!J11</f>
        <v>2.4166133202742929E-3</v>
      </c>
      <c r="C21" s="28">
        <f>C7/'Rate Class Energy Model'!K11</f>
        <v>2.6060632304948763E-3</v>
      </c>
    </row>
    <row r="22" spans="1:3">
      <c r="A22" s="4">
        <v>2008</v>
      </c>
      <c r="B22" s="28">
        <f>B8/'Rate Class Energy Model'!J12</f>
        <v>2.4328004618474242E-3</v>
      </c>
      <c r="C22" s="28">
        <f>C8/'Rate Class Energy Model'!K12</f>
        <v>2.806837830068441E-3</v>
      </c>
    </row>
    <row r="23" spans="1:3">
      <c r="A23" s="4">
        <v>2009</v>
      </c>
      <c r="B23" s="28">
        <f>B9/'Rate Class Energy Model'!J13</f>
        <v>2.47871467823558E-3</v>
      </c>
      <c r="C23" s="28">
        <f>C9/'Rate Class Energy Model'!K13</f>
        <v>3.2635273702476732E-3</v>
      </c>
    </row>
    <row r="24" spans="1:3">
      <c r="A24" s="4">
        <v>2010</v>
      </c>
      <c r="B24" s="28">
        <f>B10/'Rate Class Energy Model'!J14</f>
        <v>2.5831255571079439E-3</v>
      </c>
      <c r="C24" s="28">
        <f>C10/'Rate Class Energy Model'!K14</f>
        <v>2.8570762701257716E-3</v>
      </c>
    </row>
    <row r="25" spans="1:3">
      <c r="A25" s="4">
        <v>2011</v>
      </c>
      <c r="B25" s="28">
        <f>B11/'Rate Class Energy Model'!J15</f>
        <v>2.5284796761790886E-3</v>
      </c>
      <c r="C25" s="28">
        <f>C11/'Rate Class Energy Model'!K15</f>
        <v>2.8478066726433326E-3</v>
      </c>
    </row>
    <row r="26" spans="1:3">
      <c r="A26" s="4">
        <v>2012</v>
      </c>
      <c r="B26" s="28">
        <f>B12/'Rate Class Energy Model'!J16</f>
        <v>2.4396079655196047E-3</v>
      </c>
      <c r="C26" s="28">
        <f>C12/'Rate Class Energy Model'!K16</f>
        <v>2.9857477900054122E-3</v>
      </c>
    </row>
    <row r="28" spans="1:3">
      <c r="A28" t="s">
        <v>13</v>
      </c>
      <c r="B28" s="28">
        <f>AVERAGE(B17:B26)</f>
        <v>2.551290575543104E-3</v>
      </c>
      <c r="C28" s="28">
        <f>AVERAGE(C17:C26)</f>
        <v>2.8738068771224051E-3</v>
      </c>
    </row>
    <row r="35" spans="2:3">
      <c r="B35" s="26"/>
      <c r="C35" s="26"/>
    </row>
    <row r="36" spans="2:3">
      <c r="B36" s="26"/>
      <c r="C36" s="26"/>
    </row>
    <row r="55" spans="2:3">
      <c r="B55" s="15"/>
      <c r="C55" s="15"/>
    </row>
    <row r="56" spans="2:3">
      <c r="B56" s="15"/>
      <c r="C56" s="15"/>
    </row>
  </sheetData>
  <mergeCells count="1">
    <mergeCell ref="B1:D1"/>
  </mergeCells>
  <phoneticPr fontId="0" type="noConversion"/>
  <pageMargins left="0.38" right="0.75" top="0.73" bottom="0.74" header="0.5" footer="0.5"/>
  <pageSetup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C124"/>
  <sheetViews>
    <sheetView workbookViewId="0">
      <selection activeCell="B3" sqref="B3:B7"/>
    </sheetView>
  </sheetViews>
  <sheetFormatPr defaultRowHeight="12.75"/>
  <cols>
    <col min="2" max="2" width="13.7109375" customWidth="1"/>
    <col min="3" max="3" width="12.85546875" bestFit="1" customWidth="1"/>
    <col min="4" max="4" width="13" bestFit="1" customWidth="1"/>
    <col min="5" max="5" width="12.85546875" bestFit="1" customWidth="1"/>
    <col min="7" max="7" width="12.7109375" customWidth="1"/>
    <col min="13" max="13" width="11.28515625" customWidth="1"/>
    <col min="14" max="14" width="10.140625" bestFit="1" customWidth="1"/>
    <col min="15" max="15" width="11.42578125" customWidth="1"/>
    <col min="16" max="16" width="11" customWidth="1"/>
    <col min="17" max="17" width="11.140625" bestFit="1" customWidth="1"/>
    <col min="22" max="22" width="13.140625" customWidth="1"/>
  </cols>
  <sheetData>
    <row r="1" spans="1:18" ht="38.25">
      <c r="B1" s="64" t="s">
        <v>98</v>
      </c>
      <c r="C1" s="64" t="s">
        <v>76</v>
      </c>
      <c r="D1" s="64" t="s">
        <v>77</v>
      </c>
      <c r="M1" s="197" t="s">
        <v>78</v>
      </c>
      <c r="N1" s="197"/>
      <c r="O1" s="197"/>
    </row>
    <row r="2" spans="1:18">
      <c r="A2">
        <v>2005</v>
      </c>
      <c r="C2" s="66"/>
      <c r="D2" s="67">
        <f>C2</f>
        <v>0</v>
      </c>
      <c r="E2" s="67">
        <f t="shared" ref="E2:E11" si="0">D2/$K$14</f>
        <v>0</v>
      </c>
      <c r="G2" s="196" t="s">
        <v>79</v>
      </c>
      <c r="H2" s="196"/>
      <c r="J2" s="65" t="s">
        <v>80</v>
      </c>
      <c r="K2" s="65">
        <v>1</v>
      </c>
      <c r="M2" s="198">
        <v>3640000</v>
      </c>
      <c r="N2" s="198"/>
      <c r="O2" s="198"/>
    </row>
    <row r="3" spans="1:18" ht="13.5" thickBot="1">
      <c r="A3">
        <v>2006</v>
      </c>
      <c r="B3" s="147">
        <v>359864.61550297518</v>
      </c>
      <c r="C3" s="67">
        <f>B3</f>
        <v>359864.61550297518</v>
      </c>
      <c r="D3" s="67">
        <f>C3</f>
        <v>359864.61550297518</v>
      </c>
      <c r="E3" s="67">
        <f t="shared" si="0"/>
        <v>4613.6489167048103</v>
      </c>
      <c r="G3" s="68">
        <f>D27</f>
        <v>359864.61550297524</v>
      </c>
      <c r="H3" s="68">
        <f t="shared" ref="H3:H11" si="1">C3-G3</f>
        <v>0</v>
      </c>
      <c r="J3" s="65" t="s">
        <v>81</v>
      </c>
      <c r="K3" s="65">
        <v>2</v>
      </c>
    </row>
    <row r="4" spans="1:18">
      <c r="A4">
        <v>2007</v>
      </c>
      <c r="B4" s="147">
        <v>1029239.2469527922</v>
      </c>
      <c r="C4" s="67">
        <f>B4</f>
        <v>1029239.2469527922</v>
      </c>
      <c r="D4" s="67">
        <f>C4-E27</f>
        <v>364873.80294729932</v>
      </c>
      <c r="E4" s="67">
        <f t="shared" si="0"/>
        <v>4677.8692685551196</v>
      </c>
      <c r="G4" s="68">
        <f>D39</f>
        <v>1029239.2469527923</v>
      </c>
      <c r="H4" s="68">
        <f t="shared" si="1"/>
        <v>0</v>
      </c>
      <c r="J4" s="65" t="s">
        <v>82</v>
      </c>
      <c r="K4" s="65">
        <v>3</v>
      </c>
      <c r="M4" s="199" t="s">
        <v>129</v>
      </c>
      <c r="N4" s="200"/>
      <c r="O4" s="200"/>
      <c r="P4" s="200"/>
      <c r="Q4" s="201"/>
    </row>
    <row r="5" spans="1:18">
      <c r="A5">
        <v>2008</v>
      </c>
      <c r="B5" s="147">
        <v>1325543.8323711478</v>
      </c>
      <c r="C5" s="67">
        <f>B5</f>
        <v>1325543.8323711478</v>
      </c>
      <c r="D5" s="67">
        <f>C5-E39</f>
        <v>-12434.786306282505</v>
      </c>
      <c r="E5" s="67">
        <f t="shared" si="0"/>
        <v>-159.42033726003211</v>
      </c>
      <c r="G5" s="68">
        <f>D51</f>
        <v>1325543.8323711478</v>
      </c>
      <c r="H5" s="68">
        <f t="shared" si="1"/>
        <v>0</v>
      </c>
      <c r="J5" s="65" t="s">
        <v>83</v>
      </c>
      <c r="K5" s="65">
        <v>4</v>
      </c>
      <c r="M5" s="73">
        <v>2011</v>
      </c>
      <c r="N5" s="65">
        <v>2012</v>
      </c>
      <c r="O5" s="65">
        <v>2013</v>
      </c>
      <c r="P5" s="65">
        <v>2014</v>
      </c>
      <c r="Q5" s="74" t="s">
        <v>10</v>
      </c>
    </row>
    <row r="6" spans="1:18">
      <c r="A6">
        <v>2009</v>
      </c>
      <c r="B6" s="147">
        <v>1548898.4543320846</v>
      </c>
      <c r="C6" s="67">
        <f>B6</f>
        <v>1548898.4543320846</v>
      </c>
      <c r="D6" s="67">
        <f>C6-E51</f>
        <v>233876.36422009883</v>
      </c>
      <c r="E6" s="67">
        <f t="shared" si="0"/>
        <v>2998.4149258987027</v>
      </c>
      <c r="G6" s="68">
        <f>D63</f>
        <v>1548898.4543320846</v>
      </c>
      <c r="H6" s="68">
        <f t="shared" si="1"/>
        <v>0</v>
      </c>
      <c r="J6" s="65" t="s">
        <v>84</v>
      </c>
      <c r="K6" s="65">
        <v>5</v>
      </c>
      <c r="M6" s="150">
        <f>M12/$M$2</f>
        <v>2.9432042083170459E-2</v>
      </c>
      <c r="N6" s="89">
        <f>N12/$M$2</f>
        <v>2.9432042083170459E-2</v>
      </c>
      <c r="O6" s="89">
        <f>O12/$M$2</f>
        <v>2.9432042083170459E-2</v>
      </c>
      <c r="P6" s="89">
        <f>P12/$M$2</f>
        <v>2.9201920759883121E-2</v>
      </c>
      <c r="Q6" s="76">
        <f>SUM(M6:P6)</f>
        <v>0.11749804700939449</v>
      </c>
    </row>
    <row r="7" spans="1:18">
      <c r="A7">
        <v>2010</v>
      </c>
      <c r="B7" s="147">
        <v>1450090.2635797774</v>
      </c>
      <c r="C7" s="67">
        <f>B7</f>
        <v>1450090.2635797774</v>
      </c>
      <c r="D7" s="67">
        <f>C7-E63</f>
        <v>-296703.57586162211</v>
      </c>
      <c r="E7" s="67">
        <f t="shared" si="0"/>
        <v>-3803.8919982259245</v>
      </c>
      <c r="G7" s="68">
        <f>D75</f>
        <v>1450090.2635797774</v>
      </c>
      <c r="H7" s="68">
        <f t="shared" si="1"/>
        <v>0</v>
      </c>
      <c r="J7" s="65" t="s">
        <v>85</v>
      </c>
      <c r="K7" s="65">
        <v>6</v>
      </c>
      <c r="M7" s="77"/>
      <c r="N7" s="75">
        <f>N13/$M$2</f>
        <v>0.12571208791208791</v>
      </c>
      <c r="O7" s="75">
        <f t="shared" ref="O7:P7" si="2">O13/$M$2</f>
        <v>0.12571208791208791</v>
      </c>
      <c r="P7" s="75">
        <f t="shared" si="2"/>
        <v>0.12527087912087911</v>
      </c>
      <c r="Q7" s="76">
        <f>SUM(M7:P7)</f>
        <v>0.37669505494505495</v>
      </c>
    </row>
    <row r="8" spans="1:18">
      <c r="A8">
        <v>2011</v>
      </c>
      <c r="B8" s="147">
        <v>942865.13072029024</v>
      </c>
      <c r="C8" s="67">
        <f>B8+M12</f>
        <v>1049997.7639030307</v>
      </c>
      <c r="D8" s="67">
        <f>C8-E75</f>
        <v>-149035.62779383617</v>
      </c>
      <c r="E8" s="67">
        <f t="shared" si="0"/>
        <v>-1910.7131768440536</v>
      </c>
      <c r="G8" s="68">
        <f>D87</f>
        <v>1049997.7639030302</v>
      </c>
      <c r="H8" s="68">
        <f t="shared" si="1"/>
        <v>0</v>
      </c>
      <c r="J8" s="65" t="s">
        <v>86</v>
      </c>
      <c r="K8" s="65">
        <v>7</v>
      </c>
      <c r="M8" s="78"/>
      <c r="N8" s="75"/>
      <c r="O8" s="75">
        <f>(100%-Q6-Q7)/3</f>
        <v>0.16860229934851687</v>
      </c>
      <c r="P8" s="75">
        <f>O8</f>
        <v>0.16860229934851687</v>
      </c>
      <c r="Q8" s="76">
        <f>SUM(M8:P8)</f>
        <v>0.33720459869703373</v>
      </c>
    </row>
    <row r="9" spans="1:18">
      <c r="A9">
        <v>2012</v>
      </c>
      <c r="B9" s="147">
        <v>913636.26628446579</v>
      </c>
      <c r="C9" s="67">
        <f>B9+N12+N13</f>
        <v>1478360.8994672061</v>
      </c>
      <c r="D9" s="67">
        <f>C9-E87</f>
        <v>554470.20523588383</v>
      </c>
      <c r="E9" s="67">
        <f t="shared" si="0"/>
        <v>7108.5923748190235</v>
      </c>
      <c r="G9" s="68">
        <f>D99</f>
        <v>1478360.8994672059</v>
      </c>
      <c r="H9" s="68">
        <f t="shared" si="1"/>
        <v>0</v>
      </c>
      <c r="J9" s="65" t="s">
        <v>87</v>
      </c>
      <c r="K9" s="65">
        <v>8</v>
      </c>
      <c r="M9" s="78"/>
      <c r="N9" s="79"/>
      <c r="O9" s="75"/>
      <c r="P9" s="75">
        <f>P8</f>
        <v>0.16860229934851687</v>
      </c>
      <c r="Q9" s="76">
        <f>SUM(M9:P9)</f>
        <v>0.16860229934851687</v>
      </c>
    </row>
    <row r="10" spans="1:18">
      <c r="A10">
        <v>2013</v>
      </c>
      <c r="B10" s="147">
        <v>901169.98049449991</v>
      </c>
      <c r="C10" s="67">
        <f>B10+O12+O13</f>
        <v>1465894.6136772404</v>
      </c>
      <c r="D10" s="67">
        <f>C10-E99</f>
        <v>-481633.38252802053</v>
      </c>
      <c r="E10" s="67">
        <f t="shared" si="0"/>
        <v>-6174.7869554874424</v>
      </c>
      <c r="G10" s="68">
        <f>D111</f>
        <v>1465894.61367724</v>
      </c>
      <c r="H10" s="68">
        <f t="shared" si="1"/>
        <v>0</v>
      </c>
      <c r="J10" s="65" t="s">
        <v>88</v>
      </c>
      <c r="K10" s="65">
        <v>9</v>
      </c>
      <c r="M10" s="77">
        <f>SUM(M6:M9)</f>
        <v>2.9432042083170459E-2</v>
      </c>
      <c r="N10" s="75">
        <f>SUM(N6:N9)</f>
        <v>0.15514412999525837</v>
      </c>
      <c r="O10" s="75">
        <f>SUM(O6:O9)</f>
        <v>0.32374642934377523</v>
      </c>
      <c r="P10" s="75">
        <f>SUM(P6:P9)</f>
        <v>0.49167739857779602</v>
      </c>
      <c r="Q10" s="76">
        <f>SUM(M10:P10)</f>
        <v>1</v>
      </c>
    </row>
    <row r="11" spans="1:18">
      <c r="A11">
        <v>2014</v>
      </c>
      <c r="B11" s="147">
        <v>823524.14312241517</v>
      </c>
      <c r="C11" s="67">
        <f>B11+P12+P13</f>
        <v>1385805.1346883897</v>
      </c>
      <c r="D11" s="67">
        <f>C11-E111</f>
        <v>327446.46007332136</v>
      </c>
      <c r="E11" s="67">
        <f t="shared" si="0"/>
        <v>4198.0315394015561</v>
      </c>
      <c r="G11" s="68">
        <f>D123</f>
        <v>1385805.1346883904</v>
      </c>
      <c r="H11" s="68">
        <f t="shared" si="1"/>
        <v>0</v>
      </c>
      <c r="J11" s="65" t="s">
        <v>89</v>
      </c>
      <c r="K11" s="65">
        <v>10</v>
      </c>
      <c r="M11" s="202"/>
      <c r="N11" s="197"/>
      <c r="O11" s="197"/>
      <c r="P11" s="197"/>
      <c r="Q11" s="203"/>
    </row>
    <row r="12" spans="1:18">
      <c r="A12" t="s">
        <v>10</v>
      </c>
      <c r="B12" s="67">
        <f>SUM(B3:B11)</f>
        <v>9294831.9333604481</v>
      </c>
      <c r="C12" s="67">
        <f>SUM(C3:C11)</f>
        <v>11093694.824474644</v>
      </c>
      <c r="D12" s="67"/>
      <c r="E12" s="67"/>
      <c r="G12" s="67">
        <f>SUM(G3:G11)</f>
        <v>11093694.824474644</v>
      </c>
      <c r="H12" s="68">
        <f>SUM(H3:H11)</f>
        <v>0</v>
      </c>
      <c r="J12" s="65" t="s">
        <v>90</v>
      </c>
      <c r="K12" s="65">
        <v>11</v>
      </c>
      <c r="M12" s="148">
        <f>'[6]3.1.1 Summary - LDC'!B21*1000000</f>
        <v>107132.63318274046</v>
      </c>
      <c r="N12" s="164">
        <f>'[6]3.1.1 Summary - LDC'!C21*1000000</f>
        <v>107132.63318274046</v>
      </c>
      <c r="O12" s="164">
        <f>'[6]3.1.1 Summary - LDC'!D21*1000000</f>
        <v>107132.63318274046</v>
      </c>
      <c r="P12" s="164">
        <f>'[6]3.1.1 Summary - LDC'!E21*1000000</f>
        <v>106294.99156597456</v>
      </c>
      <c r="Q12" s="81">
        <f>SUM(M12:P12)</f>
        <v>427692.89111419593</v>
      </c>
      <c r="R12" s="96" t="s">
        <v>128</v>
      </c>
    </row>
    <row r="13" spans="1:18">
      <c r="C13" s="67"/>
      <c r="E13" s="67"/>
      <c r="J13" s="65" t="s">
        <v>92</v>
      </c>
      <c r="K13" s="65">
        <v>12</v>
      </c>
      <c r="M13" s="80"/>
      <c r="N13" s="171">
        <v>457592</v>
      </c>
      <c r="O13" s="149">
        <f>N13</f>
        <v>457592</v>
      </c>
      <c r="P13" s="149">
        <f>O13-1606</f>
        <v>455986</v>
      </c>
      <c r="Q13" s="81">
        <f>SUM(M13:P13)</f>
        <v>1371170</v>
      </c>
      <c r="R13" s="96" t="s">
        <v>149</v>
      </c>
    </row>
    <row r="14" spans="1:18">
      <c r="C14" s="67" t="s">
        <v>91</v>
      </c>
      <c r="J14" s="65" t="s">
        <v>10</v>
      </c>
      <c r="K14" s="65">
        <f>SUM(K2:K13)</f>
        <v>78</v>
      </c>
      <c r="M14" s="80"/>
      <c r="N14" s="71"/>
      <c r="O14" s="71">
        <f>M2*O8</f>
        <v>613712.36962860136</v>
      </c>
      <c r="P14" s="71">
        <f>O14</f>
        <v>613712.36962860136</v>
      </c>
      <c r="Q14" s="81">
        <f>SUM(M14:P14)</f>
        <v>1227424.7392572027</v>
      </c>
    </row>
    <row r="15" spans="1:18">
      <c r="C15" s="67"/>
      <c r="M15" s="80"/>
      <c r="N15" s="71"/>
      <c r="O15" s="71"/>
      <c r="P15" s="71">
        <f>P14</f>
        <v>613712.36962860136</v>
      </c>
      <c r="Q15" s="81">
        <f>SUM(M15:P15)</f>
        <v>613712.36962860136</v>
      </c>
    </row>
    <row r="16" spans="1:18" ht="13.5" thickBot="1">
      <c r="A16" s="3">
        <v>38718</v>
      </c>
      <c r="B16" s="3"/>
      <c r="C16" s="67">
        <f>$E$3</f>
        <v>4613.6489167048103</v>
      </c>
      <c r="G16" s="68"/>
      <c r="M16" s="82">
        <f>SUM(M12:M15)</f>
        <v>107132.63318274046</v>
      </c>
      <c r="N16" s="83">
        <f>SUM(N12:N15)</f>
        <v>564724.63318274042</v>
      </c>
      <c r="O16" s="83">
        <f>SUM(O12:O15)</f>
        <v>1178437.0028113418</v>
      </c>
      <c r="P16" s="83">
        <f>SUM(P12:P15)</f>
        <v>1789705.7308231774</v>
      </c>
      <c r="Q16" s="84">
        <f>SUM(M16:P16)</f>
        <v>3640000</v>
      </c>
    </row>
    <row r="17" spans="1:55">
      <c r="A17" s="3">
        <v>38749</v>
      </c>
      <c r="B17" s="3"/>
      <c r="C17" s="67">
        <f t="shared" ref="C17:C27" si="3">C16+$E$3</f>
        <v>9227.2978334096206</v>
      </c>
    </row>
    <row r="18" spans="1:55" ht="12.75" customHeight="1">
      <c r="A18" s="3">
        <v>38777</v>
      </c>
      <c r="B18" s="3"/>
      <c r="C18" s="67">
        <f t="shared" si="3"/>
        <v>13840.946750114432</v>
      </c>
    </row>
    <row r="19" spans="1:55">
      <c r="A19" s="3">
        <v>38808</v>
      </c>
      <c r="B19" s="3"/>
      <c r="C19" s="67">
        <f t="shared" si="3"/>
        <v>18454.595666819241</v>
      </c>
      <c r="N19" s="72"/>
    </row>
    <row r="20" spans="1:55">
      <c r="A20" s="3">
        <v>38838</v>
      </c>
      <c r="B20" s="3"/>
      <c r="C20" s="67">
        <f t="shared" si="3"/>
        <v>23068.244583524051</v>
      </c>
    </row>
    <row r="21" spans="1:55">
      <c r="A21" s="3">
        <v>38869</v>
      </c>
      <c r="B21" s="3"/>
      <c r="C21" s="67">
        <f t="shared" si="3"/>
        <v>27681.89350022886</v>
      </c>
      <c r="P21" s="72"/>
      <c r="Q21" s="72"/>
    </row>
    <row r="22" spans="1:55">
      <c r="A22" s="3">
        <v>38899</v>
      </c>
      <c r="B22" s="3"/>
      <c r="C22" s="67">
        <f t="shared" si="3"/>
        <v>32295.542416933669</v>
      </c>
      <c r="Q22" s="72"/>
    </row>
    <row r="23" spans="1:55">
      <c r="A23" s="3">
        <v>38930</v>
      </c>
      <c r="B23" s="3"/>
      <c r="C23" s="67">
        <f t="shared" si="3"/>
        <v>36909.191333638482</v>
      </c>
      <c r="Q23" s="72"/>
    </row>
    <row r="24" spans="1:55">
      <c r="A24" s="3">
        <v>38961</v>
      </c>
      <c r="B24" s="3"/>
      <c r="C24" s="67">
        <f t="shared" si="3"/>
        <v>41522.840250343295</v>
      </c>
    </row>
    <row r="25" spans="1:55">
      <c r="A25" s="3">
        <v>38991</v>
      </c>
      <c r="B25" s="3"/>
      <c r="C25" s="67">
        <f t="shared" si="3"/>
        <v>46136.489167048108</v>
      </c>
    </row>
    <row r="26" spans="1:55">
      <c r="A26" s="3">
        <v>39022</v>
      </c>
      <c r="B26" s="3"/>
      <c r="C26" s="67">
        <f t="shared" si="3"/>
        <v>50750.138083752921</v>
      </c>
      <c r="D26" s="4" t="s">
        <v>79</v>
      </c>
      <c r="BC26" t="s">
        <v>100</v>
      </c>
    </row>
    <row r="27" spans="1:55">
      <c r="A27" s="3">
        <v>39052</v>
      </c>
      <c r="B27" s="3"/>
      <c r="C27" s="67">
        <f t="shared" si="3"/>
        <v>55363.787000457734</v>
      </c>
      <c r="D27" s="67">
        <f>SUM(C16:C27)</f>
        <v>359864.61550297524</v>
      </c>
      <c r="E27" s="67">
        <f>C27*12</f>
        <v>664365.44400549284</v>
      </c>
      <c r="Y27" s="72"/>
    </row>
    <row r="28" spans="1:55">
      <c r="A28" s="3">
        <v>39083</v>
      </c>
      <c r="B28" s="3"/>
      <c r="C28" s="67">
        <f t="shared" ref="C28:C39" si="4">C27+$E$4</f>
        <v>60041.656269012856</v>
      </c>
    </row>
    <row r="29" spans="1:55">
      <c r="A29" s="3">
        <v>39114</v>
      </c>
      <c r="B29" s="3"/>
      <c r="C29" s="67">
        <f t="shared" si="4"/>
        <v>64719.525537567977</v>
      </c>
    </row>
    <row r="30" spans="1:55">
      <c r="A30" s="3">
        <v>39142</v>
      </c>
      <c r="B30" s="3"/>
      <c r="C30" s="67">
        <f t="shared" si="4"/>
        <v>69397.394806123091</v>
      </c>
    </row>
    <row r="31" spans="1:55">
      <c r="A31" s="3">
        <v>39173</v>
      </c>
      <c r="B31" s="3"/>
      <c r="C31" s="67">
        <f t="shared" si="4"/>
        <v>74075.264074678213</v>
      </c>
    </row>
    <row r="32" spans="1:55">
      <c r="A32" s="3">
        <v>39203</v>
      </c>
      <c r="B32" s="3"/>
      <c r="C32" s="67">
        <f t="shared" si="4"/>
        <v>78753.133343233334</v>
      </c>
    </row>
    <row r="33" spans="1:5">
      <c r="A33" s="3">
        <v>39234</v>
      </c>
      <c r="B33" s="3"/>
      <c r="C33" s="67">
        <f t="shared" si="4"/>
        <v>83431.002611788455</v>
      </c>
    </row>
    <row r="34" spans="1:5">
      <c r="A34" s="3">
        <v>39264</v>
      </c>
      <c r="B34" s="3"/>
      <c r="C34" s="67">
        <f t="shared" si="4"/>
        <v>88108.871880343577</v>
      </c>
    </row>
    <row r="35" spans="1:5">
      <c r="A35" s="3">
        <v>39295</v>
      </c>
      <c r="B35" s="3"/>
      <c r="C35" s="67">
        <f t="shared" si="4"/>
        <v>92786.741148898698</v>
      </c>
    </row>
    <row r="36" spans="1:5">
      <c r="A36" s="3">
        <v>39326</v>
      </c>
      <c r="B36" s="3"/>
      <c r="C36" s="67">
        <f t="shared" si="4"/>
        <v>97464.61041745382</v>
      </c>
    </row>
    <row r="37" spans="1:5">
      <c r="A37" s="3">
        <v>39356</v>
      </c>
      <c r="B37" s="3"/>
      <c r="C37" s="67">
        <f t="shared" si="4"/>
        <v>102142.47968600894</v>
      </c>
    </row>
    <row r="38" spans="1:5">
      <c r="A38" s="3">
        <v>39387</v>
      </c>
      <c r="B38" s="3"/>
      <c r="C38" s="67">
        <f t="shared" si="4"/>
        <v>106820.34895456406</v>
      </c>
      <c r="D38" s="4" t="s">
        <v>79</v>
      </c>
    </row>
    <row r="39" spans="1:5">
      <c r="A39" s="3">
        <v>39417</v>
      </c>
      <c r="B39" s="3"/>
      <c r="C39" s="67">
        <f t="shared" si="4"/>
        <v>111498.21822311918</v>
      </c>
      <c r="D39" s="67">
        <f>SUM(C28:C39)</f>
        <v>1029239.2469527923</v>
      </c>
      <c r="E39" s="67">
        <f>C39*12</f>
        <v>1337978.6186774303</v>
      </c>
    </row>
    <row r="40" spans="1:5">
      <c r="A40" s="3">
        <v>39448</v>
      </c>
      <c r="B40" s="3"/>
      <c r="C40" s="67">
        <f t="shared" ref="C40:C51" si="5">C39+$E$5</f>
        <v>111338.79788585915</v>
      </c>
    </row>
    <row r="41" spans="1:5">
      <c r="A41" s="3">
        <v>39479</v>
      </c>
      <c r="B41" s="3"/>
      <c r="C41" s="67">
        <f t="shared" si="5"/>
        <v>111179.37754859912</v>
      </c>
    </row>
    <row r="42" spans="1:5">
      <c r="A42" s="3">
        <v>39508</v>
      </c>
      <c r="B42" s="3"/>
      <c r="C42" s="67">
        <f t="shared" si="5"/>
        <v>111019.95721133909</v>
      </c>
    </row>
    <row r="43" spans="1:5">
      <c r="A43" s="3">
        <v>39539</v>
      </c>
      <c r="B43" s="3"/>
      <c r="C43" s="67">
        <f t="shared" si="5"/>
        <v>110860.53687407906</v>
      </c>
    </row>
    <row r="44" spans="1:5">
      <c r="A44" s="3">
        <v>39569</v>
      </c>
      <c r="B44" s="3"/>
      <c r="C44" s="67">
        <f t="shared" si="5"/>
        <v>110701.11653681903</v>
      </c>
    </row>
    <row r="45" spans="1:5">
      <c r="A45" s="3">
        <v>39600</v>
      </c>
      <c r="B45" s="3"/>
      <c r="C45" s="67">
        <f t="shared" si="5"/>
        <v>110541.696199559</v>
      </c>
    </row>
    <row r="46" spans="1:5">
      <c r="A46" s="3">
        <v>39630</v>
      </c>
      <c r="B46" s="3"/>
      <c r="C46" s="67">
        <f t="shared" si="5"/>
        <v>110382.27586229896</v>
      </c>
    </row>
    <row r="47" spans="1:5">
      <c r="A47" s="3">
        <v>39661</v>
      </c>
      <c r="B47" s="3"/>
      <c r="C47" s="67">
        <f t="shared" si="5"/>
        <v>110222.85552503893</v>
      </c>
    </row>
    <row r="48" spans="1:5">
      <c r="A48" s="3">
        <v>39692</v>
      </c>
      <c r="B48" s="3"/>
      <c r="C48" s="67">
        <f t="shared" si="5"/>
        <v>110063.4351877789</v>
      </c>
    </row>
    <row r="49" spans="1:5">
      <c r="A49" s="3">
        <v>39722</v>
      </c>
      <c r="B49" s="3"/>
      <c r="C49" s="67">
        <f t="shared" si="5"/>
        <v>109904.01485051887</v>
      </c>
    </row>
    <row r="50" spans="1:5">
      <c r="A50" s="3">
        <v>39753</v>
      </c>
      <c r="B50" s="3"/>
      <c r="C50" s="67">
        <f t="shared" si="5"/>
        <v>109744.59451325884</v>
      </c>
    </row>
    <row r="51" spans="1:5">
      <c r="A51" s="3">
        <v>39783</v>
      </c>
      <c r="B51" s="3"/>
      <c r="C51" s="67">
        <f t="shared" si="5"/>
        <v>109585.17417599881</v>
      </c>
      <c r="D51" s="67">
        <f>SUM(C40:C51)</f>
        <v>1325543.8323711478</v>
      </c>
      <c r="E51" s="67">
        <f>C51*12</f>
        <v>1315022.0901119858</v>
      </c>
    </row>
    <row r="52" spans="1:5">
      <c r="A52" s="3">
        <v>39814</v>
      </c>
      <c r="B52" s="3"/>
      <c r="C52" s="67">
        <f t="shared" ref="C52:C63" si="6">C51+$E$6</f>
        <v>112583.58910189751</v>
      </c>
    </row>
    <row r="53" spans="1:5">
      <c r="A53" s="3">
        <v>39845</v>
      </c>
      <c r="B53" s="3"/>
      <c r="C53" s="67">
        <f t="shared" si="6"/>
        <v>115582.00402779621</v>
      </c>
    </row>
    <row r="54" spans="1:5">
      <c r="A54" s="3">
        <v>39873</v>
      </c>
      <c r="B54" s="3"/>
      <c r="C54" s="67">
        <f t="shared" si="6"/>
        <v>118580.41895369491</v>
      </c>
    </row>
    <row r="55" spans="1:5">
      <c r="A55" s="3">
        <v>39904</v>
      </c>
      <c r="B55" s="3"/>
      <c r="C55" s="67">
        <f t="shared" si="6"/>
        <v>121578.83387959361</v>
      </c>
    </row>
    <row r="56" spans="1:5">
      <c r="A56" s="3">
        <v>39934</v>
      </c>
      <c r="B56" s="3"/>
      <c r="C56" s="67">
        <f t="shared" si="6"/>
        <v>124577.24880549232</v>
      </c>
    </row>
    <row r="57" spans="1:5">
      <c r="A57" s="3">
        <v>39965</v>
      </c>
      <c r="B57" s="3"/>
      <c r="C57" s="67">
        <f t="shared" si="6"/>
        <v>127575.66373139102</v>
      </c>
    </row>
    <row r="58" spans="1:5">
      <c r="A58" s="3">
        <v>39995</v>
      </c>
      <c r="B58" s="3"/>
      <c r="C58" s="67">
        <f t="shared" si="6"/>
        <v>130574.07865728972</v>
      </c>
    </row>
    <row r="59" spans="1:5">
      <c r="A59" s="3">
        <v>40026</v>
      </c>
      <c r="B59" s="3"/>
      <c r="C59" s="67">
        <f t="shared" si="6"/>
        <v>133572.49358318842</v>
      </c>
    </row>
    <row r="60" spans="1:5">
      <c r="A60" s="3">
        <v>40057</v>
      </c>
      <c r="B60" s="3"/>
      <c r="C60" s="67">
        <f t="shared" si="6"/>
        <v>136570.90850908714</v>
      </c>
    </row>
    <row r="61" spans="1:5">
      <c r="A61" s="3">
        <v>40087</v>
      </c>
      <c r="B61" s="3"/>
      <c r="C61" s="67">
        <f t="shared" si="6"/>
        <v>139569.32343498585</v>
      </c>
    </row>
    <row r="62" spans="1:5">
      <c r="A62" s="3">
        <v>40118</v>
      </c>
      <c r="B62" s="3"/>
      <c r="C62" s="67">
        <f t="shared" si="6"/>
        <v>142567.73836088457</v>
      </c>
    </row>
    <row r="63" spans="1:5">
      <c r="A63" s="3">
        <v>40148</v>
      </c>
      <c r="B63" s="3"/>
      <c r="C63" s="67">
        <f t="shared" si="6"/>
        <v>145566.15328678329</v>
      </c>
      <c r="D63" s="67">
        <f>SUM(C52:C63)</f>
        <v>1548898.4543320846</v>
      </c>
      <c r="E63" s="67">
        <f>C63*12</f>
        <v>1746793.8394413996</v>
      </c>
    </row>
    <row r="64" spans="1:5">
      <c r="A64" s="3">
        <v>40179</v>
      </c>
      <c r="B64" s="3"/>
      <c r="C64" s="67">
        <f t="shared" ref="C64:C75" si="7">C63+$E$7</f>
        <v>141762.26128855738</v>
      </c>
    </row>
    <row r="65" spans="1:5">
      <c r="A65" s="3">
        <v>40210</v>
      </c>
      <c r="B65" s="3"/>
      <c r="C65" s="67">
        <f t="shared" si="7"/>
        <v>137958.36929033147</v>
      </c>
    </row>
    <row r="66" spans="1:5">
      <c r="A66" s="3">
        <v>40238</v>
      </c>
      <c r="B66" s="3"/>
      <c r="C66" s="67">
        <f t="shared" si="7"/>
        <v>134154.47729210556</v>
      </c>
    </row>
    <row r="67" spans="1:5">
      <c r="A67" s="3">
        <v>40269</v>
      </c>
      <c r="B67" s="3"/>
      <c r="C67" s="67">
        <f t="shared" si="7"/>
        <v>130350.58529387963</v>
      </c>
    </row>
    <row r="68" spans="1:5">
      <c r="A68" s="3">
        <v>40299</v>
      </c>
      <c r="B68" s="3"/>
      <c r="C68" s="67">
        <f t="shared" si="7"/>
        <v>126546.69329565371</v>
      </c>
    </row>
    <row r="69" spans="1:5">
      <c r="A69" s="3">
        <v>40330</v>
      </c>
      <c r="B69" s="3"/>
      <c r="C69" s="67">
        <f t="shared" si="7"/>
        <v>122742.80129742778</v>
      </c>
    </row>
    <row r="70" spans="1:5">
      <c r="A70" s="3">
        <v>40360</v>
      </c>
      <c r="B70" s="3"/>
      <c r="C70" s="67">
        <f t="shared" si="7"/>
        <v>118938.90929920186</v>
      </c>
    </row>
    <row r="71" spans="1:5">
      <c r="A71" s="3">
        <v>40391</v>
      </c>
      <c r="B71" s="3"/>
      <c r="C71" s="67">
        <f t="shared" si="7"/>
        <v>115135.01730097593</v>
      </c>
    </row>
    <row r="72" spans="1:5">
      <c r="A72" s="3">
        <v>40422</v>
      </c>
      <c r="B72" s="3"/>
      <c r="C72" s="67">
        <f t="shared" si="7"/>
        <v>111331.12530275001</v>
      </c>
    </row>
    <row r="73" spans="1:5">
      <c r="A73" s="3">
        <v>40452</v>
      </c>
      <c r="B73" s="3"/>
      <c r="C73" s="67">
        <f t="shared" si="7"/>
        <v>107527.23330452408</v>
      </c>
    </row>
    <row r="74" spans="1:5">
      <c r="A74" s="3">
        <v>40483</v>
      </c>
      <c r="B74" s="3"/>
      <c r="C74" s="67">
        <f t="shared" si="7"/>
        <v>103723.34130629816</v>
      </c>
    </row>
    <row r="75" spans="1:5">
      <c r="A75" s="3">
        <v>40513</v>
      </c>
      <c r="B75" s="3"/>
      <c r="C75" s="67">
        <f t="shared" si="7"/>
        <v>99919.449308072231</v>
      </c>
      <c r="D75" s="67">
        <f>SUM(C64:C75)</f>
        <v>1450090.2635797774</v>
      </c>
      <c r="E75" s="67">
        <f>C75*12</f>
        <v>1199033.3916968668</v>
      </c>
    </row>
    <row r="76" spans="1:5">
      <c r="A76" s="3">
        <v>40544</v>
      </c>
      <c r="B76" s="3"/>
      <c r="C76" s="67">
        <f t="shared" ref="C76:C87" si="8">C75+$E$8</f>
        <v>98008.736131228172</v>
      </c>
    </row>
    <row r="77" spans="1:5">
      <c r="A77" s="3">
        <v>40575</v>
      </c>
      <c r="B77" s="3"/>
      <c r="C77" s="67">
        <f t="shared" si="8"/>
        <v>96098.022954384112</v>
      </c>
    </row>
    <row r="78" spans="1:5">
      <c r="A78" s="3">
        <v>40603</v>
      </c>
      <c r="B78" s="3"/>
      <c r="C78" s="67">
        <f t="shared" si="8"/>
        <v>94187.309777540053</v>
      </c>
    </row>
    <row r="79" spans="1:5">
      <c r="A79" s="3">
        <v>40634</v>
      </c>
      <c r="B79" s="3"/>
      <c r="C79" s="67">
        <f t="shared" si="8"/>
        <v>92276.596600695993</v>
      </c>
    </row>
    <row r="80" spans="1:5">
      <c r="A80" s="3">
        <v>40664</v>
      </c>
      <c r="B80" s="3"/>
      <c r="C80" s="67">
        <f t="shared" si="8"/>
        <v>90365.883423851934</v>
      </c>
    </row>
    <row r="81" spans="1:5">
      <c r="A81" s="3">
        <v>40695</v>
      </c>
      <c r="B81" s="3"/>
      <c r="C81" s="67">
        <f t="shared" si="8"/>
        <v>88455.170247007874</v>
      </c>
    </row>
    <row r="82" spans="1:5">
      <c r="A82" s="3">
        <v>40725</v>
      </c>
      <c r="B82" s="3"/>
      <c r="C82" s="67">
        <f t="shared" si="8"/>
        <v>86544.457070163815</v>
      </c>
    </row>
    <row r="83" spans="1:5">
      <c r="A83" s="3">
        <v>40756</v>
      </c>
      <c r="B83" s="3"/>
      <c r="C83" s="67">
        <f t="shared" si="8"/>
        <v>84633.743893319755</v>
      </c>
    </row>
    <row r="84" spans="1:5">
      <c r="A84" s="3">
        <v>40787</v>
      </c>
      <c r="B84" s="3"/>
      <c r="C84" s="67">
        <f t="shared" si="8"/>
        <v>82723.030716475696</v>
      </c>
    </row>
    <row r="85" spans="1:5">
      <c r="A85" s="3">
        <v>40817</v>
      </c>
      <c r="B85" s="3"/>
      <c r="C85" s="67">
        <f t="shared" si="8"/>
        <v>80812.317539631636</v>
      </c>
    </row>
    <row r="86" spans="1:5">
      <c r="A86" s="3">
        <v>40848</v>
      </c>
      <c r="B86" s="3"/>
      <c r="C86" s="67">
        <f t="shared" si="8"/>
        <v>78901.604362787577</v>
      </c>
    </row>
    <row r="87" spans="1:5">
      <c r="A87" s="3">
        <v>40878</v>
      </c>
      <c r="B87" s="3"/>
      <c r="C87" s="67">
        <f t="shared" si="8"/>
        <v>76990.891185943517</v>
      </c>
      <c r="D87" s="67">
        <f>SUM(C76:C87)</f>
        <v>1049997.7639030302</v>
      </c>
      <c r="E87" s="67">
        <f>C87*12</f>
        <v>923890.69423132227</v>
      </c>
    </row>
    <row r="88" spans="1:5">
      <c r="A88" s="3">
        <v>40909</v>
      </c>
      <c r="B88" s="3"/>
      <c r="C88" s="67">
        <f t="shared" ref="C88:C99" si="9">C87+$E$9</f>
        <v>84099.483560762543</v>
      </c>
    </row>
    <row r="89" spans="1:5">
      <c r="A89" s="3">
        <v>40940</v>
      </c>
      <c r="B89" s="3"/>
      <c r="C89" s="67">
        <f t="shared" si="9"/>
        <v>91208.075935581568</v>
      </c>
    </row>
    <row r="90" spans="1:5">
      <c r="A90" s="3">
        <v>40969</v>
      </c>
      <c r="B90" s="3"/>
      <c r="C90" s="67">
        <f t="shared" si="9"/>
        <v>98316.668310400593</v>
      </c>
    </row>
    <row r="91" spans="1:5">
      <c r="A91" s="3">
        <v>41000</v>
      </c>
      <c r="B91" s="3"/>
      <c r="C91" s="67">
        <f t="shared" si="9"/>
        <v>105425.26068521962</v>
      </c>
    </row>
    <row r="92" spans="1:5">
      <c r="A92" s="3">
        <v>41030</v>
      </c>
      <c r="B92" s="3"/>
      <c r="C92" s="67">
        <f t="shared" si="9"/>
        <v>112533.85306003864</v>
      </c>
    </row>
    <row r="93" spans="1:5">
      <c r="A93" s="3">
        <v>41061</v>
      </c>
      <c r="B93" s="3"/>
      <c r="C93" s="67">
        <f t="shared" si="9"/>
        <v>119642.44543485767</v>
      </c>
    </row>
    <row r="94" spans="1:5">
      <c r="A94" s="3">
        <v>41091</v>
      </c>
      <c r="B94" s="3"/>
      <c r="C94" s="67">
        <f t="shared" si="9"/>
        <v>126751.03780967669</v>
      </c>
    </row>
    <row r="95" spans="1:5">
      <c r="A95" s="3">
        <v>41122</v>
      </c>
      <c r="B95" s="3"/>
      <c r="C95" s="67">
        <f t="shared" si="9"/>
        <v>133859.63018449571</v>
      </c>
    </row>
    <row r="96" spans="1:5">
      <c r="A96" s="3">
        <v>41153</v>
      </c>
      <c r="B96" s="3"/>
      <c r="C96" s="67">
        <f t="shared" si="9"/>
        <v>140968.22255931472</v>
      </c>
    </row>
    <row r="97" spans="1:5">
      <c r="A97" s="3">
        <v>41183</v>
      </c>
      <c r="B97" s="3"/>
      <c r="C97" s="67">
        <f t="shared" si="9"/>
        <v>148076.81493413373</v>
      </c>
    </row>
    <row r="98" spans="1:5">
      <c r="A98" s="3">
        <v>41214</v>
      </c>
      <c r="B98" s="3"/>
      <c r="C98" s="67">
        <f t="shared" si="9"/>
        <v>155185.40730895274</v>
      </c>
    </row>
    <row r="99" spans="1:5">
      <c r="A99" s="3">
        <v>41244</v>
      </c>
      <c r="B99" s="3"/>
      <c r="C99" s="67">
        <f t="shared" si="9"/>
        <v>162293.99968377175</v>
      </c>
      <c r="D99" s="67">
        <f>SUM(C88:C99)</f>
        <v>1478360.8994672059</v>
      </c>
      <c r="E99" s="67">
        <f>C99*12</f>
        <v>1947527.996205261</v>
      </c>
    </row>
    <row r="100" spans="1:5">
      <c r="A100" s="3">
        <v>41275</v>
      </c>
      <c r="B100" s="3"/>
      <c r="C100" s="67">
        <f t="shared" ref="C100:C111" si="10">C99+$E$10</f>
        <v>156119.2127282843</v>
      </c>
    </row>
    <row r="101" spans="1:5">
      <c r="A101" s="3">
        <v>41306</v>
      </c>
      <c r="B101" s="3"/>
      <c r="C101" s="67">
        <f t="shared" si="10"/>
        <v>149944.42577279685</v>
      </c>
    </row>
    <row r="102" spans="1:5">
      <c r="A102" s="3">
        <v>41334</v>
      </c>
      <c r="B102" s="3"/>
      <c r="C102" s="67">
        <f t="shared" si="10"/>
        <v>143769.6388173094</v>
      </c>
    </row>
    <row r="103" spans="1:5">
      <c r="A103" s="3">
        <v>41365</v>
      </c>
      <c r="B103" s="3"/>
      <c r="C103" s="67">
        <f t="shared" si="10"/>
        <v>137594.85186182195</v>
      </c>
    </row>
    <row r="104" spans="1:5">
      <c r="A104" s="3">
        <v>41395</v>
      </c>
      <c r="B104" s="3"/>
      <c r="C104" s="67">
        <f t="shared" si="10"/>
        <v>131420.0649063345</v>
      </c>
    </row>
    <row r="105" spans="1:5">
      <c r="A105" s="3">
        <v>41426</v>
      </c>
      <c r="B105" s="3"/>
      <c r="C105" s="67">
        <f t="shared" si="10"/>
        <v>125245.27795084706</v>
      </c>
    </row>
    <row r="106" spans="1:5">
      <c r="A106" s="3">
        <v>41456</v>
      </c>
      <c r="B106" s="3"/>
      <c r="C106" s="67">
        <f t="shared" si="10"/>
        <v>119070.49099535961</v>
      </c>
    </row>
    <row r="107" spans="1:5">
      <c r="A107" s="3">
        <v>41487</v>
      </c>
      <c r="B107" s="3"/>
      <c r="C107" s="67">
        <f t="shared" si="10"/>
        <v>112895.70403987216</v>
      </c>
    </row>
    <row r="108" spans="1:5">
      <c r="A108" s="3">
        <v>41518</v>
      </c>
      <c r="B108" s="3"/>
      <c r="C108" s="67">
        <f t="shared" si="10"/>
        <v>106720.91708438471</v>
      </c>
    </row>
    <row r="109" spans="1:5">
      <c r="A109" s="3">
        <v>41548</v>
      </c>
      <c r="B109" s="3"/>
      <c r="C109" s="67">
        <f t="shared" si="10"/>
        <v>100546.13012889726</v>
      </c>
    </row>
    <row r="110" spans="1:5">
      <c r="A110" s="3">
        <v>41579</v>
      </c>
      <c r="B110" s="3"/>
      <c r="C110" s="67">
        <f t="shared" si="10"/>
        <v>94371.343173409812</v>
      </c>
    </row>
    <row r="111" spans="1:5">
      <c r="A111" s="3">
        <v>41609</v>
      </c>
      <c r="B111" s="3"/>
      <c r="C111" s="67">
        <f t="shared" si="10"/>
        <v>88196.556217922363</v>
      </c>
      <c r="D111" s="67">
        <f>SUM(C100:C111)</f>
        <v>1465894.61367724</v>
      </c>
      <c r="E111" s="67">
        <f>C111*12</f>
        <v>1058358.6746150684</v>
      </c>
    </row>
    <row r="112" spans="1:5">
      <c r="A112" s="3">
        <v>41640</v>
      </c>
      <c r="C112" s="68">
        <f>C111+$E$11</f>
        <v>92394.587757323927</v>
      </c>
    </row>
    <row r="113" spans="1:5">
      <c r="A113" s="3">
        <v>41671</v>
      </c>
      <c r="C113" s="68">
        <f t="shared" ref="C113:C123" si="11">C112+$E$11</f>
        <v>96592.61929672549</v>
      </c>
    </row>
    <row r="114" spans="1:5">
      <c r="A114" s="3">
        <v>41699</v>
      </c>
      <c r="C114" s="68">
        <f t="shared" si="11"/>
        <v>100790.65083612705</v>
      </c>
    </row>
    <row r="115" spans="1:5">
      <c r="A115" s="3">
        <v>41730</v>
      </c>
      <c r="C115" s="68">
        <f t="shared" si="11"/>
        <v>104988.68237552862</v>
      </c>
    </row>
    <row r="116" spans="1:5">
      <c r="A116" s="3">
        <v>41760</v>
      </c>
      <c r="C116" s="68">
        <f t="shared" si="11"/>
        <v>109186.71391493018</v>
      </c>
    </row>
    <row r="117" spans="1:5">
      <c r="A117" s="3">
        <v>41791</v>
      </c>
      <c r="C117" s="68">
        <f t="shared" si="11"/>
        <v>113384.74545433174</v>
      </c>
    </row>
    <row r="118" spans="1:5">
      <c r="A118" s="3">
        <v>41821</v>
      </c>
      <c r="C118" s="68">
        <f t="shared" si="11"/>
        <v>117582.77699373331</v>
      </c>
    </row>
    <row r="119" spans="1:5">
      <c r="A119" s="3">
        <v>41852</v>
      </c>
      <c r="C119" s="68">
        <f t="shared" si="11"/>
        <v>121780.80853313487</v>
      </c>
    </row>
    <row r="120" spans="1:5">
      <c r="A120" s="3">
        <v>41883</v>
      </c>
      <c r="C120" s="68">
        <f t="shared" si="11"/>
        <v>125978.84007253643</v>
      </c>
    </row>
    <row r="121" spans="1:5">
      <c r="A121" s="3">
        <v>41913</v>
      </c>
      <c r="C121" s="68">
        <f t="shared" si="11"/>
        <v>130176.871611938</v>
      </c>
    </row>
    <row r="122" spans="1:5">
      <c r="A122" s="3">
        <v>41944</v>
      </c>
      <c r="C122" s="68">
        <f t="shared" si="11"/>
        <v>134374.90315133956</v>
      </c>
    </row>
    <row r="123" spans="1:5">
      <c r="A123" s="3">
        <v>41974</v>
      </c>
      <c r="C123" s="68">
        <f t="shared" si="11"/>
        <v>138572.93469074112</v>
      </c>
      <c r="D123" s="67">
        <f>SUM(C112:C123)</f>
        <v>1385805.1346883904</v>
      </c>
      <c r="E123" s="67">
        <f>C123*12</f>
        <v>1662875.2162888935</v>
      </c>
    </row>
    <row r="124" spans="1:5">
      <c r="A124" s="3"/>
    </row>
  </sheetData>
  <mergeCells count="5">
    <mergeCell ref="G2:H2"/>
    <mergeCell ref="M1:O1"/>
    <mergeCell ref="M2:O2"/>
    <mergeCell ref="M4:Q4"/>
    <mergeCell ref="M11:Q11"/>
  </mergeCells>
  <phoneticPr fontId="10" type="noConversion"/>
  <pageMargins left="0.65" right="0.49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66"/>
  <sheetViews>
    <sheetView topLeftCell="J1" workbookViewId="0">
      <selection activeCell="B5" sqref="B5"/>
    </sheetView>
  </sheetViews>
  <sheetFormatPr defaultRowHeight="12.75"/>
  <cols>
    <col min="1" max="1" width="12.28515625" style="95" bestFit="1" customWidth="1"/>
    <col min="2" max="4" width="12.28515625" style="95" customWidth="1"/>
    <col min="5" max="5" width="11.7109375" style="98" customWidth="1"/>
    <col min="6" max="6" width="9.7109375" style="100" customWidth="1"/>
    <col min="7" max="21" width="9.7109375" customWidth="1"/>
    <col min="22" max="22" width="11.5703125" bestFit="1" customWidth="1"/>
    <col min="23" max="23" width="8.140625" bestFit="1" customWidth="1"/>
    <col min="24" max="25" width="18" customWidth="1"/>
    <col min="26" max="26" width="17.140625" customWidth="1"/>
    <col min="27" max="28" width="15.7109375" customWidth="1"/>
    <col min="29" max="29" width="15" customWidth="1"/>
    <col min="30" max="31" width="14.140625" bestFit="1" customWidth="1"/>
    <col min="32" max="32" width="11.7109375" bestFit="1" customWidth="1"/>
    <col min="33" max="33" width="11.85546875" bestFit="1" customWidth="1"/>
    <col min="34" max="34" width="12.5703125" customWidth="1"/>
    <col min="35" max="35" width="11.28515625" customWidth="1"/>
    <col min="36" max="36" width="11.5703125" customWidth="1"/>
    <col min="37" max="37" width="9.28515625" customWidth="1"/>
    <col min="39" max="39" width="11.7109375" bestFit="1" customWidth="1"/>
    <col min="40" max="40" width="10.7109375" bestFit="1" customWidth="1"/>
    <col min="255" max="255" width="12.28515625" bestFit="1" customWidth="1"/>
    <col min="256" max="259" width="12.28515625" customWidth="1"/>
    <col min="260" max="260" width="11.7109375" customWidth="1"/>
    <col min="261" max="275" width="9.7109375" customWidth="1"/>
    <col min="276" max="276" width="11.5703125" bestFit="1" customWidth="1"/>
    <col min="277" max="277" width="8.140625" bestFit="1" customWidth="1"/>
    <col min="278" max="279" width="11.5703125" bestFit="1" customWidth="1"/>
    <col min="280" max="281" width="18" customWidth="1"/>
    <col min="282" max="282" width="17.140625" customWidth="1"/>
    <col min="283" max="284" width="15.7109375" customWidth="1"/>
    <col min="285" max="285" width="15" customWidth="1"/>
    <col min="286" max="287" width="14.140625" bestFit="1" customWidth="1"/>
    <col min="288" max="288" width="11.7109375" bestFit="1" customWidth="1"/>
    <col min="289" max="289" width="11.85546875" bestFit="1" customWidth="1"/>
    <col min="290" max="290" width="12.5703125" customWidth="1"/>
    <col min="291" max="291" width="11.28515625" customWidth="1"/>
    <col min="292" max="292" width="11.5703125" customWidth="1"/>
    <col min="293" max="293" width="9.28515625" customWidth="1"/>
    <col min="295" max="295" width="11.7109375" bestFit="1" customWidth="1"/>
    <col min="296" max="296" width="10.7109375" bestFit="1" customWidth="1"/>
    <col min="511" max="511" width="12.28515625" bestFit="1" customWidth="1"/>
    <col min="512" max="515" width="12.28515625" customWidth="1"/>
    <col min="516" max="516" width="11.7109375" customWidth="1"/>
    <col min="517" max="531" width="9.7109375" customWidth="1"/>
    <col min="532" max="532" width="11.5703125" bestFit="1" customWidth="1"/>
    <col min="533" max="533" width="8.140625" bestFit="1" customWidth="1"/>
    <col min="534" max="535" width="11.5703125" bestFit="1" customWidth="1"/>
    <col min="536" max="537" width="18" customWidth="1"/>
    <col min="538" max="538" width="17.140625" customWidth="1"/>
    <col min="539" max="540" width="15.7109375" customWidth="1"/>
    <col min="541" max="541" width="15" customWidth="1"/>
    <col min="542" max="543" width="14.140625" bestFit="1" customWidth="1"/>
    <col min="544" max="544" width="11.7109375" bestFit="1" customWidth="1"/>
    <col min="545" max="545" width="11.85546875" bestFit="1" customWidth="1"/>
    <col min="546" max="546" width="12.5703125" customWidth="1"/>
    <col min="547" max="547" width="11.28515625" customWidth="1"/>
    <col min="548" max="548" width="11.5703125" customWidth="1"/>
    <col min="549" max="549" width="9.28515625" customWidth="1"/>
    <col min="551" max="551" width="11.7109375" bestFit="1" customWidth="1"/>
    <col min="552" max="552" width="10.7109375" bestFit="1" customWidth="1"/>
    <col min="767" max="767" width="12.28515625" bestFit="1" customWidth="1"/>
    <col min="768" max="771" width="12.28515625" customWidth="1"/>
    <col min="772" max="772" width="11.7109375" customWidth="1"/>
    <col min="773" max="787" width="9.7109375" customWidth="1"/>
    <col min="788" max="788" width="11.5703125" bestFit="1" customWidth="1"/>
    <col min="789" max="789" width="8.140625" bestFit="1" customWidth="1"/>
    <col min="790" max="791" width="11.5703125" bestFit="1" customWidth="1"/>
    <col min="792" max="793" width="18" customWidth="1"/>
    <col min="794" max="794" width="17.140625" customWidth="1"/>
    <col min="795" max="796" width="15.7109375" customWidth="1"/>
    <col min="797" max="797" width="15" customWidth="1"/>
    <col min="798" max="799" width="14.140625" bestFit="1" customWidth="1"/>
    <col min="800" max="800" width="11.7109375" bestFit="1" customWidth="1"/>
    <col min="801" max="801" width="11.85546875" bestFit="1" customWidth="1"/>
    <col min="802" max="802" width="12.5703125" customWidth="1"/>
    <col min="803" max="803" width="11.28515625" customWidth="1"/>
    <col min="804" max="804" width="11.5703125" customWidth="1"/>
    <col min="805" max="805" width="9.28515625" customWidth="1"/>
    <col min="807" max="807" width="11.7109375" bestFit="1" customWidth="1"/>
    <col min="808" max="808" width="10.7109375" bestFit="1" customWidth="1"/>
    <col min="1023" max="1023" width="12.28515625" bestFit="1" customWidth="1"/>
    <col min="1024" max="1027" width="12.28515625" customWidth="1"/>
    <col min="1028" max="1028" width="11.7109375" customWidth="1"/>
    <col min="1029" max="1043" width="9.7109375" customWidth="1"/>
    <col min="1044" max="1044" width="11.5703125" bestFit="1" customWidth="1"/>
    <col min="1045" max="1045" width="8.140625" bestFit="1" customWidth="1"/>
    <col min="1046" max="1047" width="11.5703125" bestFit="1" customWidth="1"/>
    <col min="1048" max="1049" width="18" customWidth="1"/>
    <col min="1050" max="1050" width="17.140625" customWidth="1"/>
    <col min="1051" max="1052" width="15.7109375" customWidth="1"/>
    <col min="1053" max="1053" width="15" customWidth="1"/>
    <col min="1054" max="1055" width="14.140625" bestFit="1" customWidth="1"/>
    <col min="1056" max="1056" width="11.7109375" bestFit="1" customWidth="1"/>
    <col min="1057" max="1057" width="11.85546875" bestFit="1" customWidth="1"/>
    <col min="1058" max="1058" width="12.5703125" customWidth="1"/>
    <col min="1059" max="1059" width="11.28515625" customWidth="1"/>
    <col min="1060" max="1060" width="11.5703125" customWidth="1"/>
    <col min="1061" max="1061" width="9.28515625" customWidth="1"/>
    <col min="1063" max="1063" width="11.7109375" bestFit="1" customWidth="1"/>
    <col min="1064" max="1064" width="10.7109375" bestFit="1" customWidth="1"/>
    <col min="1279" max="1279" width="12.28515625" bestFit="1" customWidth="1"/>
    <col min="1280" max="1283" width="12.28515625" customWidth="1"/>
    <col min="1284" max="1284" width="11.7109375" customWidth="1"/>
    <col min="1285" max="1299" width="9.7109375" customWidth="1"/>
    <col min="1300" max="1300" width="11.5703125" bestFit="1" customWidth="1"/>
    <col min="1301" max="1301" width="8.140625" bestFit="1" customWidth="1"/>
    <col min="1302" max="1303" width="11.5703125" bestFit="1" customWidth="1"/>
    <col min="1304" max="1305" width="18" customWidth="1"/>
    <col min="1306" max="1306" width="17.140625" customWidth="1"/>
    <col min="1307" max="1308" width="15.7109375" customWidth="1"/>
    <col min="1309" max="1309" width="15" customWidth="1"/>
    <col min="1310" max="1311" width="14.140625" bestFit="1" customWidth="1"/>
    <col min="1312" max="1312" width="11.7109375" bestFit="1" customWidth="1"/>
    <col min="1313" max="1313" width="11.85546875" bestFit="1" customWidth="1"/>
    <col min="1314" max="1314" width="12.5703125" customWidth="1"/>
    <col min="1315" max="1315" width="11.28515625" customWidth="1"/>
    <col min="1316" max="1316" width="11.5703125" customWidth="1"/>
    <col min="1317" max="1317" width="9.28515625" customWidth="1"/>
    <col min="1319" max="1319" width="11.7109375" bestFit="1" customWidth="1"/>
    <col min="1320" max="1320" width="10.7109375" bestFit="1" customWidth="1"/>
    <col min="1535" max="1535" width="12.28515625" bestFit="1" customWidth="1"/>
    <col min="1536" max="1539" width="12.28515625" customWidth="1"/>
    <col min="1540" max="1540" width="11.7109375" customWidth="1"/>
    <col min="1541" max="1555" width="9.7109375" customWidth="1"/>
    <col min="1556" max="1556" width="11.5703125" bestFit="1" customWidth="1"/>
    <col min="1557" max="1557" width="8.140625" bestFit="1" customWidth="1"/>
    <col min="1558" max="1559" width="11.5703125" bestFit="1" customWidth="1"/>
    <col min="1560" max="1561" width="18" customWidth="1"/>
    <col min="1562" max="1562" width="17.140625" customWidth="1"/>
    <col min="1563" max="1564" width="15.7109375" customWidth="1"/>
    <col min="1565" max="1565" width="15" customWidth="1"/>
    <col min="1566" max="1567" width="14.140625" bestFit="1" customWidth="1"/>
    <col min="1568" max="1568" width="11.7109375" bestFit="1" customWidth="1"/>
    <col min="1569" max="1569" width="11.85546875" bestFit="1" customWidth="1"/>
    <col min="1570" max="1570" width="12.5703125" customWidth="1"/>
    <col min="1571" max="1571" width="11.28515625" customWidth="1"/>
    <col min="1572" max="1572" width="11.5703125" customWidth="1"/>
    <col min="1573" max="1573" width="9.28515625" customWidth="1"/>
    <col min="1575" max="1575" width="11.7109375" bestFit="1" customWidth="1"/>
    <col min="1576" max="1576" width="10.7109375" bestFit="1" customWidth="1"/>
    <col min="1791" max="1791" width="12.28515625" bestFit="1" customWidth="1"/>
    <col min="1792" max="1795" width="12.28515625" customWidth="1"/>
    <col min="1796" max="1796" width="11.7109375" customWidth="1"/>
    <col min="1797" max="1811" width="9.7109375" customWidth="1"/>
    <col min="1812" max="1812" width="11.5703125" bestFit="1" customWidth="1"/>
    <col min="1813" max="1813" width="8.140625" bestFit="1" customWidth="1"/>
    <col min="1814" max="1815" width="11.5703125" bestFit="1" customWidth="1"/>
    <col min="1816" max="1817" width="18" customWidth="1"/>
    <col min="1818" max="1818" width="17.140625" customWidth="1"/>
    <col min="1819" max="1820" width="15.7109375" customWidth="1"/>
    <col min="1821" max="1821" width="15" customWidth="1"/>
    <col min="1822" max="1823" width="14.140625" bestFit="1" customWidth="1"/>
    <col min="1824" max="1824" width="11.7109375" bestFit="1" customWidth="1"/>
    <col min="1825" max="1825" width="11.85546875" bestFit="1" customWidth="1"/>
    <col min="1826" max="1826" width="12.5703125" customWidth="1"/>
    <col min="1827" max="1827" width="11.28515625" customWidth="1"/>
    <col min="1828" max="1828" width="11.5703125" customWidth="1"/>
    <col min="1829" max="1829" width="9.28515625" customWidth="1"/>
    <col min="1831" max="1831" width="11.7109375" bestFit="1" customWidth="1"/>
    <col min="1832" max="1832" width="10.7109375" bestFit="1" customWidth="1"/>
    <col min="2047" max="2047" width="12.28515625" bestFit="1" customWidth="1"/>
    <col min="2048" max="2051" width="12.28515625" customWidth="1"/>
    <col min="2052" max="2052" width="11.7109375" customWidth="1"/>
    <col min="2053" max="2067" width="9.7109375" customWidth="1"/>
    <col min="2068" max="2068" width="11.5703125" bestFit="1" customWidth="1"/>
    <col min="2069" max="2069" width="8.140625" bestFit="1" customWidth="1"/>
    <col min="2070" max="2071" width="11.5703125" bestFit="1" customWidth="1"/>
    <col min="2072" max="2073" width="18" customWidth="1"/>
    <col min="2074" max="2074" width="17.140625" customWidth="1"/>
    <col min="2075" max="2076" width="15.7109375" customWidth="1"/>
    <col min="2077" max="2077" width="15" customWidth="1"/>
    <col min="2078" max="2079" width="14.140625" bestFit="1" customWidth="1"/>
    <col min="2080" max="2080" width="11.7109375" bestFit="1" customWidth="1"/>
    <col min="2081" max="2081" width="11.85546875" bestFit="1" customWidth="1"/>
    <col min="2082" max="2082" width="12.5703125" customWidth="1"/>
    <col min="2083" max="2083" width="11.28515625" customWidth="1"/>
    <col min="2084" max="2084" width="11.5703125" customWidth="1"/>
    <col min="2085" max="2085" width="9.28515625" customWidth="1"/>
    <col min="2087" max="2087" width="11.7109375" bestFit="1" customWidth="1"/>
    <col min="2088" max="2088" width="10.7109375" bestFit="1" customWidth="1"/>
    <col min="2303" max="2303" width="12.28515625" bestFit="1" customWidth="1"/>
    <col min="2304" max="2307" width="12.28515625" customWidth="1"/>
    <col min="2308" max="2308" width="11.7109375" customWidth="1"/>
    <col min="2309" max="2323" width="9.7109375" customWidth="1"/>
    <col min="2324" max="2324" width="11.5703125" bestFit="1" customWidth="1"/>
    <col min="2325" max="2325" width="8.140625" bestFit="1" customWidth="1"/>
    <col min="2326" max="2327" width="11.5703125" bestFit="1" customWidth="1"/>
    <col min="2328" max="2329" width="18" customWidth="1"/>
    <col min="2330" max="2330" width="17.140625" customWidth="1"/>
    <col min="2331" max="2332" width="15.7109375" customWidth="1"/>
    <col min="2333" max="2333" width="15" customWidth="1"/>
    <col min="2334" max="2335" width="14.140625" bestFit="1" customWidth="1"/>
    <col min="2336" max="2336" width="11.7109375" bestFit="1" customWidth="1"/>
    <col min="2337" max="2337" width="11.85546875" bestFit="1" customWidth="1"/>
    <col min="2338" max="2338" width="12.5703125" customWidth="1"/>
    <col min="2339" max="2339" width="11.28515625" customWidth="1"/>
    <col min="2340" max="2340" width="11.5703125" customWidth="1"/>
    <col min="2341" max="2341" width="9.28515625" customWidth="1"/>
    <col min="2343" max="2343" width="11.7109375" bestFit="1" customWidth="1"/>
    <col min="2344" max="2344" width="10.7109375" bestFit="1" customWidth="1"/>
    <col min="2559" max="2559" width="12.28515625" bestFit="1" customWidth="1"/>
    <col min="2560" max="2563" width="12.28515625" customWidth="1"/>
    <col min="2564" max="2564" width="11.7109375" customWidth="1"/>
    <col min="2565" max="2579" width="9.7109375" customWidth="1"/>
    <col min="2580" max="2580" width="11.5703125" bestFit="1" customWidth="1"/>
    <col min="2581" max="2581" width="8.140625" bestFit="1" customWidth="1"/>
    <col min="2582" max="2583" width="11.5703125" bestFit="1" customWidth="1"/>
    <col min="2584" max="2585" width="18" customWidth="1"/>
    <col min="2586" max="2586" width="17.140625" customWidth="1"/>
    <col min="2587" max="2588" width="15.7109375" customWidth="1"/>
    <col min="2589" max="2589" width="15" customWidth="1"/>
    <col min="2590" max="2591" width="14.140625" bestFit="1" customWidth="1"/>
    <col min="2592" max="2592" width="11.7109375" bestFit="1" customWidth="1"/>
    <col min="2593" max="2593" width="11.85546875" bestFit="1" customWidth="1"/>
    <col min="2594" max="2594" width="12.5703125" customWidth="1"/>
    <col min="2595" max="2595" width="11.28515625" customWidth="1"/>
    <col min="2596" max="2596" width="11.5703125" customWidth="1"/>
    <col min="2597" max="2597" width="9.28515625" customWidth="1"/>
    <col min="2599" max="2599" width="11.7109375" bestFit="1" customWidth="1"/>
    <col min="2600" max="2600" width="10.7109375" bestFit="1" customWidth="1"/>
    <col min="2815" max="2815" width="12.28515625" bestFit="1" customWidth="1"/>
    <col min="2816" max="2819" width="12.28515625" customWidth="1"/>
    <col min="2820" max="2820" width="11.7109375" customWidth="1"/>
    <col min="2821" max="2835" width="9.7109375" customWidth="1"/>
    <col min="2836" max="2836" width="11.5703125" bestFit="1" customWidth="1"/>
    <col min="2837" max="2837" width="8.140625" bestFit="1" customWidth="1"/>
    <col min="2838" max="2839" width="11.5703125" bestFit="1" customWidth="1"/>
    <col min="2840" max="2841" width="18" customWidth="1"/>
    <col min="2842" max="2842" width="17.140625" customWidth="1"/>
    <col min="2843" max="2844" width="15.7109375" customWidth="1"/>
    <col min="2845" max="2845" width="15" customWidth="1"/>
    <col min="2846" max="2847" width="14.140625" bestFit="1" customWidth="1"/>
    <col min="2848" max="2848" width="11.7109375" bestFit="1" customWidth="1"/>
    <col min="2849" max="2849" width="11.85546875" bestFit="1" customWidth="1"/>
    <col min="2850" max="2850" width="12.5703125" customWidth="1"/>
    <col min="2851" max="2851" width="11.28515625" customWidth="1"/>
    <col min="2852" max="2852" width="11.5703125" customWidth="1"/>
    <col min="2853" max="2853" width="9.28515625" customWidth="1"/>
    <col min="2855" max="2855" width="11.7109375" bestFit="1" customWidth="1"/>
    <col min="2856" max="2856" width="10.7109375" bestFit="1" customWidth="1"/>
    <col min="3071" max="3071" width="12.28515625" bestFit="1" customWidth="1"/>
    <col min="3072" max="3075" width="12.28515625" customWidth="1"/>
    <col min="3076" max="3076" width="11.7109375" customWidth="1"/>
    <col min="3077" max="3091" width="9.7109375" customWidth="1"/>
    <col min="3092" max="3092" width="11.5703125" bestFit="1" customWidth="1"/>
    <col min="3093" max="3093" width="8.140625" bestFit="1" customWidth="1"/>
    <col min="3094" max="3095" width="11.5703125" bestFit="1" customWidth="1"/>
    <col min="3096" max="3097" width="18" customWidth="1"/>
    <col min="3098" max="3098" width="17.140625" customWidth="1"/>
    <col min="3099" max="3100" width="15.7109375" customWidth="1"/>
    <col min="3101" max="3101" width="15" customWidth="1"/>
    <col min="3102" max="3103" width="14.140625" bestFit="1" customWidth="1"/>
    <col min="3104" max="3104" width="11.7109375" bestFit="1" customWidth="1"/>
    <col min="3105" max="3105" width="11.85546875" bestFit="1" customWidth="1"/>
    <col min="3106" max="3106" width="12.5703125" customWidth="1"/>
    <col min="3107" max="3107" width="11.28515625" customWidth="1"/>
    <col min="3108" max="3108" width="11.5703125" customWidth="1"/>
    <col min="3109" max="3109" width="9.28515625" customWidth="1"/>
    <col min="3111" max="3111" width="11.7109375" bestFit="1" customWidth="1"/>
    <col min="3112" max="3112" width="10.7109375" bestFit="1" customWidth="1"/>
    <col min="3327" max="3327" width="12.28515625" bestFit="1" customWidth="1"/>
    <col min="3328" max="3331" width="12.28515625" customWidth="1"/>
    <col min="3332" max="3332" width="11.7109375" customWidth="1"/>
    <col min="3333" max="3347" width="9.7109375" customWidth="1"/>
    <col min="3348" max="3348" width="11.5703125" bestFit="1" customWidth="1"/>
    <col min="3349" max="3349" width="8.140625" bestFit="1" customWidth="1"/>
    <col min="3350" max="3351" width="11.5703125" bestFit="1" customWidth="1"/>
    <col min="3352" max="3353" width="18" customWidth="1"/>
    <col min="3354" max="3354" width="17.140625" customWidth="1"/>
    <col min="3355" max="3356" width="15.7109375" customWidth="1"/>
    <col min="3357" max="3357" width="15" customWidth="1"/>
    <col min="3358" max="3359" width="14.140625" bestFit="1" customWidth="1"/>
    <col min="3360" max="3360" width="11.7109375" bestFit="1" customWidth="1"/>
    <col min="3361" max="3361" width="11.85546875" bestFit="1" customWidth="1"/>
    <col min="3362" max="3362" width="12.5703125" customWidth="1"/>
    <col min="3363" max="3363" width="11.28515625" customWidth="1"/>
    <col min="3364" max="3364" width="11.5703125" customWidth="1"/>
    <col min="3365" max="3365" width="9.28515625" customWidth="1"/>
    <col min="3367" max="3367" width="11.7109375" bestFit="1" customWidth="1"/>
    <col min="3368" max="3368" width="10.7109375" bestFit="1" customWidth="1"/>
    <col min="3583" max="3583" width="12.28515625" bestFit="1" customWidth="1"/>
    <col min="3584" max="3587" width="12.28515625" customWidth="1"/>
    <col min="3588" max="3588" width="11.7109375" customWidth="1"/>
    <col min="3589" max="3603" width="9.7109375" customWidth="1"/>
    <col min="3604" max="3604" width="11.5703125" bestFit="1" customWidth="1"/>
    <col min="3605" max="3605" width="8.140625" bestFit="1" customWidth="1"/>
    <col min="3606" max="3607" width="11.5703125" bestFit="1" customWidth="1"/>
    <col min="3608" max="3609" width="18" customWidth="1"/>
    <col min="3610" max="3610" width="17.140625" customWidth="1"/>
    <col min="3611" max="3612" width="15.7109375" customWidth="1"/>
    <col min="3613" max="3613" width="15" customWidth="1"/>
    <col min="3614" max="3615" width="14.140625" bestFit="1" customWidth="1"/>
    <col min="3616" max="3616" width="11.7109375" bestFit="1" customWidth="1"/>
    <col min="3617" max="3617" width="11.85546875" bestFit="1" customWidth="1"/>
    <col min="3618" max="3618" width="12.5703125" customWidth="1"/>
    <col min="3619" max="3619" width="11.28515625" customWidth="1"/>
    <col min="3620" max="3620" width="11.5703125" customWidth="1"/>
    <col min="3621" max="3621" width="9.28515625" customWidth="1"/>
    <col min="3623" max="3623" width="11.7109375" bestFit="1" customWidth="1"/>
    <col min="3624" max="3624" width="10.7109375" bestFit="1" customWidth="1"/>
    <col min="3839" max="3839" width="12.28515625" bestFit="1" customWidth="1"/>
    <col min="3840" max="3843" width="12.28515625" customWidth="1"/>
    <col min="3844" max="3844" width="11.7109375" customWidth="1"/>
    <col min="3845" max="3859" width="9.7109375" customWidth="1"/>
    <col min="3860" max="3860" width="11.5703125" bestFit="1" customWidth="1"/>
    <col min="3861" max="3861" width="8.140625" bestFit="1" customWidth="1"/>
    <col min="3862" max="3863" width="11.5703125" bestFit="1" customWidth="1"/>
    <col min="3864" max="3865" width="18" customWidth="1"/>
    <col min="3866" max="3866" width="17.140625" customWidth="1"/>
    <col min="3867" max="3868" width="15.7109375" customWidth="1"/>
    <col min="3869" max="3869" width="15" customWidth="1"/>
    <col min="3870" max="3871" width="14.140625" bestFit="1" customWidth="1"/>
    <col min="3872" max="3872" width="11.7109375" bestFit="1" customWidth="1"/>
    <col min="3873" max="3873" width="11.85546875" bestFit="1" customWidth="1"/>
    <col min="3874" max="3874" width="12.5703125" customWidth="1"/>
    <col min="3875" max="3875" width="11.28515625" customWidth="1"/>
    <col min="3876" max="3876" width="11.5703125" customWidth="1"/>
    <col min="3877" max="3877" width="9.28515625" customWidth="1"/>
    <col min="3879" max="3879" width="11.7109375" bestFit="1" customWidth="1"/>
    <col min="3880" max="3880" width="10.7109375" bestFit="1" customWidth="1"/>
    <col min="4095" max="4095" width="12.28515625" bestFit="1" customWidth="1"/>
    <col min="4096" max="4099" width="12.28515625" customWidth="1"/>
    <col min="4100" max="4100" width="11.7109375" customWidth="1"/>
    <col min="4101" max="4115" width="9.7109375" customWidth="1"/>
    <col min="4116" max="4116" width="11.5703125" bestFit="1" customWidth="1"/>
    <col min="4117" max="4117" width="8.140625" bestFit="1" customWidth="1"/>
    <col min="4118" max="4119" width="11.5703125" bestFit="1" customWidth="1"/>
    <col min="4120" max="4121" width="18" customWidth="1"/>
    <col min="4122" max="4122" width="17.140625" customWidth="1"/>
    <col min="4123" max="4124" width="15.7109375" customWidth="1"/>
    <col min="4125" max="4125" width="15" customWidth="1"/>
    <col min="4126" max="4127" width="14.140625" bestFit="1" customWidth="1"/>
    <col min="4128" max="4128" width="11.7109375" bestFit="1" customWidth="1"/>
    <col min="4129" max="4129" width="11.85546875" bestFit="1" customWidth="1"/>
    <col min="4130" max="4130" width="12.5703125" customWidth="1"/>
    <col min="4131" max="4131" width="11.28515625" customWidth="1"/>
    <col min="4132" max="4132" width="11.5703125" customWidth="1"/>
    <col min="4133" max="4133" width="9.28515625" customWidth="1"/>
    <col min="4135" max="4135" width="11.7109375" bestFit="1" customWidth="1"/>
    <col min="4136" max="4136" width="10.7109375" bestFit="1" customWidth="1"/>
    <col min="4351" max="4351" width="12.28515625" bestFit="1" customWidth="1"/>
    <col min="4352" max="4355" width="12.28515625" customWidth="1"/>
    <col min="4356" max="4356" width="11.7109375" customWidth="1"/>
    <col min="4357" max="4371" width="9.7109375" customWidth="1"/>
    <col min="4372" max="4372" width="11.5703125" bestFit="1" customWidth="1"/>
    <col min="4373" max="4373" width="8.140625" bestFit="1" customWidth="1"/>
    <col min="4374" max="4375" width="11.5703125" bestFit="1" customWidth="1"/>
    <col min="4376" max="4377" width="18" customWidth="1"/>
    <col min="4378" max="4378" width="17.140625" customWidth="1"/>
    <col min="4379" max="4380" width="15.7109375" customWidth="1"/>
    <col min="4381" max="4381" width="15" customWidth="1"/>
    <col min="4382" max="4383" width="14.140625" bestFit="1" customWidth="1"/>
    <col min="4384" max="4384" width="11.7109375" bestFit="1" customWidth="1"/>
    <col min="4385" max="4385" width="11.85546875" bestFit="1" customWidth="1"/>
    <col min="4386" max="4386" width="12.5703125" customWidth="1"/>
    <col min="4387" max="4387" width="11.28515625" customWidth="1"/>
    <col min="4388" max="4388" width="11.5703125" customWidth="1"/>
    <col min="4389" max="4389" width="9.28515625" customWidth="1"/>
    <col min="4391" max="4391" width="11.7109375" bestFit="1" customWidth="1"/>
    <col min="4392" max="4392" width="10.7109375" bestFit="1" customWidth="1"/>
    <col min="4607" max="4607" width="12.28515625" bestFit="1" customWidth="1"/>
    <col min="4608" max="4611" width="12.28515625" customWidth="1"/>
    <col min="4612" max="4612" width="11.7109375" customWidth="1"/>
    <col min="4613" max="4627" width="9.7109375" customWidth="1"/>
    <col min="4628" max="4628" width="11.5703125" bestFit="1" customWidth="1"/>
    <col min="4629" max="4629" width="8.140625" bestFit="1" customWidth="1"/>
    <col min="4630" max="4631" width="11.5703125" bestFit="1" customWidth="1"/>
    <col min="4632" max="4633" width="18" customWidth="1"/>
    <col min="4634" max="4634" width="17.140625" customWidth="1"/>
    <col min="4635" max="4636" width="15.7109375" customWidth="1"/>
    <col min="4637" max="4637" width="15" customWidth="1"/>
    <col min="4638" max="4639" width="14.140625" bestFit="1" customWidth="1"/>
    <col min="4640" max="4640" width="11.7109375" bestFit="1" customWidth="1"/>
    <col min="4641" max="4641" width="11.85546875" bestFit="1" customWidth="1"/>
    <col min="4642" max="4642" width="12.5703125" customWidth="1"/>
    <col min="4643" max="4643" width="11.28515625" customWidth="1"/>
    <col min="4644" max="4644" width="11.5703125" customWidth="1"/>
    <col min="4645" max="4645" width="9.28515625" customWidth="1"/>
    <col min="4647" max="4647" width="11.7109375" bestFit="1" customWidth="1"/>
    <col min="4648" max="4648" width="10.7109375" bestFit="1" customWidth="1"/>
    <col min="4863" max="4863" width="12.28515625" bestFit="1" customWidth="1"/>
    <col min="4864" max="4867" width="12.28515625" customWidth="1"/>
    <col min="4868" max="4868" width="11.7109375" customWidth="1"/>
    <col min="4869" max="4883" width="9.7109375" customWidth="1"/>
    <col min="4884" max="4884" width="11.5703125" bestFit="1" customWidth="1"/>
    <col min="4885" max="4885" width="8.140625" bestFit="1" customWidth="1"/>
    <col min="4886" max="4887" width="11.5703125" bestFit="1" customWidth="1"/>
    <col min="4888" max="4889" width="18" customWidth="1"/>
    <col min="4890" max="4890" width="17.140625" customWidth="1"/>
    <col min="4891" max="4892" width="15.7109375" customWidth="1"/>
    <col min="4893" max="4893" width="15" customWidth="1"/>
    <col min="4894" max="4895" width="14.140625" bestFit="1" customWidth="1"/>
    <col min="4896" max="4896" width="11.7109375" bestFit="1" customWidth="1"/>
    <col min="4897" max="4897" width="11.85546875" bestFit="1" customWidth="1"/>
    <col min="4898" max="4898" width="12.5703125" customWidth="1"/>
    <col min="4899" max="4899" width="11.28515625" customWidth="1"/>
    <col min="4900" max="4900" width="11.5703125" customWidth="1"/>
    <col min="4901" max="4901" width="9.28515625" customWidth="1"/>
    <col min="4903" max="4903" width="11.7109375" bestFit="1" customWidth="1"/>
    <col min="4904" max="4904" width="10.7109375" bestFit="1" customWidth="1"/>
    <col min="5119" max="5119" width="12.28515625" bestFit="1" customWidth="1"/>
    <col min="5120" max="5123" width="12.28515625" customWidth="1"/>
    <col min="5124" max="5124" width="11.7109375" customWidth="1"/>
    <col min="5125" max="5139" width="9.7109375" customWidth="1"/>
    <col min="5140" max="5140" width="11.5703125" bestFit="1" customWidth="1"/>
    <col min="5141" max="5141" width="8.140625" bestFit="1" customWidth="1"/>
    <col min="5142" max="5143" width="11.5703125" bestFit="1" customWidth="1"/>
    <col min="5144" max="5145" width="18" customWidth="1"/>
    <col min="5146" max="5146" width="17.140625" customWidth="1"/>
    <col min="5147" max="5148" width="15.7109375" customWidth="1"/>
    <col min="5149" max="5149" width="15" customWidth="1"/>
    <col min="5150" max="5151" width="14.140625" bestFit="1" customWidth="1"/>
    <col min="5152" max="5152" width="11.7109375" bestFit="1" customWidth="1"/>
    <col min="5153" max="5153" width="11.85546875" bestFit="1" customWidth="1"/>
    <col min="5154" max="5154" width="12.5703125" customWidth="1"/>
    <col min="5155" max="5155" width="11.28515625" customWidth="1"/>
    <col min="5156" max="5156" width="11.5703125" customWidth="1"/>
    <col min="5157" max="5157" width="9.28515625" customWidth="1"/>
    <col min="5159" max="5159" width="11.7109375" bestFit="1" customWidth="1"/>
    <col min="5160" max="5160" width="10.7109375" bestFit="1" customWidth="1"/>
    <col min="5375" max="5375" width="12.28515625" bestFit="1" customWidth="1"/>
    <col min="5376" max="5379" width="12.28515625" customWidth="1"/>
    <col min="5380" max="5380" width="11.7109375" customWidth="1"/>
    <col min="5381" max="5395" width="9.7109375" customWidth="1"/>
    <col min="5396" max="5396" width="11.5703125" bestFit="1" customWidth="1"/>
    <col min="5397" max="5397" width="8.140625" bestFit="1" customWidth="1"/>
    <col min="5398" max="5399" width="11.5703125" bestFit="1" customWidth="1"/>
    <col min="5400" max="5401" width="18" customWidth="1"/>
    <col min="5402" max="5402" width="17.140625" customWidth="1"/>
    <col min="5403" max="5404" width="15.7109375" customWidth="1"/>
    <col min="5405" max="5405" width="15" customWidth="1"/>
    <col min="5406" max="5407" width="14.140625" bestFit="1" customWidth="1"/>
    <col min="5408" max="5408" width="11.7109375" bestFit="1" customWidth="1"/>
    <col min="5409" max="5409" width="11.85546875" bestFit="1" customWidth="1"/>
    <col min="5410" max="5410" width="12.5703125" customWidth="1"/>
    <col min="5411" max="5411" width="11.28515625" customWidth="1"/>
    <col min="5412" max="5412" width="11.5703125" customWidth="1"/>
    <col min="5413" max="5413" width="9.28515625" customWidth="1"/>
    <col min="5415" max="5415" width="11.7109375" bestFit="1" customWidth="1"/>
    <col min="5416" max="5416" width="10.7109375" bestFit="1" customWidth="1"/>
    <col min="5631" max="5631" width="12.28515625" bestFit="1" customWidth="1"/>
    <col min="5632" max="5635" width="12.28515625" customWidth="1"/>
    <col min="5636" max="5636" width="11.7109375" customWidth="1"/>
    <col min="5637" max="5651" width="9.7109375" customWidth="1"/>
    <col min="5652" max="5652" width="11.5703125" bestFit="1" customWidth="1"/>
    <col min="5653" max="5653" width="8.140625" bestFit="1" customWidth="1"/>
    <col min="5654" max="5655" width="11.5703125" bestFit="1" customWidth="1"/>
    <col min="5656" max="5657" width="18" customWidth="1"/>
    <col min="5658" max="5658" width="17.140625" customWidth="1"/>
    <col min="5659" max="5660" width="15.7109375" customWidth="1"/>
    <col min="5661" max="5661" width="15" customWidth="1"/>
    <col min="5662" max="5663" width="14.140625" bestFit="1" customWidth="1"/>
    <col min="5664" max="5664" width="11.7109375" bestFit="1" customWidth="1"/>
    <col min="5665" max="5665" width="11.85546875" bestFit="1" customWidth="1"/>
    <col min="5666" max="5666" width="12.5703125" customWidth="1"/>
    <col min="5667" max="5667" width="11.28515625" customWidth="1"/>
    <col min="5668" max="5668" width="11.5703125" customWidth="1"/>
    <col min="5669" max="5669" width="9.28515625" customWidth="1"/>
    <col min="5671" max="5671" width="11.7109375" bestFit="1" customWidth="1"/>
    <col min="5672" max="5672" width="10.7109375" bestFit="1" customWidth="1"/>
    <col min="5887" max="5887" width="12.28515625" bestFit="1" customWidth="1"/>
    <col min="5888" max="5891" width="12.28515625" customWidth="1"/>
    <col min="5892" max="5892" width="11.7109375" customWidth="1"/>
    <col min="5893" max="5907" width="9.7109375" customWidth="1"/>
    <col min="5908" max="5908" width="11.5703125" bestFit="1" customWidth="1"/>
    <col min="5909" max="5909" width="8.140625" bestFit="1" customWidth="1"/>
    <col min="5910" max="5911" width="11.5703125" bestFit="1" customWidth="1"/>
    <col min="5912" max="5913" width="18" customWidth="1"/>
    <col min="5914" max="5914" width="17.140625" customWidth="1"/>
    <col min="5915" max="5916" width="15.7109375" customWidth="1"/>
    <col min="5917" max="5917" width="15" customWidth="1"/>
    <col min="5918" max="5919" width="14.140625" bestFit="1" customWidth="1"/>
    <col min="5920" max="5920" width="11.7109375" bestFit="1" customWidth="1"/>
    <col min="5921" max="5921" width="11.85546875" bestFit="1" customWidth="1"/>
    <col min="5922" max="5922" width="12.5703125" customWidth="1"/>
    <col min="5923" max="5923" width="11.28515625" customWidth="1"/>
    <col min="5924" max="5924" width="11.5703125" customWidth="1"/>
    <col min="5925" max="5925" width="9.28515625" customWidth="1"/>
    <col min="5927" max="5927" width="11.7109375" bestFit="1" customWidth="1"/>
    <col min="5928" max="5928" width="10.7109375" bestFit="1" customWidth="1"/>
    <col min="6143" max="6143" width="12.28515625" bestFit="1" customWidth="1"/>
    <col min="6144" max="6147" width="12.28515625" customWidth="1"/>
    <col min="6148" max="6148" width="11.7109375" customWidth="1"/>
    <col min="6149" max="6163" width="9.7109375" customWidth="1"/>
    <col min="6164" max="6164" width="11.5703125" bestFit="1" customWidth="1"/>
    <col min="6165" max="6165" width="8.140625" bestFit="1" customWidth="1"/>
    <col min="6166" max="6167" width="11.5703125" bestFit="1" customWidth="1"/>
    <col min="6168" max="6169" width="18" customWidth="1"/>
    <col min="6170" max="6170" width="17.140625" customWidth="1"/>
    <col min="6171" max="6172" width="15.7109375" customWidth="1"/>
    <col min="6173" max="6173" width="15" customWidth="1"/>
    <col min="6174" max="6175" width="14.140625" bestFit="1" customWidth="1"/>
    <col min="6176" max="6176" width="11.7109375" bestFit="1" customWidth="1"/>
    <col min="6177" max="6177" width="11.85546875" bestFit="1" customWidth="1"/>
    <col min="6178" max="6178" width="12.5703125" customWidth="1"/>
    <col min="6179" max="6179" width="11.28515625" customWidth="1"/>
    <col min="6180" max="6180" width="11.5703125" customWidth="1"/>
    <col min="6181" max="6181" width="9.28515625" customWidth="1"/>
    <col min="6183" max="6183" width="11.7109375" bestFit="1" customWidth="1"/>
    <col min="6184" max="6184" width="10.7109375" bestFit="1" customWidth="1"/>
    <col min="6399" max="6399" width="12.28515625" bestFit="1" customWidth="1"/>
    <col min="6400" max="6403" width="12.28515625" customWidth="1"/>
    <col min="6404" max="6404" width="11.7109375" customWidth="1"/>
    <col min="6405" max="6419" width="9.7109375" customWidth="1"/>
    <col min="6420" max="6420" width="11.5703125" bestFit="1" customWidth="1"/>
    <col min="6421" max="6421" width="8.140625" bestFit="1" customWidth="1"/>
    <col min="6422" max="6423" width="11.5703125" bestFit="1" customWidth="1"/>
    <col min="6424" max="6425" width="18" customWidth="1"/>
    <col min="6426" max="6426" width="17.140625" customWidth="1"/>
    <col min="6427" max="6428" width="15.7109375" customWidth="1"/>
    <col min="6429" max="6429" width="15" customWidth="1"/>
    <col min="6430" max="6431" width="14.140625" bestFit="1" customWidth="1"/>
    <col min="6432" max="6432" width="11.7109375" bestFit="1" customWidth="1"/>
    <col min="6433" max="6433" width="11.85546875" bestFit="1" customWidth="1"/>
    <col min="6434" max="6434" width="12.5703125" customWidth="1"/>
    <col min="6435" max="6435" width="11.28515625" customWidth="1"/>
    <col min="6436" max="6436" width="11.5703125" customWidth="1"/>
    <col min="6437" max="6437" width="9.28515625" customWidth="1"/>
    <col min="6439" max="6439" width="11.7109375" bestFit="1" customWidth="1"/>
    <col min="6440" max="6440" width="10.7109375" bestFit="1" customWidth="1"/>
    <col min="6655" max="6655" width="12.28515625" bestFit="1" customWidth="1"/>
    <col min="6656" max="6659" width="12.28515625" customWidth="1"/>
    <col min="6660" max="6660" width="11.7109375" customWidth="1"/>
    <col min="6661" max="6675" width="9.7109375" customWidth="1"/>
    <col min="6676" max="6676" width="11.5703125" bestFit="1" customWidth="1"/>
    <col min="6677" max="6677" width="8.140625" bestFit="1" customWidth="1"/>
    <col min="6678" max="6679" width="11.5703125" bestFit="1" customWidth="1"/>
    <col min="6680" max="6681" width="18" customWidth="1"/>
    <col min="6682" max="6682" width="17.140625" customWidth="1"/>
    <col min="6683" max="6684" width="15.7109375" customWidth="1"/>
    <col min="6685" max="6685" width="15" customWidth="1"/>
    <col min="6686" max="6687" width="14.140625" bestFit="1" customWidth="1"/>
    <col min="6688" max="6688" width="11.7109375" bestFit="1" customWidth="1"/>
    <col min="6689" max="6689" width="11.85546875" bestFit="1" customWidth="1"/>
    <col min="6690" max="6690" width="12.5703125" customWidth="1"/>
    <col min="6691" max="6691" width="11.28515625" customWidth="1"/>
    <col min="6692" max="6692" width="11.5703125" customWidth="1"/>
    <col min="6693" max="6693" width="9.28515625" customWidth="1"/>
    <col min="6695" max="6695" width="11.7109375" bestFit="1" customWidth="1"/>
    <col min="6696" max="6696" width="10.7109375" bestFit="1" customWidth="1"/>
    <col min="6911" max="6911" width="12.28515625" bestFit="1" customWidth="1"/>
    <col min="6912" max="6915" width="12.28515625" customWidth="1"/>
    <col min="6916" max="6916" width="11.7109375" customWidth="1"/>
    <col min="6917" max="6931" width="9.7109375" customWidth="1"/>
    <col min="6932" max="6932" width="11.5703125" bestFit="1" customWidth="1"/>
    <col min="6933" max="6933" width="8.140625" bestFit="1" customWidth="1"/>
    <col min="6934" max="6935" width="11.5703125" bestFit="1" customWidth="1"/>
    <col min="6936" max="6937" width="18" customWidth="1"/>
    <col min="6938" max="6938" width="17.140625" customWidth="1"/>
    <col min="6939" max="6940" width="15.7109375" customWidth="1"/>
    <col min="6941" max="6941" width="15" customWidth="1"/>
    <col min="6942" max="6943" width="14.140625" bestFit="1" customWidth="1"/>
    <col min="6944" max="6944" width="11.7109375" bestFit="1" customWidth="1"/>
    <col min="6945" max="6945" width="11.85546875" bestFit="1" customWidth="1"/>
    <col min="6946" max="6946" width="12.5703125" customWidth="1"/>
    <col min="6947" max="6947" width="11.28515625" customWidth="1"/>
    <col min="6948" max="6948" width="11.5703125" customWidth="1"/>
    <col min="6949" max="6949" width="9.28515625" customWidth="1"/>
    <col min="6951" max="6951" width="11.7109375" bestFit="1" customWidth="1"/>
    <col min="6952" max="6952" width="10.7109375" bestFit="1" customWidth="1"/>
    <col min="7167" max="7167" width="12.28515625" bestFit="1" customWidth="1"/>
    <col min="7168" max="7171" width="12.28515625" customWidth="1"/>
    <col min="7172" max="7172" width="11.7109375" customWidth="1"/>
    <col min="7173" max="7187" width="9.7109375" customWidth="1"/>
    <col min="7188" max="7188" width="11.5703125" bestFit="1" customWidth="1"/>
    <col min="7189" max="7189" width="8.140625" bestFit="1" customWidth="1"/>
    <col min="7190" max="7191" width="11.5703125" bestFit="1" customWidth="1"/>
    <col min="7192" max="7193" width="18" customWidth="1"/>
    <col min="7194" max="7194" width="17.140625" customWidth="1"/>
    <col min="7195" max="7196" width="15.7109375" customWidth="1"/>
    <col min="7197" max="7197" width="15" customWidth="1"/>
    <col min="7198" max="7199" width="14.140625" bestFit="1" customWidth="1"/>
    <col min="7200" max="7200" width="11.7109375" bestFit="1" customWidth="1"/>
    <col min="7201" max="7201" width="11.85546875" bestFit="1" customWidth="1"/>
    <col min="7202" max="7202" width="12.5703125" customWidth="1"/>
    <col min="7203" max="7203" width="11.28515625" customWidth="1"/>
    <col min="7204" max="7204" width="11.5703125" customWidth="1"/>
    <col min="7205" max="7205" width="9.28515625" customWidth="1"/>
    <col min="7207" max="7207" width="11.7109375" bestFit="1" customWidth="1"/>
    <col min="7208" max="7208" width="10.7109375" bestFit="1" customWidth="1"/>
    <col min="7423" max="7423" width="12.28515625" bestFit="1" customWidth="1"/>
    <col min="7424" max="7427" width="12.28515625" customWidth="1"/>
    <col min="7428" max="7428" width="11.7109375" customWidth="1"/>
    <col min="7429" max="7443" width="9.7109375" customWidth="1"/>
    <col min="7444" max="7444" width="11.5703125" bestFit="1" customWidth="1"/>
    <col min="7445" max="7445" width="8.140625" bestFit="1" customWidth="1"/>
    <col min="7446" max="7447" width="11.5703125" bestFit="1" customWidth="1"/>
    <col min="7448" max="7449" width="18" customWidth="1"/>
    <col min="7450" max="7450" width="17.140625" customWidth="1"/>
    <col min="7451" max="7452" width="15.7109375" customWidth="1"/>
    <col min="7453" max="7453" width="15" customWidth="1"/>
    <col min="7454" max="7455" width="14.140625" bestFit="1" customWidth="1"/>
    <col min="7456" max="7456" width="11.7109375" bestFit="1" customWidth="1"/>
    <col min="7457" max="7457" width="11.85546875" bestFit="1" customWidth="1"/>
    <col min="7458" max="7458" width="12.5703125" customWidth="1"/>
    <col min="7459" max="7459" width="11.28515625" customWidth="1"/>
    <col min="7460" max="7460" width="11.5703125" customWidth="1"/>
    <col min="7461" max="7461" width="9.28515625" customWidth="1"/>
    <col min="7463" max="7463" width="11.7109375" bestFit="1" customWidth="1"/>
    <col min="7464" max="7464" width="10.7109375" bestFit="1" customWidth="1"/>
    <col min="7679" max="7679" width="12.28515625" bestFit="1" customWidth="1"/>
    <col min="7680" max="7683" width="12.28515625" customWidth="1"/>
    <col min="7684" max="7684" width="11.7109375" customWidth="1"/>
    <col min="7685" max="7699" width="9.7109375" customWidth="1"/>
    <col min="7700" max="7700" width="11.5703125" bestFit="1" customWidth="1"/>
    <col min="7701" max="7701" width="8.140625" bestFit="1" customWidth="1"/>
    <col min="7702" max="7703" width="11.5703125" bestFit="1" customWidth="1"/>
    <col min="7704" max="7705" width="18" customWidth="1"/>
    <col min="7706" max="7706" width="17.140625" customWidth="1"/>
    <col min="7707" max="7708" width="15.7109375" customWidth="1"/>
    <col min="7709" max="7709" width="15" customWidth="1"/>
    <col min="7710" max="7711" width="14.140625" bestFit="1" customWidth="1"/>
    <col min="7712" max="7712" width="11.7109375" bestFit="1" customWidth="1"/>
    <col min="7713" max="7713" width="11.85546875" bestFit="1" customWidth="1"/>
    <col min="7714" max="7714" width="12.5703125" customWidth="1"/>
    <col min="7715" max="7715" width="11.28515625" customWidth="1"/>
    <col min="7716" max="7716" width="11.5703125" customWidth="1"/>
    <col min="7717" max="7717" width="9.28515625" customWidth="1"/>
    <col min="7719" max="7719" width="11.7109375" bestFit="1" customWidth="1"/>
    <col min="7720" max="7720" width="10.7109375" bestFit="1" customWidth="1"/>
    <col min="7935" max="7935" width="12.28515625" bestFit="1" customWidth="1"/>
    <col min="7936" max="7939" width="12.28515625" customWidth="1"/>
    <col min="7940" max="7940" width="11.7109375" customWidth="1"/>
    <col min="7941" max="7955" width="9.7109375" customWidth="1"/>
    <col min="7956" max="7956" width="11.5703125" bestFit="1" customWidth="1"/>
    <col min="7957" max="7957" width="8.140625" bestFit="1" customWidth="1"/>
    <col min="7958" max="7959" width="11.5703125" bestFit="1" customWidth="1"/>
    <col min="7960" max="7961" width="18" customWidth="1"/>
    <col min="7962" max="7962" width="17.140625" customWidth="1"/>
    <col min="7963" max="7964" width="15.7109375" customWidth="1"/>
    <col min="7965" max="7965" width="15" customWidth="1"/>
    <col min="7966" max="7967" width="14.140625" bestFit="1" customWidth="1"/>
    <col min="7968" max="7968" width="11.7109375" bestFit="1" customWidth="1"/>
    <col min="7969" max="7969" width="11.85546875" bestFit="1" customWidth="1"/>
    <col min="7970" max="7970" width="12.5703125" customWidth="1"/>
    <col min="7971" max="7971" width="11.28515625" customWidth="1"/>
    <col min="7972" max="7972" width="11.5703125" customWidth="1"/>
    <col min="7973" max="7973" width="9.28515625" customWidth="1"/>
    <col min="7975" max="7975" width="11.7109375" bestFit="1" customWidth="1"/>
    <col min="7976" max="7976" width="10.7109375" bestFit="1" customWidth="1"/>
    <col min="8191" max="8191" width="12.28515625" bestFit="1" customWidth="1"/>
    <col min="8192" max="8195" width="12.28515625" customWidth="1"/>
    <col min="8196" max="8196" width="11.7109375" customWidth="1"/>
    <col min="8197" max="8211" width="9.7109375" customWidth="1"/>
    <col min="8212" max="8212" width="11.5703125" bestFit="1" customWidth="1"/>
    <col min="8213" max="8213" width="8.140625" bestFit="1" customWidth="1"/>
    <col min="8214" max="8215" width="11.5703125" bestFit="1" customWidth="1"/>
    <col min="8216" max="8217" width="18" customWidth="1"/>
    <col min="8218" max="8218" width="17.140625" customWidth="1"/>
    <col min="8219" max="8220" width="15.7109375" customWidth="1"/>
    <col min="8221" max="8221" width="15" customWidth="1"/>
    <col min="8222" max="8223" width="14.140625" bestFit="1" customWidth="1"/>
    <col min="8224" max="8224" width="11.7109375" bestFit="1" customWidth="1"/>
    <col min="8225" max="8225" width="11.85546875" bestFit="1" customWidth="1"/>
    <col min="8226" max="8226" width="12.5703125" customWidth="1"/>
    <col min="8227" max="8227" width="11.28515625" customWidth="1"/>
    <col min="8228" max="8228" width="11.5703125" customWidth="1"/>
    <col min="8229" max="8229" width="9.28515625" customWidth="1"/>
    <col min="8231" max="8231" width="11.7109375" bestFit="1" customWidth="1"/>
    <col min="8232" max="8232" width="10.7109375" bestFit="1" customWidth="1"/>
    <col min="8447" max="8447" width="12.28515625" bestFit="1" customWidth="1"/>
    <col min="8448" max="8451" width="12.28515625" customWidth="1"/>
    <col min="8452" max="8452" width="11.7109375" customWidth="1"/>
    <col min="8453" max="8467" width="9.7109375" customWidth="1"/>
    <col min="8468" max="8468" width="11.5703125" bestFit="1" customWidth="1"/>
    <col min="8469" max="8469" width="8.140625" bestFit="1" customWidth="1"/>
    <col min="8470" max="8471" width="11.5703125" bestFit="1" customWidth="1"/>
    <col min="8472" max="8473" width="18" customWidth="1"/>
    <col min="8474" max="8474" width="17.140625" customWidth="1"/>
    <col min="8475" max="8476" width="15.7109375" customWidth="1"/>
    <col min="8477" max="8477" width="15" customWidth="1"/>
    <col min="8478" max="8479" width="14.140625" bestFit="1" customWidth="1"/>
    <col min="8480" max="8480" width="11.7109375" bestFit="1" customWidth="1"/>
    <col min="8481" max="8481" width="11.85546875" bestFit="1" customWidth="1"/>
    <col min="8482" max="8482" width="12.5703125" customWidth="1"/>
    <col min="8483" max="8483" width="11.28515625" customWidth="1"/>
    <col min="8484" max="8484" width="11.5703125" customWidth="1"/>
    <col min="8485" max="8485" width="9.28515625" customWidth="1"/>
    <col min="8487" max="8487" width="11.7109375" bestFit="1" customWidth="1"/>
    <col min="8488" max="8488" width="10.7109375" bestFit="1" customWidth="1"/>
    <col min="8703" max="8703" width="12.28515625" bestFit="1" customWidth="1"/>
    <col min="8704" max="8707" width="12.28515625" customWidth="1"/>
    <col min="8708" max="8708" width="11.7109375" customWidth="1"/>
    <col min="8709" max="8723" width="9.7109375" customWidth="1"/>
    <col min="8724" max="8724" width="11.5703125" bestFit="1" customWidth="1"/>
    <col min="8725" max="8725" width="8.140625" bestFit="1" customWidth="1"/>
    <col min="8726" max="8727" width="11.5703125" bestFit="1" customWidth="1"/>
    <col min="8728" max="8729" width="18" customWidth="1"/>
    <col min="8730" max="8730" width="17.140625" customWidth="1"/>
    <col min="8731" max="8732" width="15.7109375" customWidth="1"/>
    <col min="8733" max="8733" width="15" customWidth="1"/>
    <col min="8734" max="8735" width="14.140625" bestFit="1" customWidth="1"/>
    <col min="8736" max="8736" width="11.7109375" bestFit="1" customWidth="1"/>
    <col min="8737" max="8737" width="11.85546875" bestFit="1" customWidth="1"/>
    <col min="8738" max="8738" width="12.5703125" customWidth="1"/>
    <col min="8739" max="8739" width="11.28515625" customWidth="1"/>
    <col min="8740" max="8740" width="11.5703125" customWidth="1"/>
    <col min="8741" max="8741" width="9.28515625" customWidth="1"/>
    <col min="8743" max="8743" width="11.7109375" bestFit="1" customWidth="1"/>
    <col min="8744" max="8744" width="10.7109375" bestFit="1" customWidth="1"/>
    <col min="8959" max="8959" width="12.28515625" bestFit="1" customWidth="1"/>
    <col min="8960" max="8963" width="12.28515625" customWidth="1"/>
    <col min="8964" max="8964" width="11.7109375" customWidth="1"/>
    <col min="8965" max="8979" width="9.7109375" customWidth="1"/>
    <col min="8980" max="8980" width="11.5703125" bestFit="1" customWidth="1"/>
    <col min="8981" max="8981" width="8.140625" bestFit="1" customWidth="1"/>
    <col min="8982" max="8983" width="11.5703125" bestFit="1" customWidth="1"/>
    <col min="8984" max="8985" width="18" customWidth="1"/>
    <col min="8986" max="8986" width="17.140625" customWidth="1"/>
    <col min="8987" max="8988" width="15.7109375" customWidth="1"/>
    <col min="8989" max="8989" width="15" customWidth="1"/>
    <col min="8990" max="8991" width="14.140625" bestFit="1" customWidth="1"/>
    <col min="8992" max="8992" width="11.7109375" bestFit="1" customWidth="1"/>
    <col min="8993" max="8993" width="11.85546875" bestFit="1" customWidth="1"/>
    <col min="8994" max="8994" width="12.5703125" customWidth="1"/>
    <col min="8995" max="8995" width="11.28515625" customWidth="1"/>
    <col min="8996" max="8996" width="11.5703125" customWidth="1"/>
    <col min="8997" max="8997" width="9.28515625" customWidth="1"/>
    <col min="8999" max="8999" width="11.7109375" bestFit="1" customWidth="1"/>
    <col min="9000" max="9000" width="10.7109375" bestFit="1" customWidth="1"/>
    <col min="9215" max="9215" width="12.28515625" bestFit="1" customWidth="1"/>
    <col min="9216" max="9219" width="12.28515625" customWidth="1"/>
    <col min="9220" max="9220" width="11.7109375" customWidth="1"/>
    <col min="9221" max="9235" width="9.7109375" customWidth="1"/>
    <col min="9236" max="9236" width="11.5703125" bestFit="1" customWidth="1"/>
    <col min="9237" max="9237" width="8.140625" bestFit="1" customWidth="1"/>
    <col min="9238" max="9239" width="11.5703125" bestFit="1" customWidth="1"/>
    <col min="9240" max="9241" width="18" customWidth="1"/>
    <col min="9242" max="9242" width="17.140625" customWidth="1"/>
    <col min="9243" max="9244" width="15.7109375" customWidth="1"/>
    <col min="9245" max="9245" width="15" customWidth="1"/>
    <col min="9246" max="9247" width="14.140625" bestFit="1" customWidth="1"/>
    <col min="9248" max="9248" width="11.7109375" bestFit="1" customWidth="1"/>
    <col min="9249" max="9249" width="11.85546875" bestFit="1" customWidth="1"/>
    <col min="9250" max="9250" width="12.5703125" customWidth="1"/>
    <col min="9251" max="9251" width="11.28515625" customWidth="1"/>
    <col min="9252" max="9252" width="11.5703125" customWidth="1"/>
    <col min="9253" max="9253" width="9.28515625" customWidth="1"/>
    <col min="9255" max="9255" width="11.7109375" bestFit="1" customWidth="1"/>
    <col min="9256" max="9256" width="10.7109375" bestFit="1" customWidth="1"/>
    <col min="9471" max="9471" width="12.28515625" bestFit="1" customWidth="1"/>
    <col min="9472" max="9475" width="12.28515625" customWidth="1"/>
    <col min="9476" max="9476" width="11.7109375" customWidth="1"/>
    <col min="9477" max="9491" width="9.7109375" customWidth="1"/>
    <col min="9492" max="9492" width="11.5703125" bestFit="1" customWidth="1"/>
    <col min="9493" max="9493" width="8.140625" bestFit="1" customWidth="1"/>
    <col min="9494" max="9495" width="11.5703125" bestFit="1" customWidth="1"/>
    <col min="9496" max="9497" width="18" customWidth="1"/>
    <col min="9498" max="9498" width="17.140625" customWidth="1"/>
    <col min="9499" max="9500" width="15.7109375" customWidth="1"/>
    <col min="9501" max="9501" width="15" customWidth="1"/>
    <col min="9502" max="9503" width="14.140625" bestFit="1" customWidth="1"/>
    <col min="9504" max="9504" width="11.7109375" bestFit="1" customWidth="1"/>
    <col min="9505" max="9505" width="11.85546875" bestFit="1" customWidth="1"/>
    <col min="9506" max="9506" width="12.5703125" customWidth="1"/>
    <col min="9507" max="9507" width="11.28515625" customWidth="1"/>
    <col min="9508" max="9508" width="11.5703125" customWidth="1"/>
    <col min="9509" max="9509" width="9.28515625" customWidth="1"/>
    <col min="9511" max="9511" width="11.7109375" bestFit="1" customWidth="1"/>
    <col min="9512" max="9512" width="10.7109375" bestFit="1" customWidth="1"/>
    <col min="9727" max="9727" width="12.28515625" bestFit="1" customWidth="1"/>
    <col min="9728" max="9731" width="12.28515625" customWidth="1"/>
    <col min="9732" max="9732" width="11.7109375" customWidth="1"/>
    <col min="9733" max="9747" width="9.7109375" customWidth="1"/>
    <col min="9748" max="9748" width="11.5703125" bestFit="1" customWidth="1"/>
    <col min="9749" max="9749" width="8.140625" bestFit="1" customWidth="1"/>
    <col min="9750" max="9751" width="11.5703125" bestFit="1" customWidth="1"/>
    <col min="9752" max="9753" width="18" customWidth="1"/>
    <col min="9754" max="9754" width="17.140625" customWidth="1"/>
    <col min="9755" max="9756" width="15.7109375" customWidth="1"/>
    <col min="9757" max="9757" width="15" customWidth="1"/>
    <col min="9758" max="9759" width="14.140625" bestFit="1" customWidth="1"/>
    <col min="9760" max="9760" width="11.7109375" bestFit="1" customWidth="1"/>
    <col min="9761" max="9761" width="11.85546875" bestFit="1" customWidth="1"/>
    <col min="9762" max="9762" width="12.5703125" customWidth="1"/>
    <col min="9763" max="9763" width="11.28515625" customWidth="1"/>
    <col min="9764" max="9764" width="11.5703125" customWidth="1"/>
    <col min="9765" max="9765" width="9.28515625" customWidth="1"/>
    <col min="9767" max="9767" width="11.7109375" bestFit="1" customWidth="1"/>
    <col min="9768" max="9768" width="10.7109375" bestFit="1" customWidth="1"/>
    <col min="9983" max="9983" width="12.28515625" bestFit="1" customWidth="1"/>
    <col min="9984" max="9987" width="12.28515625" customWidth="1"/>
    <col min="9988" max="9988" width="11.7109375" customWidth="1"/>
    <col min="9989" max="10003" width="9.7109375" customWidth="1"/>
    <col min="10004" max="10004" width="11.5703125" bestFit="1" customWidth="1"/>
    <col min="10005" max="10005" width="8.140625" bestFit="1" customWidth="1"/>
    <col min="10006" max="10007" width="11.5703125" bestFit="1" customWidth="1"/>
    <col min="10008" max="10009" width="18" customWidth="1"/>
    <col min="10010" max="10010" width="17.140625" customWidth="1"/>
    <col min="10011" max="10012" width="15.7109375" customWidth="1"/>
    <col min="10013" max="10013" width="15" customWidth="1"/>
    <col min="10014" max="10015" width="14.140625" bestFit="1" customWidth="1"/>
    <col min="10016" max="10016" width="11.7109375" bestFit="1" customWidth="1"/>
    <col min="10017" max="10017" width="11.85546875" bestFit="1" customWidth="1"/>
    <col min="10018" max="10018" width="12.5703125" customWidth="1"/>
    <col min="10019" max="10019" width="11.28515625" customWidth="1"/>
    <col min="10020" max="10020" width="11.5703125" customWidth="1"/>
    <col min="10021" max="10021" width="9.28515625" customWidth="1"/>
    <col min="10023" max="10023" width="11.7109375" bestFit="1" customWidth="1"/>
    <col min="10024" max="10024" width="10.7109375" bestFit="1" customWidth="1"/>
    <col min="10239" max="10239" width="12.28515625" bestFit="1" customWidth="1"/>
    <col min="10240" max="10243" width="12.28515625" customWidth="1"/>
    <col min="10244" max="10244" width="11.7109375" customWidth="1"/>
    <col min="10245" max="10259" width="9.7109375" customWidth="1"/>
    <col min="10260" max="10260" width="11.5703125" bestFit="1" customWidth="1"/>
    <col min="10261" max="10261" width="8.140625" bestFit="1" customWidth="1"/>
    <col min="10262" max="10263" width="11.5703125" bestFit="1" customWidth="1"/>
    <col min="10264" max="10265" width="18" customWidth="1"/>
    <col min="10266" max="10266" width="17.140625" customWidth="1"/>
    <col min="10267" max="10268" width="15.7109375" customWidth="1"/>
    <col min="10269" max="10269" width="15" customWidth="1"/>
    <col min="10270" max="10271" width="14.140625" bestFit="1" customWidth="1"/>
    <col min="10272" max="10272" width="11.7109375" bestFit="1" customWidth="1"/>
    <col min="10273" max="10273" width="11.85546875" bestFit="1" customWidth="1"/>
    <col min="10274" max="10274" width="12.5703125" customWidth="1"/>
    <col min="10275" max="10275" width="11.28515625" customWidth="1"/>
    <col min="10276" max="10276" width="11.5703125" customWidth="1"/>
    <col min="10277" max="10277" width="9.28515625" customWidth="1"/>
    <col min="10279" max="10279" width="11.7109375" bestFit="1" customWidth="1"/>
    <col min="10280" max="10280" width="10.7109375" bestFit="1" customWidth="1"/>
    <col min="10495" max="10495" width="12.28515625" bestFit="1" customWidth="1"/>
    <col min="10496" max="10499" width="12.28515625" customWidth="1"/>
    <col min="10500" max="10500" width="11.7109375" customWidth="1"/>
    <col min="10501" max="10515" width="9.7109375" customWidth="1"/>
    <col min="10516" max="10516" width="11.5703125" bestFit="1" customWidth="1"/>
    <col min="10517" max="10517" width="8.140625" bestFit="1" customWidth="1"/>
    <col min="10518" max="10519" width="11.5703125" bestFit="1" customWidth="1"/>
    <col min="10520" max="10521" width="18" customWidth="1"/>
    <col min="10522" max="10522" width="17.140625" customWidth="1"/>
    <col min="10523" max="10524" width="15.7109375" customWidth="1"/>
    <col min="10525" max="10525" width="15" customWidth="1"/>
    <col min="10526" max="10527" width="14.140625" bestFit="1" customWidth="1"/>
    <col min="10528" max="10528" width="11.7109375" bestFit="1" customWidth="1"/>
    <col min="10529" max="10529" width="11.85546875" bestFit="1" customWidth="1"/>
    <col min="10530" max="10530" width="12.5703125" customWidth="1"/>
    <col min="10531" max="10531" width="11.28515625" customWidth="1"/>
    <col min="10532" max="10532" width="11.5703125" customWidth="1"/>
    <col min="10533" max="10533" width="9.28515625" customWidth="1"/>
    <col min="10535" max="10535" width="11.7109375" bestFit="1" customWidth="1"/>
    <col min="10536" max="10536" width="10.7109375" bestFit="1" customWidth="1"/>
    <col min="10751" max="10751" width="12.28515625" bestFit="1" customWidth="1"/>
    <col min="10752" max="10755" width="12.28515625" customWidth="1"/>
    <col min="10756" max="10756" width="11.7109375" customWidth="1"/>
    <col min="10757" max="10771" width="9.7109375" customWidth="1"/>
    <col min="10772" max="10772" width="11.5703125" bestFit="1" customWidth="1"/>
    <col min="10773" max="10773" width="8.140625" bestFit="1" customWidth="1"/>
    <col min="10774" max="10775" width="11.5703125" bestFit="1" customWidth="1"/>
    <col min="10776" max="10777" width="18" customWidth="1"/>
    <col min="10778" max="10778" width="17.140625" customWidth="1"/>
    <col min="10779" max="10780" width="15.7109375" customWidth="1"/>
    <col min="10781" max="10781" width="15" customWidth="1"/>
    <col min="10782" max="10783" width="14.140625" bestFit="1" customWidth="1"/>
    <col min="10784" max="10784" width="11.7109375" bestFit="1" customWidth="1"/>
    <col min="10785" max="10785" width="11.85546875" bestFit="1" customWidth="1"/>
    <col min="10786" max="10786" width="12.5703125" customWidth="1"/>
    <col min="10787" max="10787" width="11.28515625" customWidth="1"/>
    <col min="10788" max="10788" width="11.5703125" customWidth="1"/>
    <col min="10789" max="10789" width="9.28515625" customWidth="1"/>
    <col min="10791" max="10791" width="11.7109375" bestFit="1" customWidth="1"/>
    <col min="10792" max="10792" width="10.7109375" bestFit="1" customWidth="1"/>
    <col min="11007" max="11007" width="12.28515625" bestFit="1" customWidth="1"/>
    <col min="11008" max="11011" width="12.28515625" customWidth="1"/>
    <col min="11012" max="11012" width="11.7109375" customWidth="1"/>
    <col min="11013" max="11027" width="9.7109375" customWidth="1"/>
    <col min="11028" max="11028" width="11.5703125" bestFit="1" customWidth="1"/>
    <col min="11029" max="11029" width="8.140625" bestFit="1" customWidth="1"/>
    <col min="11030" max="11031" width="11.5703125" bestFit="1" customWidth="1"/>
    <col min="11032" max="11033" width="18" customWidth="1"/>
    <col min="11034" max="11034" width="17.140625" customWidth="1"/>
    <col min="11035" max="11036" width="15.7109375" customWidth="1"/>
    <col min="11037" max="11037" width="15" customWidth="1"/>
    <col min="11038" max="11039" width="14.140625" bestFit="1" customWidth="1"/>
    <col min="11040" max="11040" width="11.7109375" bestFit="1" customWidth="1"/>
    <col min="11041" max="11041" width="11.85546875" bestFit="1" customWidth="1"/>
    <col min="11042" max="11042" width="12.5703125" customWidth="1"/>
    <col min="11043" max="11043" width="11.28515625" customWidth="1"/>
    <col min="11044" max="11044" width="11.5703125" customWidth="1"/>
    <col min="11045" max="11045" width="9.28515625" customWidth="1"/>
    <col min="11047" max="11047" width="11.7109375" bestFit="1" customWidth="1"/>
    <col min="11048" max="11048" width="10.7109375" bestFit="1" customWidth="1"/>
    <col min="11263" max="11263" width="12.28515625" bestFit="1" customWidth="1"/>
    <col min="11264" max="11267" width="12.28515625" customWidth="1"/>
    <col min="11268" max="11268" width="11.7109375" customWidth="1"/>
    <col min="11269" max="11283" width="9.7109375" customWidth="1"/>
    <col min="11284" max="11284" width="11.5703125" bestFit="1" customWidth="1"/>
    <col min="11285" max="11285" width="8.140625" bestFit="1" customWidth="1"/>
    <col min="11286" max="11287" width="11.5703125" bestFit="1" customWidth="1"/>
    <col min="11288" max="11289" width="18" customWidth="1"/>
    <col min="11290" max="11290" width="17.140625" customWidth="1"/>
    <col min="11291" max="11292" width="15.7109375" customWidth="1"/>
    <col min="11293" max="11293" width="15" customWidth="1"/>
    <col min="11294" max="11295" width="14.140625" bestFit="1" customWidth="1"/>
    <col min="11296" max="11296" width="11.7109375" bestFit="1" customWidth="1"/>
    <col min="11297" max="11297" width="11.85546875" bestFit="1" customWidth="1"/>
    <col min="11298" max="11298" width="12.5703125" customWidth="1"/>
    <col min="11299" max="11299" width="11.28515625" customWidth="1"/>
    <col min="11300" max="11300" width="11.5703125" customWidth="1"/>
    <col min="11301" max="11301" width="9.28515625" customWidth="1"/>
    <col min="11303" max="11303" width="11.7109375" bestFit="1" customWidth="1"/>
    <col min="11304" max="11304" width="10.7109375" bestFit="1" customWidth="1"/>
    <col min="11519" max="11519" width="12.28515625" bestFit="1" customWidth="1"/>
    <col min="11520" max="11523" width="12.28515625" customWidth="1"/>
    <col min="11524" max="11524" width="11.7109375" customWidth="1"/>
    <col min="11525" max="11539" width="9.7109375" customWidth="1"/>
    <col min="11540" max="11540" width="11.5703125" bestFit="1" customWidth="1"/>
    <col min="11541" max="11541" width="8.140625" bestFit="1" customWidth="1"/>
    <col min="11542" max="11543" width="11.5703125" bestFit="1" customWidth="1"/>
    <col min="11544" max="11545" width="18" customWidth="1"/>
    <col min="11546" max="11546" width="17.140625" customWidth="1"/>
    <col min="11547" max="11548" width="15.7109375" customWidth="1"/>
    <col min="11549" max="11549" width="15" customWidth="1"/>
    <col min="11550" max="11551" width="14.140625" bestFit="1" customWidth="1"/>
    <col min="11552" max="11552" width="11.7109375" bestFit="1" customWidth="1"/>
    <col min="11553" max="11553" width="11.85546875" bestFit="1" customWidth="1"/>
    <col min="11554" max="11554" width="12.5703125" customWidth="1"/>
    <col min="11555" max="11555" width="11.28515625" customWidth="1"/>
    <col min="11556" max="11556" width="11.5703125" customWidth="1"/>
    <col min="11557" max="11557" width="9.28515625" customWidth="1"/>
    <col min="11559" max="11559" width="11.7109375" bestFit="1" customWidth="1"/>
    <col min="11560" max="11560" width="10.7109375" bestFit="1" customWidth="1"/>
    <col min="11775" max="11775" width="12.28515625" bestFit="1" customWidth="1"/>
    <col min="11776" max="11779" width="12.28515625" customWidth="1"/>
    <col min="11780" max="11780" width="11.7109375" customWidth="1"/>
    <col min="11781" max="11795" width="9.7109375" customWidth="1"/>
    <col min="11796" max="11796" width="11.5703125" bestFit="1" customWidth="1"/>
    <col min="11797" max="11797" width="8.140625" bestFit="1" customWidth="1"/>
    <col min="11798" max="11799" width="11.5703125" bestFit="1" customWidth="1"/>
    <col min="11800" max="11801" width="18" customWidth="1"/>
    <col min="11802" max="11802" width="17.140625" customWidth="1"/>
    <col min="11803" max="11804" width="15.7109375" customWidth="1"/>
    <col min="11805" max="11805" width="15" customWidth="1"/>
    <col min="11806" max="11807" width="14.140625" bestFit="1" customWidth="1"/>
    <col min="11808" max="11808" width="11.7109375" bestFit="1" customWidth="1"/>
    <col min="11809" max="11809" width="11.85546875" bestFit="1" customWidth="1"/>
    <col min="11810" max="11810" width="12.5703125" customWidth="1"/>
    <col min="11811" max="11811" width="11.28515625" customWidth="1"/>
    <col min="11812" max="11812" width="11.5703125" customWidth="1"/>
    <col min="11813" max="11813" width="9.28515625" customWidth="1"/>
    <col min="11815" max="11815" width="11.7109375" bestFit="1" customWidth="1"/>
    <col min="11816" max="11816" width="10.7109375" bestFit="1" customWidth="1"/>
    <col min="12031" max="12031" width="12.28515625" bestFit="1" customWidth="1"/>
    <col min="12032" max="12035" width="12.28515625" customWidth="1"/>
    <col min="12036" max="12036" width="11.7109375" customWidth="1"/>
    <col min="12037" max="12051" width="9.7109375" customWidth="1"/>
    <col min="12052" max="12052" width="11.5703125" bestFit="1" customWidth="1"/>
    <col min="12053" max="12053" width="8.140625" bestFit="1" customWidth="1"/>
    <col min="12054" max="12055" width="11.5703125" bestFit="1" customWidth="1"/>
    <col min="12056" max="12057" width="18" customWidth="1"/>
    <col min="12058" max="12058" width="17.140625" customWidth="1"/>
    <col min="12059" max="12060" width="15.7109375" customWidth="1"/>
    <col min="12061" max="12061" width="15" customWidth="1"/>
    <col min="12062" max="12063" width="14.140625" bestFit="1" customWidth="1"/>
    <col min="12064" max="12064" width="11.7109375" bestFit="1" customWidth="1"/>
    <col min="12065" max="12065" width="11.85546875" bestFit="1" customWidth="1"/>
    <col min="12066" max="12066" width="12.5703125" customWidth="1"/>
    <col min="12067" max="12067" width="11.28515625" customWidth="1"/>
    <col min="12068" max="12068" width="11.5703125" customWidth="1"/>
    <col min="12069" max="12069" width="9.28515625" customWidth="1"/>
    <col min="12071" max="12071" width="11.7109375" bestFit="1" customWidth="1"/>
    <col min="12072" max="12072" width="10.7109375" bestFit="1" customWidth="1"/>
    <col min="12287" max="12287" width="12.28515625" bestFit="1" customWidth="1"/>
    <col min="12288" max="12291" width="12.28515625" customWidth="1"/>
    <col min="12292" max="12292" width="11.7109375" customWidth="1"/>
    <col min="12293" max="12307" width="9.7109375" customWidth="1"/>
    <col min="12308" max="12308" width="11.5703125" bestFit="1" customWidth="1"/>
    <col min="12309" max="12309" width="8.140625" bestFit="1" customWidth="1"/>
    <col min="12310" max="12311" width="11.5703125" bestFit="1" customWidth="1"/>
    <col min="12312" max="12313" width="18" customWidth="1"/>
    <col min="12314" max="12314" width="17.140625" customWidth="1"/>
    <col min="12315" max="12316" width="15.7109375" customWidth="1"/>
    <col min="12317" max="12317" width="15" customWidth="1"/>
    <col min="12318" max="12319" width="14.140625" bestFit="1" customWidth="1"/>
    <col min="12320" max="12320" width="11.7109375" bestFit="1" customWidth="1"/>
    <col min="12321" max="12321" width="11.85546875" bestFit="1" customWidth="1"/>
    <col min="12322" max="12322" width="12.5703125" customWidth="1"/>
    <col min="12323" max="12323" width="11.28515625" customWidth="1"/>
    <col min="12324" max="12324" width="11.5703125" customWidth="1"/>
    <col min="12325" max="12325" width="9.28515625" customWidth="1"/>
    <col min="12327" max="12327" width="11.7109375" bestFit="1" customWidth="1"/>
    <col min="12328" max="12328" width="10.7109375" bestFit="1" customWidth="1"/>
    <col min="12543" max="12543" width="12.28515625" bestFit="1" customWidth="1"/>
    <col min="12544" max="12547" width="12.28515625" customWidth="1"/>
    <col min="12548" max="12548" width="11.7109375" customWidth="1"/>
    <col min="12549" max="12563" width="9.7109375" customWidth="1"/>
    <col min="12564" max="12564" width="11.5703125" bestFit="1" customWidth="1"/>
    <col min="12565" max="12565" width="8.140625" bestFit="1" customWidth="1"/>
    <col min="12566" max="12567" width="11.5703125" bestFit="1" customWidth="1"/>
    <col min="12568" max="12569" width="18" customWidth="1"/>
    <col min="12570" max="12570" width="17.140625" customWidth="1"/>
    <col min="12571" max="12572" width="15.7109375" customWidth="1"/>
    <col min="12573" max="12573" width="15" customWidth="1"/>
    <col min="12574" max="12575" width="14.140625" bestFit="1" customWidth="1"/>
    <col min="12576" max="12576" width="11.7109375" bestFit="1" customWidth="1"/>
    <col min="12577" max="12577" width="11.85546875" bestFit="1" customWidth="1"/>
    <col min="12578" max="12578" width="12.5703125" customWidth="1"/>
    <col min="12579" max="12579" width="11.28515625" customWidth="1"/>
    <col min="12580" max="12580" width="11.5703125" customWidth="1"/>
    <col min="12581" max="12581" width="9.28515625" customWidth="1"/>
    <col min="12583" max="12583" width="11.7109375" bestFit="1" customWidth="1"/>
    <col min="12584" max="12584" width="10.7109375" bestFit="1" customWidth="1"/>
    <col min="12799" max="12799" width="12.28515625" bestFit="1" customWidth="1"/>
    <col min="12800" max="12803" width="12.28515625" customWidth="1"/>
    <col min="12804" max="12804" width="11.7109375" customWidth="1"/>
    <col min="12805" max="12819" width="9.7109375" customWidth="1"/>
    <col min="12820" max="12820" width="11.5703125" bestFit="1" customWidth="1"/>
    <col min="12821" max="12821" width="8.140625" bestFit="1" customWidth="1"/>
    <col min="12822" max="12823" width="11.5703125" bestFit="1" customWidth="1"/>
    <col min="12824" max="12825" width="18" customWidth="1"/>
    <col min="12826" max="12826" width="17.140625" customWidth="1"/>
    <col min="12827" max="12828" width="15.7109375" customWidth="1"/>
    <col min="12829" max="12829" width="15" customWidth="1"/>
    <col min="12830" max="12831" width="14.140625" bestFit="1" customWidth="1"/>
    <col min="12832" max="12832" width="11.7109375" bestFit="1" customWidth="1"/>
    <col min="12833" max="12833" width="11.85546875" bestFit="1" customWidth="1"/>
    <col min="12834" max="12834" width="12.5703125" customWidth="1"/>
    <col min="12835" max="12835" width="11.28515625" customWidth="1"/>
    <col min="12836" max="12836" width="11.5703125" customWidth="1"/>
    <col min="12837" max="12837" width="9.28515625" customWidth="1"/>
    <col min="12839" max="12839" width="11.7109375" bestFit="1" customWidth="1"/>
    <col min="12840" max="12840" width="10.7109375" bestFit="1" customWidth="1"/>
    <col min="13055" max="13055" width="12.28515625" bestFit="1" customWidth="1"/>
    <col min="13056" max="13059" width="12.28515625" customWidth="1"/>
    <col min="13060" max="13060" width="11.7109375" customWidth="1"/>
    <col min="13061" max="13075" width="9.7109375" customWidth="1"/>
    <col min="13076" max="13076" width="11.5703125" bestFit="1" customWidth="1"/>
    <col min="13077" max="13077" width="8.140625" bestFit="1" customWidth="1"/>
    <col min="13078" max="13079" width="11.5703125" bestFit="1" customWidth="1"/>
    <col min="13080" max="13081" width="18" customWidth="1"/>
    <col min="13082" max="13082" width="17.140625" customWidth="1"/>
    <col min="13083" max="13084" width="15.7109375" customWidth="1"/>
    <col min="13085" max="13085" width="15" customWidth="1"/>
    <col min="13086" max="13087" width="14.140625" bestFit="1" customWidth="1"/>
    <col min="13088" max="13088" width="11.7109375" bestFit="1" customWidth="1"/>
    <col min="13089" max="13089" width="11.85546875" bestFit="1" customWidth="1"/>
    <col min="13090" max="13090" width="12.5703125" customWidth="1"/>
    <col min="13091" max="13091" width="11.28515625" customWidth="1"/>
    <col min="13092" max="13092" width="11.5703125" customWidth="1"/>
    <col min="13093" max="13093" width="9.28515625" customWidth="1"/>
    <col min="13095" max="13095" width="11.7109375" bestFit="1" customWidth="1"/>
    <col min="13096" max="13096" width="10.7109375" bestFit="1" customWidth="1"/>
    <col min="13311" max="13311" width="12.28515625" bestFit="1" customWidth="1"/>
    <col min="13312" max="13315" width="12.28515625" customWidth="1"/>
    <col min="13316" max="13316" width="11.7109375" customWidth="1"/>
    <col min="13317" max="13331" width="9.7109375" customWidth="1"/>
    <col min="13332" max="13332" width="11.5703125" bestFit="1" customWidth="1"/>
    <col min="13333" max="13333" width="8.140625" bestFit="1" customWidth="1"/>
    <col min="13334" max="13335" width="11.5703125" bestFit="1" customWidth="1"/>
    <col min="13336" max="13337" width="18" customWidth="1"/>
    <col min="13338" max="13338" width="17.140625" customWidth="1"/>
    <col min="13339" max="13340" width="15.7109375" customWidth="1"/>
    <col min="13341" max="13341" width="15" customWidth="1"/>
    <col min="13342" max="13343" width="14.140625" bestFit="1" customWidth="1"/>
    <col min="13344" max="13344" width="11.7109375" bestFit="1" customWidth="1"/>
    <col min="13345" max="13345" width="11.85546875" bestFit="1" customWidth="1"/>
    <col min="13346" max="13346" width="12.5703125" customWidth="1"/>
    <col min="13347" max="13347" width="11.28515625" customWidth="1"/>
    <col min="13348" max="13348" width="11.5703125" customWidth="1"/>
    <col min="13349" max="13349" width="9.28515625" customWidth="1"/>
    <col min="13351" max="13351" width="11.7109375" bestFit="1" customWidth="1"/>
    <col min="13352" max="13352" width="10.7109375" bestFit="1" customWidth="1"/>
    <col min="13567" max="13567" width="12.28515625" bestFit="1" customWidth="1"/>
    <col min="13568" max="13571" width="12.28515625" customWidth="1"/>
    <col min="13572" max="13572" width="11.7109375" customWidth="1"/>
    <col min="13573" max="13587" width="9.7109375" customWidth="1"/>
    <col min="13588" max="13588" width="11.5703125" bestFit="1" customWidth="1"/>
    <col min="13589" max="13589" width="8.140625" bestFit="1" customWidth="1"/>
    <col min="13590" max="13591" width="11.5703125" bestFit="1" customWidth="1"/>
    <col min="13592" max="13593" width="18" customWidth="1"/>
    <col min="13594" max="13594" width="17.140625" customWidth="1"/>
    <col min="13595" max="13596" width="15.7109375" customWidth="1"/>
    <col min="13597" max="13597" width="15" customWidth="1"/>
    <col min="13598" max="13599" width="14.140625" bestFit="1" customWidth="1"/>
    <col min="13600" max="13600" width="11.7109375" bestFit="1" customWidth="1"/>
    <col min="13601" max="13601" width="11.85546875" bestFit="1" customWidth="1"/>
    <col min="13602" max="13602" width="12.5703125" customWidth="1"/>
    <col min="13603" max="13603" width="11.28515625" customWidth="1"/>
    <col min="13604" max="13604" width="11.5703125" customWidth="1"/>
    <col min="13605" max="13605" width="9.28515625" customWidth="1"/>
    <col min="13607" max="13607" width="11.7109375" bestFit="1" customWidth="1"/>
    <col min="13608" max="13608" width="10.7109375" bestFit="1" customWidth="1"/>
    <col min="13823" max="13823" width="12.28515625" bestFit="1" customWidth="1"/>
    <col min="13824" max="13827" width="12.28515625" customWidth="1"/>
    <col min="13828" max="13828" width="11.7109375" customWidth="1"/>
    <col min="13829" max="13843" width="9.7109375" customWidth="1"/>
    <col min="13844" max="13844" width="11.5703125" bestFit="1" customWidth="1"/>
    <col min="13845" max="13845" width="8.140625" bestFit="1" customWidth="1"/>
    <col min="13846" max="13847" width="11.5703125" bestFit="1" customWidth="1"/>
    <col min="13848" max="13849" width="18" customWidth="1"/>
    <col min="13850" max="13850" width="17.140625" customWidth="1"/>
    <col min="13851" max="13852" width="15.7109375" customWidth="1"/>
    <col min="13853" max="13853" width="15" customWidth="1"/>
    <col min="13854" max="13855" width="14.140625" bestFit="1" customWidth="1"/>
    <col min="13856" max="13856" width="11.7109375" bestFit="1" customWidth="1"/>
    <col min="13857" max="13857" width="11.85546875" bestFit="1" customWidth="1"/>
    <col min="13858" max="13858" width="12.5703125" customWidth="1"/>
    <col min="13859" max="13859" width="11.28515625" customWidth="1"/>
    <col min="13860" max="13860" width="11.5703125" customWidth="1"/>
    <col min="13861" max="13861" width="9.28515625" customWidth="1"/>
    <col min="13863" max="13863" width="11.7109375" bestFit="1" customWidth="1"/>
    <col min="13864" max="13864" width="10.7109375" bestFit="1" customWidth="1"/>
    <col min="14079" max="14079" width="12.28515625" bestFit="1" customWidth="1"/>
    <col min="14080" max="14083" width="12.28515625" customWidth="1"/>
    <col min="14084" max="14084" width="11.7109375" customWidth="1"/>
    <col min="14085" max="14099" width="9.7109375" customWidth="1"/>
    <col min="14100" max="14100" width="11.5703125" bestFit="1" customWidth="1"/>
    <col min="14101" max="14101" width="8.140625" bestFit="1" customWidth="1"/>
    <col min="14102" max="14103" width="11.5703125" bestFit="1" customWidth="1"/>
    <col min="14104" max="14105" width="18" customWidth="1"/>
    <col min="14106" max="14106" width="17.140625" customWidth="1"/>
    <col min="14107" max="14108" width="15.7109375" customWidth="1"/>
    <col min="14109" max="14109" width="15" customWidth="1"/>
    <col min="14110" max="14111" width="14.140625" bestFit="1" customWidth="1"/>
    <col min="14112" max="14112" width="11.7109375" bestFit="1" customWidth="1"/>
    <col min="14113" max="14113" width="11.85546875" bestFit="1" customWidth="1"/>
    <col min="14114" max="14114" width="12.5703125" customWidth="1"/>
    <col min="14115" max="14115" width="11.28515625" customWidth="1"/>
    <col min="14116" max="14116" width="11.5703125" customWidth="1"/>
    <col min="14117" max="14117" width="9.28515625" customWidth="1"/>
    <col min="14119" max="14119" width="11.7109375" bestFit="1" customWidth="1"/>
    <col min="14120" max="14120" width="10.7109375" bestFit="1" customWidth="1"/>
    <col min="14335" max="14335" width="12.28515625" bestFit="1" customWidth="1"/>
    <col min="14336" max="14339" width="12.28515625" customWidth="1"/>
    <col min="14340" max="14340" width="11.7109375" customWidth="1"/>
    <col min="14341" max="14355" width="9.7109375" customWidth="1"/>
    <col min="14356" max="14356" width="11.5703125" bestFit="1" customWidth="1"/>
    <col min="14357" max="14357" width="8.140625" bestFit="1" customWidth="1"/>
    <col min="14358" max="14359" width="11.5703125" bestFit="1" customWidth="1"/>
    <col min="14360" max="14361" width="18" customWidth="1"/>
    <col min="14362" max="14362" width="17.140625" customWidth="1"/>
    <col min="14363" max="14364" width="15.7109375" customWidth="1"/>
    <col min="14365" max="14365" width="15" customWidth="1"/>
    <col min="14366" max="14367" width="14.140625" bestFit="1" customWidth="1"/>
    <col min="14368" max="14368" width="11.7109375" bestFit="1" customWidth="1"/>
    <col min="14369" max="14369" width="11.85546875" bestFit="1" customWidth="1"/>
    <col min="14370" max="14370" width="12.5703125" customWidth="1"/>
    <col min="14371" max="14371" width="11.28515625" customWidth="1"/>
    <col min="14372" max="14372" width="11.5703125" customWidth="1"/>
    <col min="14373" max="14373" width="9.28515625" customWidth="1"/>
    <col min="14375" max="14375" width="11.7109375" bestFit="1" customWidth="1"/>
    <col min="14376" max="14376" width="10.7109375" bestFit="1" customWidth="1"/>
    <col min="14591" max="14591" width="12.28515625" bestFit="1" customWidth="1"/>
    <col min="14592" max="14595" width="12.28515625" customWidth="1"/>
    <col min="14596" max="14596" width="11.7109375" customWidth="1"/>
    <col min="14597" max="14611" width="9.7109375" customWidth="1"/>
    <col min="14612" max="14612" width="11.5703125" bestFit="1" customWidth="1"/>
    <col min="14613" max="14613" width="8.140625" bestFit="1" customWidth="1"/>
    <col min="14614" max="14615" width="11.5703125" bestFit="1" customWidth="1"/>
    <col min="14616" max="14617" width="18" customWidth="1"/>
    <col min="14618" max="14618" width="17.140625" customWidth="1"/>
    <col min="14619" max="14620" width="15.7109375" customWidth="1"/>
    <col min="14621" max="14621" width="15" customWidth="1"/>
    <col min="14622" max="14623" width="14.140625" bestFit="1" customWidth="1"/>
    <col min="14624" max="14624" width="11.7109375" bestFit="1" customWidth="1"/>
    <col min="14625" max="14625" width="11.85546875" bestFit="1" customWidth="1"/>
    <col min="14626" max="14626" width="12.5703125" customWidth="1"/>
    <col min="14627" max="14627" width="11.28515625" customWidth="1"/>
    <col min="14628" max="14628" width="11.5703125" customWidth="1"/>
    <col min="14629" max="14629" width="9.28515625" customWidth="1"/>
    <col min="14631" max="14631" width="11.7109375" bestFit="1" customWidth="1"/>
    <col min="14632" max="14632" width="10.7109375" bestFit="1" customWidth="1"/>
    <col min="14847" max="14847" width="12.28515625" bestFit="1" customWidth="1"/>
    <col min="14848" max="14851" width="12.28515625" customWidth="1"/>
    <col min="14852" max="14852" width="11.7109375" customWidth="1"/>
    <col min="14853" max="14867" width="9.7109375" customWidth="1"/>
    <col min="14868" max="14868" width="11.5703125" bestFit="1" customWidth="1"/>
    <col min="14869" max="14869" width="8.140625" bestFit="1" customWidth="1"/>
    <col min="14870" max="14871" width="11.5703125" bestFit="1" customWidth="1"/>
    <col min="14872" max="14873" width="18" customWidth="1"/>
    <col min="14874" max="14874" width="17.140625" customWidth="1"/>
    <col min="14875" max="14876" width="15.7109375" customWidth="1"/>
    <col min="14877" max="14877" width="15" customWidth="1"/>
    <col min="14878" max="14879" width="14.140625" bestFit="1" customWidth="1"/>
    <col min="14880" max="14880" width="11.7109375" bestFit="1" customWidth="1"/>
    <col min="14881" max="14881" width="11.85546875" bestFit="1" customWidth="1"/>
    <col min="14882" max="14882" width="12.5703125" customWidth="1"/>
    <col min="14883" max="14883" width="11.28515625" customWidth="1"/>
    <col min="14884" max="14884" width="11.5703125" customWidth="1"/>
    <col min="14885" max="14885" width="9.28515625" customWidth="1"/>
    <col min="14887" max="14887" width="11.7109375" bestFit="1" customWidth="1"/>
    <col min="14888" max="14888" width="10.7109375" bestFit="1" customWidth="1"/>
    <col min="15103" max="15103" width="12.28515625" bestFit="1" customWidth="1"/>
    <col min="15104" max="15107" width="12.28515625" customWidth="1"/>
    <col min="15108" max="15108" width="11.7109375" customWidth="1"/>
    <col min="15109" max="15123" width="9.7109375" customWidth="1"/>
    <col min="15124" max="15124" width="11.5703125" bestFit="1" customWidth="1"/>
    <col min="15125" max="15125" width="8.140625" bestFit="1" customWidth="1"/>
    <col min="15126" max="15127" width="11.5703125" bestFit="1" customWidth="1"/>
    <col min="15128" max="15129" width="18" customWidth="1"/>
    <col min="15130" max="15130" width="17.140625" customWidth="1"/>
    <col min="15131" max="15132" width="15.7109375" customWidth="1"/>
    <col min="15133" max="15133" width="15" customWidth="1"/>
    <col min="15134" max="15135" width="14.140625" bestFit="1" customWidth="1"/>
    <col min="15136" max="15136" width="11.7109375" bestFit="1" customWidth="1"/>
    <col min="15137" max="15137" width="11.85546875" bestFit="1" customWidth="1"/>
    <col min="15138" max="15138" width="12.5703125" customWidth="1"/>
    <col min="15139" max="15139" width="11.28515625" customWidth="1"/>
    <col min="15140" max="15140" width="11.5703125" customWidth="1"/>
    <col min="15141" max="15141" width="9.28515625" customWidth="1"/>
    <col min="15143" max="15143" width="11.7109375" bestFit="1" customWidth="1"/>
    <col min="15144" max="15144" width="10.7109375" bestFit="1" customWidth="1"/>
    <col min="15359" max="15359" width="12.28515625" bestFit="1" customWidth="1"/>
    <col min="15360" max="15363" width="12.28515625" customWidth="1"/>
    <col min="15364" max="15364" width="11.7109375" customWidth="1"/>
    <col min="15365" max="15379" width="9.7109375" customWidth="1"/>
    <col min="15380" max="15380" width="11.5703125" bestFit="1" customWidth="1"/>
    <col min="15381" max="15381" width="8.140625" bestFit="1" customWidth="1"/>
    <col min="15382" max="15383" width="11.5703125" bestFit="1" customWidth="1"/>
    <col min="15384" max="15385" width="18" customWidth="1"/>
    <col min="15386" max="15386" width="17.140625" customWidth="1"/>
    <col min="15387" max="15388" width="15.7109375" customWidth="1"/>
    <col min="15389" max="15389" width="15" customWidth="1"/>
    <col min="15390" max="15391" width="14.140625" bestFit="1" customWidth="1"/>
    <col min="15392" max="15392" width="11.7109375" bestFit="1" customWidth="1"/>
    <col min="15393" max="15393" width="11.85546875" bestFit="1" customWidth="1"/>
    <col min="15394" max="15394" width="12.5703125" customWidth="1"/>
    <col min="15395" max="15395" width="11.28515625" customWidth="1"/>
    <col min="15396" max="15396" width="11.5703125" customWidth="1"/>
    <col min="15397" max="15397" width="9.28515625" customWidth="1"/>
    <col min="15399" max="15399" width="11.7109375" bestFit="1" customWidth="1"/>
    <col min="15400" max="15400" width="10.7109375" bestFit="1" customWidth="1"/>
    <col min="15615" max="15615" width="12.28515625" bestFit="1" customWidth="1"/>
    <col min="15616" max="15619" width="12.28515625" customWidth="1"/>
    <col min="15620" max="15620" width="11.7109375" customWidth="1"/>
    <col min="15621" max="15635" width="9.7109375" customWidth="1"/>
    <col min="15636" max="15636" width="11.5703125" bestFit="1" customWidth="1"/>
    <col min="15637" max="15637" width="8.140625" bestFit="1" customWidth="1"/>
    <col min="15638" max="15639" width="11.5703125" bestFit="1" customWidth="1"/>
    <col min="15640" max="15641" width="18" customWidth="1"/>
    <col min="15642" max="15642" width="17.140625" customWidth="1"/>
    <col min="15643" max="15644" width="15.7109375" customWidth="1"/>
    <col min="15645" max="15645" width="15" customWidth="1"/>
    <col min="15646" max="15647" width="14.140625" bestFit="1" customWidth="1"/>
    <col min="15648" max="15648" width="11.7109375" bestFit="1" customWidth="1"/>
    <col min="15649" max="15649" width="11.85546875" bestFit="1" customWidth="1"/>
    <col min="15650" max="15650" width="12.5703125" customWidth="1"/>
    <col min="15651" max="15651" width="11.28515625" customWidth="1"/>
    <col min="15652" max="15652" width="11.5703125" customWidth="1"/>
    <col min="15653" max="15653" width="9.28515625" customWidth="1"/>
    <col min="15655" max="15655" width="11.7109375" bestFit="1" customWidth="1"/>
    <col min="15656" max="15656" width="10.7109375" bestFit="1" customWidth="1"/>
    <col min="15871" max="15871" width="12.28515625" bestFit="1" customWidth="1"/>
    <col min="15872" max="15875" width="12.28515625" customWidth="1"/>
    <col min="15876" max="15876" width="11.7109375" customWidth="1"/>
    <col min="15877" max="15891" width="9.7109375" customWidth="1"/>
    <col min="15892" max="15892" width="11.5703125" bestFit="1" customWidth="1"/>
    <col min="15893" max="15893" width="8.140625" bestFit="1" customWidth="1"/>
    <col min="15894" max="15895" width="11.5703125" bestFit="1" customWidth="1"/>
    <col min="15896" max="15897" width="18" customWidth="1"/>
    <col min="15898" max="15898" width="17.140625" customWidth="1"/>
    <col min="15899" max="15900" width="15.7109375" customWidth="1"/>
    <col min="15901" max="15901" width="15" customWidth="1"/>
    <col min="15902" max="15903" width="14.140625" bestFit="1" customWidth="1"/>
    <col min="15904" max="15904" width="11.7109375" bestFit="1" customWidth="1"/>
    <col min="15905" max="15905" width="11.85546875" bestFit="1" customWidth="1"/>
    <col min="15906" max="15906" width="12.5703125" customWidth="1"/>
    <col min="15907" max="15907" width="11.28515625" customWidth="1"/>
    <col min="15908" max="15908" width="11.5703125" customWidth="1"/>
    <col min="15909" max="15909" width="9.28515625" customWidth="1"/>
    <col min="15911" max="15911" width="11.7109375" bestFit="1" customWidth="1"/>
    <col min="15912" max="15912" width="10.7109375" bestFit="1" customWidth="1"/>
    <col min="16127" max="16127" width="12.28515625" bestFit="1" customWidth="1"/>
    <col min="16128" max="16131" width="12.28515625" customWidth="1"/>
    <col min="16132" max="16132" width="11.7109375" customWidth="1"/>
    <col min="16133" max="16147" width="9.7109375" customWidth="1"/>
    <col min="16148" max="16148" width="11.5703125" bestFit="1" customWidth="1"/>
    <col min="16149" max="16149" width="8.140625" bestFit="1" customWidth="1"/>
    <col min="16150" max="16151" width="11.5703125" bestFit="1" customWidth="1"/>
    <col min="16152" max="16153" width="18" customWidth="1"/>
    <col min="16154" max="16154" width="17.140625" customWidth="1"/>
    <col min="16155" max="16156" width="15.7109375" customWidth="1"/>
    <col min="16157" max="16157" width="15" customWidth="1"/>
    <col min="16158" max="16159" width="14.140625" bestFit="1" customWidth="1"/>
    <col min="16160" max="16160" width="11.7109375" bestFit="1" customWidth="1"/>
    <col min="16161" max="16161" width="11.85546875" bestFit="1" customWidth="1"/>
    <col min="16162" max="16162" width="12.5703125" customWidth="1"/>
    <col min="16163" max="16163" width="11.28515625" customWidth="1"/>
    <col min="16164" max="16164" width="11.5703125" customWidth="1"/>
    <col min="16165" max="16165" width="9.28515625" customWidth="1"/>
    <col min="16167" max="16167" width="11.7109375" bestFit="1" customWidth="1"/>
    <col min="16168" max="16168" width="10.7109375" bestFit="1" customWidth="1"/>
  </cols>
  <sheetData>
    <row r="2" spans="1:27">
      <c r="A2" t="s">
        <v>103</v>
      </c>
      <c r="B2"/>
      <c r="C2"/>
      <c r="D2"/>
      <c r="E2"/>
      <c r="F2"/>
    </row>
    <row r="3" spans="1:27">
      <c r="B3"/>
      <c r="C3"/>
      <c r="D3"/>
      <c r="E3"/>
      <c r="F3"/>
      <c r="V3" t="s">
        <v>104</v>
      </c>
      <c r="W3" s="94" t="s">
        <v>105</v>
      </c>
    </row>
    <row r="4" spans="1:27" ht="24">
      <c r="A4" s="97" t="s">
        <v>3</v>
      </c>
      <c r="B4" s="98">
        <v>1993</v>
      </c>
      <c r="C4" s="98">
        <v>1994</v>
      </c>
      <c r="D4" s="98">
        <v>1995</v>
      </c>
      <c r="E4" s="98">
        <v>1996</v>
      </c>
      <c r="F4" s="98">
        <v>1997</v>
      </c>
      <c r="G4" s="98">
        <v>1998</v>
      </c>
      <c r="H4" s="98">
        <v>1999</v>
      </c>
      <c r="I4" s="98">
        <v>2000</v>
      </c>
      <c r="J4" s="98">
        <v>2001</v>
      </c>
      <c r="K4" s="98">
        <v>2002</v>
      </c>
      <c r="L4" s="98">
        <v>2003</v>
      </c>
      <c r="M4" s="98">
        <v>2004</v>
      </c>
      <c r="N4" s="98">
        <v>2005</v>
      </c>
      <c r="O4" s="98">
        <v>2006</v>
      </c>
      <c r="P4" s="98">
        <v>2007</v>
      </c>
      <c r="Q4" s="98">
        <v>2008</v>
      </c>
      <c r="R4" s="98">
        <v>2009</v>
      </c>
      <c r="S4" s="98">
        <v>2010</v>
      </c>
      <c r="T4" s="98">
        <v>2011</v>
      </c>
      <c r="U4" s="98">
        <v>2012</v>
      </c>
      <c r="V4" s="159"/>
      <c r="W4" s="98"/>
      <c r="Y4" s="98"/>
      <c r="Z4" s="98"/>
      <c r="AA4" s="98"/>
    </row>
    <row r="5" spans="1:27">
      <c r="A5" s="99" t="s">
        <v>80</v>
      </c>
      <c r="B5" s="159">
        <f>'[7]eng-daily-01011993-12311993'!$M$56</f>
        <v>1029.8999999999996</v>
      </c>
      <c r="C5" s="159">
        <f>'[8]eng-daily-01011994-12311994'!$M$56</f>
        <v>1210.3999999999999</v>
      </c>
      <c r="D5" s="159">
        <f>'[9]eng-daily-01011995-12311995'!$M$56</f>
        <v>959.49999999999966</v>
      </c>
      <c r="E5" s="159">
        <f>'[10]eng-daily-01011996-12311996'!$M$56</f>
        <v>1235.5999999999997</v>
      </c>
      <c r="F5" s="159">
        <f>'[11]eng-daily-01011997-12311997'!$M$56</f>
        <v>1056.6999999999998</v>
      </c>
      <c r="G5" s="159">
        <f>'[12]eng-daily-01011998-12311998'!$M$56</f>
        <v>910.59999999999991</v>
      </c>
      <c r="H5" s="159">
        <f>'[13]eng-daily-01011999-12311999'!$M$56</f>
        <v>1055.1999999999998</v>
      </c>
      <c r="I5" s="159">
        <f>'[14]eng-daily-01012000-12312000'!$M$56</f>
        <v>996.3</v>
      </c>
      <c r="J5" s="159">
        <f>'[15]eng-daily-01012001-12312001'!$M$56</f>
        <v>883.99999999999977</v>
      </c>
      <c r="K5" s="159">
        <f>'[16]eng-daily-01012002-12312002'!$M$56</f>
        <v>877.69999999999982</v>
      </c>
      <c r="L5" s="159">
        <f>'[17]eng-daily-01012003-12312003'!$M$56</f>
        <v>1041.0999999999997</v>
      </c>
      <c r="M5" s="159">
        <f>'[18]eng-daily-01012004-12312004'!$M$56</f>
        <v>1164.6999999999998</v>
      </c>
      <c r="N5" s="159">
        <f>'[19]eng-daily-01012005-12312005'!$M$56</f>
        <v>1085.9999999999998</v>
      </c>
      <c r="O5" s="159">
        <f>'[20]eng-daily-01012006-12312006'!$M$56</f>
        <v>774</v>
      </c>
      <c r="P5" s="159">
        <f>'[21]eng-daily-01012007-12312007'!$M$56</f>
        <v>905.39999999999986</v>
      </c>
      <c r="Q5" s="159">
        <f>'[22]eng-daily-01012008-12312008'!$M$56</f>
        <v>1025.0999999999999</v>
      </c>
      <c r="R5" s="159">
        <f>'[23]eng-daily-01012009-12312009'!$M$56</f>
        <v>1163.5999999999999</v>
      </c>
      <c r="S5" s="159">
        <f>'[24]eng-daily-01012010-12312010'!$M$56</f>
        <v>1001.1999999999999</v>
      </c>
      <c r="T5" s="159">
        <f>'[25]eng-daily-01012011-12312011'!$M$56</f>
        <v>1132.3</v>
      </c>
      <c r="U5" s="159">
        <f>'[26]eng-daily-01012012-12312012'!$M$56</f>
        <v>875.50000000000011</v>
      </c>
      <c r="V5" s="160">
        <f>AVERAGE(L5:U5)</f>
        <v>1016.89</v>
      </c>
      <c r="W5" s="160">
        <f>TREND(B5:U5,$B$4:$U$4,2014)</f>
        <v>971.85135338345935</v>
      </c>
    </row>
    <row r="6" spans="1:27">
      <c r="A6" s="99" t="s">
        <v>81</v>
      </c>
      <c r="B6" s="159">
        <f>'[7]eng-daily-01011993-12311993'!$M$85</f>
        <v>860.69999999999982</v>
      </c>
      <c r="C6" s="159">
        <f>'[8]eng-daily-01011994-12311994'!$M$85</f>
        <v>940.09999999999968</v>
      </c>
      <c r="D6" s="159">
        <f>'[9]eng-daily-01011995-12311995'!$M$85</f>
        <v>921.19999999999982</v>
      </c>
      <c r="E6" s="159">
        <f>'[10]eng-daily-01011996-12311996'!$M$85</f>
        <v>938.69999999999959</v>
      </c>
      <c r="F6" s="159">
        <f>'[11]eng-daily-01011997-12311997'!$M$85</f>
        <v>838.09999999999991</v>
      </c>
      <c r="G6" s="159">
        <f>'[12]eng-daily-01011998-12311998'!$M$85</f>
        <v>580.4000000000002</v>
      </c>
      <c r="H6" s="159">
        <f>'[13]eng-daily-01011999-12311999'!$M$85</f>
        <v>704</v>
      </c>
      <c r="I6" s="159">
        <f>'[14]eng-daily-01012000-12312000'!$M$85</f>
        <v>749.90000000000032</v>
      </c>
      <c r="J6" s="159">
        <f>'[15]eng-daily-01012001-12312001'!$M$85</f>
        <v>942.19999999999982</v>
      </c>
      <c r="K6" s="159">
        <f>'[16]eng-daily-01012002-12312002'!$M$85</f>
        <v>722.3</v>
      </c>
      <c r="L6" s="159">
        <f>'[17]eng-daily-01012003-12312003'!$M$85</f>
        <v>952.6999999999997</v>
      </c>
      <c r="M6" s="159">
        <f>'[18]eng-daily-01012004-12312004'!$M$85</f>
        <v>799.09999999999991</v>
      </c>
      <c r="N6" s="159">
        <f>'[19]eng-daily-01012005-12312005'!$M$85</f>
        <v>778.59999999999991</v>
      </c>
      <c r="O6" s="159">
        <f>'[20]eng-daily-01012006-12312006'!$M$85</f>
        <v>927.79999999999984</v>
      </c>
      <c r="P6" s="159">
        <f>'[21]eng-daily-01012007-12312007'!$M$85</f>
        <v>813.59999999999991</v>
      </c>
      <c r="Q6" s="159">
        <f>'[22]eng-daily-01012008-12312008'!$M$85</f>
        <v>981.6</v>
      </c>
      <c r="R6" s="159">
        <f>'[23]eng-daily-01012009-12312009'!$M$85</f>
        <v>882.00000000000011</v>
      </c>
      <c r="S6" s="159">
        <f>'[24]eng-daily-01012010-12312010'!$M$85</f>
        <v>867.80000000000018</v>
      </c>
      <c r="T6" s="159">
        <f>'[25]eng-daily-01012011-12312011'!$M$85</f>
        <v>871.5999999999998</v>
      </c>
      <c r="U6" s="159">
        <f>'[26]eng-daily-01012012-12312012'!$M$85</f>
        <v>743.6</v>
      </c>
      <c r="V6" s="160">
        <f t="shared" ref="V6:V16" si="0">AVERAGE(L6:U6)</f>
        <v>861.83999999999992</v>
      </c>
      <c r="W6" s="160">
        <f t="shared" ref="W6:W16" si="1">TREND(B6:U6,$B$4:$U$4,2014)</f>
        <v>843.05676691729332</v>
      </c>
    </row>
    <row r="7" spans="1:27">
      <c r="A7" s="99" t="s">
        <v>82</v>
      </c>
      <c r="B7" s="159">
        <f>'[7]eng-daily-01011993-12311993'!$M$116</f>
        <v>668.6</v>
      </c>
      <c r="C7" s="159">
        <f>'[8]eng-daily-01011994-12311994'!$M$116</f>
        <v>617.30000000000007</v>
      </c>
      <c r="D7" s="159">
        <f>'[9]eng-daily-01011995-12311995'!$M$116</f>
        <v>664.49999999999977</v>
      </c>
      <c r="E7" s="159">
        <f>'[10]eng-daily-01011996-12311996'!$M$116</f>
        <v>877.59999999999968</v>
      </c>
      <c r="F7" s="159">
        <f>'[11]eng-daily-01011997-12311997'!$M$116</f>
        <v>772.39999999999986</v>
      </c>
      <c r="G7" s="159">
        <f>'[12]eng-daily-01011998-12311998'!$M$116</f>
        <v>671.7</v>
      </c>
      <c r="H7" s="159">
        <f>'[13]eng-daily-01011999-12311999'!$M$116</f>
        <v>635.70000000000016</v>
      </c>
      <c r="I7" s="159">
        <f>'[14]eng-daily-01012000-12312000'!$M$116</f>
        <v>559.70000000000005</v>
      </c>
      <c r="J7" s="159">
        <f>'[15]eng-daily-01012001-12312001'!$M$116</f>
        <v>706.20000000000016</v>
      </c>
      <c r="K7" s="159">
        <f>'[16]eng-daily-01012002-12312002'!$M$116</f>
        <v>855.49999999999977</v>
      </c>
      <c r="L7" s="159">
        <f>'[17]eng-daily-01012003-12312003'!$M$116</f>
        <v>759.40000000000032</v>
      </c>
      <c r="M7" s="159">
        <f>'[18]eng-daily-01012004-12312004'!$M$116</f>
        <v>664.7</v>
      </c>
      <c r="N7" s="159">
        <f>'[19]eng-daily-01012005-12312005'!$M$116</f>
        <v>758.8</v>
      </c>
      <c r="O7" s="159">
        <f>'[20]eng-daily-01012006-12312006'!$M$116</f>
        <v>648.30000000000007</v>
      </c>
      <c r="P7" s="159">
        <f>'[21]eng-daily-01012007-12312007'!$M$116</f>
        <v>514.70000000000005</v>
      </c>
      <c r="Q7" s="159">
        <f>'[22]eng-daily-01012008-12312008'!$M$116</f>
        <v>759.30000000000007</v>
      </c>
      <c r="R7" s="159">
        <f>'[23]eng-daily-01012009-12312009'!$M$116</f>
        <v>744.6</v>
      </c>
      <c r="S7" s="159">
        <f>'[24]eng-daily-01012010-12312010'!$M$116</f>
        <v>506.9</v>
      </c>
      <c r="T7" s="159">
        <f>'[25]eng-daily-01012011-12312011'!$M$116</f>
        <v>750.19999999999982</v>
      </c>
      <c r="U7" s="159">
        <f>'[26]eng-daily-01012012-12312012'!$M$116</f>
        <v>445.2</v>
      </c>
      <c r="V7" s="160">
        <f t="shared" si="0"/>
        <v>655.21</v>
      </c>
      <c r="W7" s="160">
        <f t="shared" si="1"/>
        <v>620.50751879699237</v>
      </c>
    </row>
    <row r="8" spans="1:27">
      <c r="A8" s="99" t="s">
        <v>83</v>
      </c>
      <c r="B8" s="159">
        <f>'[7]eng-daily-01011993-12311993'!$M$146</f>
        <v>442.29999999999984</v>
      </c>
      <c r="C8" s="159">
        <f>'[8]eng-daily-01011994-12311994'!$M$146</f>
        <v>448.39999999999992</v>
      </c>
      <c r="D8" s="159">
        <f>'[9]eng-daily-01011995-12311995'!$M$146</f>
        <v>534.4</v>
      </c>
      <c r="E8" s="159">
        <f>'[10]eng-daily-01011996-12311996'!$M$146</f>
        <v>567.9</v>
      </c>
      <c r="F8" s="159">
        <f>'[11]eng-daily-01011997-12311997'!$M$146</f>
        <v>482.59999999999997</v>
      </c>
      <c r="G8" s="159">
        <f>'[12]eng-daily-01011998-12311998'!$M$146</f>
        <v>343.09999999999991</v>
      </c>
      <c r="H8" s="159">
        <f>'[13]eng-daily-01011999-12311999'!$M$146</f>
        <v>370.59999999999991</v>
      </c>
      <c r="I8" s="159">
        <f>'[14]eng-daily-01012000-12312000'!$M$146</f>
        <v>426.4</v>
      </c>
      <c r="J8" s="159">
        <f>'[15]eng-daily-01012001-12312001'!$M$146</f>
        <v>399.29999999999995</v>
      </c>
      <c r="K8" s="159">
        <f>'[16]eng-daily-01012002-12312002'!$M$146</f>
        <v>464.09999999999991</v>
      </c>
      <c r="L8" s="159">
        <f>'[17]eng-daily-01012003-12312003'!$M$146</f>
        <v>417.49999999999994</v>
      </c>
      <c r="M8" s="159">
        <f>'[18]eng-daily-01012004-12312004'!$M$146</f>
        <v>424.79999999999995</v>
      </c>
      <c r="N8" s="159">
        <f>'[19]eng-daily-01012005-12312005'!$M$146</f>
        <v>330.29999999999995</v>
      </c>
      <c r="O8" s="159">
        <f>'[20]eng-daily-01012006-12312006'!$M$146</f>
        <v>292.59999999999991</v>
      </c>
      <c r="P8" s="159">
        <f>'[21]eng-daily-01012007-12312007'!$M$146</f>
        <v>359.19999999999993</v>
      </c>
      <c r="Q8" s="159">
        <f>'[22]eng-daily-01012008-12312008'!$M$146</f>
        <v>473.2000000000001</v>
      </c>
      <c r="R8" s="159">
        <f>'[23]eng-daily-01012009-12312009'!$M$146</f>
        <v>436.59999999999997</v>
      </c>
      <c r="S8" s="159">
        <f>'[24]eng-daily-01012010-12312010'!$M$146</f>
        <v>300.10000000000002</v>
      </c>
      <c r="T8" s="159">
        <f>'[25]eng-daily-01012011-12312011'!$M$146</f>
        <v>412.60000000000014</v>
      </c>
      <c r="U8" s="159">
        <f>'[26]eng-daily-01012012-12312012'!$M$146</f>
        <v>396.2000000000001</v>
      </c>
      <c r="V8" s="160">
        <f t="shared" si="0"/>
        <v>384.31</v>
      </c>
      <c r="W8" s="160">
        <f t="shared" si="1"/>
        <v>349.86827067669401</v>
      </c>
    </row>
    <row r="9" spans="1:27">
      <c r="A9" s="99" t="s">
        <v>84</v>
      </c>
      <c r="B9" s="159">
        <f>'[7]eng-daily-01011993-12311993'!$M$177</f>
        <v>236.89999999999989</v>
      </c>
      <c r="C9" s="159">
        <f>'[8]eng-daily-01011994-12311994'!$M$177</f>
        <v>191.99999999999994</v>
      </c>
      <c r="D9" s="159">
        <f>'[9]eng-daily-01011995-12311995'!$M$177</f>
        <v>239.89999999999998</v>
      </c>
      <c r="E9" s="159">
        <f>'[10]eng-daily-01011996-12311996'!$M$177</f>
        <v>271.7999999999999</v>
      </c>
      <c r="F9" s="159">
        <f>'[11]eng-daily-01011997-12311997'!$M$177</f>
        <v>319.39999999999986</v>
      </c>
      <c r="G9" s="159">
        <f>'[12]eng-daily-01011998-12311998'!$M$177</f>
        <v>153.29999999999998</v>
      </c>
      <c r="H9" s="159">
        <f>'[13]eng-daily-01011999-12311999'!$M$177</f>
        <v>176.19999999999996</v>
      </c>
      <c r="I9" s="159">
        <f>'[14]eng-daily-01012000-12312000'!$M$177</f>
        <v>183.19999999999993</v>
      </c>
      <c r="J9" s="159">
        <f>'[15]eng-daily-01012001-12312001'!$M$177</f>
        <v>188.09999999999997</v>
      </c>
      <c r="K9" s="159">
        <f>'[16]eng-daily-01012002-12312002'!$M$177</f>
        <v>334.69999999999993</v>
      </c>
      <c r="L9" s="159">
        <f>'[17]eng-daily-01012003-12312003'!$M$177</f>
        <v>193.19999999999996</v>
      </c>
      <c r="M9" s="159">
        <f>'[18]eng-daily-01012004-12312004'!$M$177</f>
        <v>299.39999999999992</v>
      </c>
      <c r="N9" s="159">
        <f>'[19]eng-daily-01012005-12312005'!$M$177</f>
        <v>233.49999999999991</v>
      </c>
      <c r="O9" s="159">
        <f>'[20]eng-daily-01012006-12312006'!$M$177</f>
        <v>179.2</v>
      </c>
      <c r="P9" s="159">
        <f>'[21]eng-daily-01012007-12312007'!$M$177</f>
        <v>157.69999999999999</v>
      </c>
      <c r="Q9" s="159">
        <f>'[22]eng-daily-01012008-12312008'!$M$177</f>
        <v>321.49999999999994</v>
      </c>
      <c r="R9" s="159">
        <f>'[23]eng-daily-01012009-12312009'!$M$177</f>
        <v>287.10000000000008</v>
      </c>
      <c r="S9" s="159">
        <f>'[24]eng-daily-01012010-12312010'!$M$177</f>
        <v>191.1999999999999</v>
      </c>
      <c r="T9" s="159">
        <f>'[25]eng-daily-01012011-12312011'!$M$177</f>
        <v>208.29999999999995</v>
      </c>
      <c r="U9" s="159">
        <f>'[26]eng-daily-01012012-12312012'!$M$177</f>
        <v>186.8</v>
      </c>
      <c r="V9" s="160">
        <f t="shared" si="0"/>
        <v>225.78999999999996</v>
      </c>
      <c r="W9" s="160">
        <f t="shared" si="1"/>
        <v>221.80067669172945</v>
      </c>
    </row>
    <row r="10" spans="1:27">
      <c r="A10" s="99" t="s">
        <v>85</v>
      </c>
      <c r="B10" s="159">
        <f>'[7]eng-daily-01011993-12311993'!$M$207</f>
        <v>116.70000000000003</v>
      </c>
      <c r="C10" s="159">
        <f>'[8]eng-daily-01011994-12311994'!$M$207</f>
        <v>46.100000000000009</v>
      </c>
      <c r="D10" s="159">
        <f>'[9]eng-daily-01011995-12311995'!$M$207</f>
        <v>50.5</v>
      </c>
      <c r="E10" s="159">
        <f>'[10]eng-daily-01011996-12311996'!$M$207</f>
        <v>73.100000000000023</v>
      </c>
      <c r="F10" s="159">
        <f>'[11]eng-daily-01011997-12311997'!$M$207</f>
        <v>35.300000000000004</v>
      </c>
      <c r="G10" s="159">
        <f>'[12]eng-daily-01011998-12311998'!$M$207</f>
        <v>90.500000000000014</v>
      </c>
      <c r="H10" s="159">
        <f>'[13]eng-daily-01011999-12311999'!$M$207</f>
        <v>76.100000000000009</v>
      </c>
      <c r="I10" s="159">
        <f>'[14]eng-daily-01012000-12312000'!$M$207</f>
        <v>108.9</v>
      </c>
      <c r="J10" s="159">
        <f>'[15]eng-daily-01012001-12312001'!$M$207</f>
        <v>74.90000000000002</v>
      </c>
      <c r="K10" s="159">
        <f>'[16]eng-daily-01012002-12312002'!$M$207</f>
        <v>69.000000000000014</v>
      </c>
      <c r="L10" s="159">
        <f>'[17]eng-daily-01012003-12312003'!$M$207</f>
        <v>71.300000000000011</v>
      </c>
      <c r="M10" s="159">
        <f>'[18]eng-daily-01012004-12312004'!$M$207</f>
        <v>113.2</v>
      </c>
      <c r="N10" s="159">
        <f>'[19]eng-daily-01012005-12312005'!$M$207</f>
        <v>40.9</v>
      </c>
      <c r="O10" s="159">
        <f>'[20]eng-daily-01012006-12312006'!$M$207</f>
        <v>55.100000000000016</v>
      </c>
      <c r="P10" s="159">
        <f>'[21]eng-daily-01012007-12312007'!$M$207</f>
        <v>42.5</v>
      </c>
      <c r="Q10" s="159">
        <f>'[22]eng-daily-01012008-12312008'!$M$207</f>
        <v>102.70000000000002</v>
      </c>
      <c r="R10" s="159">
        <f>'[23]eng-daily-01012009-12312009'!$M$207</f>
        <v>118.5</v>
      </c>
      <c r="S10" s="159">
        <f>'[24]eng-daily-01012010-12312010'!$M$207</f>
        <v>84.6</v>
      </c>
      <c r="T10" s="159">
        <f>'[25]eng-daily-01012011-12312011'!$M$207</f>
        <v>93.300000000000026</v>
      </c>
      <c r="U10" s="159">
        <f>'[26]eng-daily-01012012-12312012'!$M$207</f>
        <v>45.099999999999994</v>
      </c>
      <c r="V10" s="160">
        <f t="shared" si="0"/>
        <v>76.720000000000013</v>
      </c>
      <c r="W10" s="160">
        <f t="shared" si="1"/>
        <v>79.593909774436042</v>
      </c>
    </row>
    <row r="11" spans="1:27">
      <c r="A11" s="99" t="s">
        <v>86</v>
      </c>
      <c r="B11" s="159">
        <f>'[7]eng-daily-01011993-12311993'!$M$238</f>
        <v>34.5</v>
      </c>
      <c r="C11" s="159">
        <f>'[8]eng-daily-01011994-12311994'!$M$238</f>
        <v>31.099999999999998</v>
      </c>
      <c r="D11" s="159">
        <f>'[9]eng-daily-01011995-12311995'!$M$238</f>
        <v>31.099999999999998</v>
      </c>
      <c r="E11" s="159">
        <f>'[10]eng-daily-01011996-12311996'!$M$238</f>
        <v>36.400000000000006</v>
      </c>
      <c r="F11" s="159">
        <f>'[11]eng-daily-01011997-12311997'!$M$238</f>
        <v>42.6</v>
      </c>
      <c r="G11" s="159">
        <f>'[12]eng-daily-01011998-12311998'!$M$238</f>
        <v>25.9</v>
      </c>
      <c r="H11" s="159">
        <f>'[13]eng-daily-01011999-12311999'!$M$238</f>
        <v>21.599999999999998</v>
      </c>
      <c r="I11" s="159">
        <f>'[14]eng-daily-01012000-12312000'!$M$238</f>
        <v>21.299999999999997</v>
      </c>
      <c r="J11" s="159">
        <f>'[15]eng-daily-01012001-12312001'!$M$238</f>
        <v>31.899999999999995</v>
      </c>
      <c r="K11" s="159">
        <f>'[16]eng-daily-01012002-12312002'!$M$238</f>
        <v>12.600000000000001</v>
      </c>
      <c r="L11" s="159">
        <f>'[17]eng-daily-01012003-12312003'!$M$238</f>
        <v>21.5</v>
      </c>
      <c r="M11" s="159">
        <f>'[18]eng-daily-01012004-12312004'!$M$238</f>
        <v>43.5</v>
      </c>
      <c r="N11" s="159">
        <f>'[19]eng-daily-01012005-12312005'!$M$238</f>
        <v>25.7</v>
      </c>
      <c r="O11" s="159">
        <f>'[20]eng-daily-01012006-12312006'!$M$238</f>
        <v>6.8000000000000007</v>
      </c>
      <c r="P11" s="159">
        <f>'[21]eng-daily-01012007-12312007'!$M$238</f>
        <v>28.799999999999997</v>
      </c>
      <c r="Q11" s="159">
        <f>'[22]eng-daily-01012008-12312008'!$M$238</f>
        <v>42.9</v>
      </c>
      <c r="R11" s="159">
        <f>'[23]eng-daily-01012009-12312009'!$M$238</f>
        <v>80.8</v>
      </c>
      <c r="S11" s="159">
        <f>'[24]eng-daily-01012010-12312010'!$M$238</f>
        <v>5.0999999999999996</v>
      </c>
      <c r="T11" s="159">
        <f>'[25]eng-daily-01012011-12312011'!$M$238</f>
        <v>13.100000000000001</v>
      </c>
      <c r="U11" s="159">
        <f>'[26]eng-daily-01012012-12312012'!$M$238</f>
        <v>0.7</v>
      </c>
      <c r="V11" s="160">
        <f t="shared" si="0"/>
        <v>26.889999999999997</v>
      </c>
      <c r="W11" s="160">
        <f t="shared" si="1"/>
        <v>21.241428571428514</v>
      </c>
    </row>
    <row r="12" spans="1:27">
      <c r="A12" s="99" t="s">
        <v>87</v>
      </c>
      <c r="B12" s="159">
        <f>'[7]eng-daily-01011993-12311993'!$M$269</f>
        <v>41.600000000000009</v>
      </c>
      <c r="C12" s="159">
        <f>'[8]eng-daily-01011994-12311994'!$M$269</f>
        <v>76.900000000000006</v>
      </c>
      <c r="D12" s="159">
        <f>'[9]eng-daily-01011995-12311995'!$M$269</f>
        <v>24.1</v>
      </c>
      <c r="E12" s="159">
        <f>'[10]eng-daily-01011996-12311996'!$M$269</f>
        <v>28.299999999999997</v>
      </c>
      <c r="F12" s="159">
        <f>'[11]eng-daily-01011997-12311997'!$M$269</f>
        <v>69.400000000000006</v>
      </c>
      <c r="G12" s="159">
        <f>'[12]eng-daily-01011998-12311998'!$M$269</f>
        <v>13.8</v>
      </c>
      <c r="H12" s="159">
        <f>'[13]eng-daily-01011999-12311999'!$M$269</f>
        <v>48.900000000000006</v>
      </c>
      <c r="I12" s="159">
        <f>'[14]eng-daily-01012000-12312000'!$M$269</f>
        <v>35</v>
      </c>
      <c r="J12" s="159">
        <f>'[15]eng-daily-01012001-12312001'!$M$269</f>
        <v>28.699999999999996</v>
      </c>
      <c r="K12" s="159">
        <f>'[16]eng-daily-01012002-12312002'!$M$269</f>
        <v>27.799999999999997</v>
      </c>
      <c r="L12" s="159">
        <f>'[17]eng-daily-01012003-12312003'!$M$269</f>
        <v>18.899999999999999</v>
      </c>
      <c r="M12" s="159">
        <f>'[18]eng-daily-01012004-12312004'!$M$269</f>
        <v>117.90000000000002</v>
      </c>
      <c r="N12" s="159">
        <f>'[19]eng-daily-01012005-12312005'!$M$269</f>
        <v>60.800000000000011</v>
      </c>
      <c r="O12" s="159">
        <f>'[20]eng-daily-01012006-12312006'!$M$269</f>
        <v>31.599999999999998</v>
      </c>
      <c r="P12" s="159">
        <f>'[21]eng-daily-01012007-12312007'!$M$269</f>
        <v>46.6</v>
      </c>
      <c r="Q12" s="159">
        <f>'[22]eng-daily-01012008-12312008'!$M$269</f>
        <v>49.8</v>
      </c>
      <c r="R12" s="159">
        <f>'[23]eng-daily-01012009-12312009'!$M$269</f>
        <v>80.700000000000017</v>
      </c>
      <c r="S12" s="159">
        <f>'[24]eng-daily-01012010-12312010'!$M$269</f>
        <v>40.9</v>
      </c>
      <c r="T12" s="159">
        <f>'[25]eng-daily-01012011-12312011'!$M$269</f>
        <v>24.999999999999996</v>
      </c>
      <c r="U12" s="159">
        <f>'[26]eng-daily-01012012-12312012'!$M$269</f>
        <v>57.100000000000009</v>
      </c>
      <c r="V12" s="160">
        <f t="shared" si="0"/>
        <v>52.930000000000007</v>
      </c>
      <c r="W12" s="160">
        <f t="shared" si="1"/>
        <v>52.170000000000073</v>
      </c>
    </row>
    <row r="13" spans="1:27">
      <c r="A13" s="99" t="s">
        <v>88</v>
      </c>
      <c r="B13" s="159">
        <f>'[7]eng-daily-01011993-12311993'!$M$299</f>
        <v>264.69999999999993</v>
      </c>
      <c r="C13" s="159">
        <f>'[8]eng-daily-01011994-12311994'!$M$299</f>
        <v>129.90000000000003</v>
      </c>
      <c r="D13" s="159">
        <f>'[9]eng-daily-01011995-12311995'!$M$299</f>
        <v>205.19999999999993</v>
      </c>
      <c r="E13" s="159">
        <f>'[10]eng-daily-01011996-12311996'!$M$299</f>
        <v>180.2</v>
      </c>
      <c r="F13" s="159">
        <f>'[11]eng-daily-01011997-12311997'!$M$299</f>
        <v>138.70000000000002</v>
      </c>
      <c r="G13" s="159">
        <f>'[12]eng-daily-01011998-12311998'!$M$299</f>
        <v>126.80000000000001</v>
      </c>
      <c r="H13" s="159">
        <f>'[13]eng-daily-01011999-12311999'!$M$299</f>
        <v>195.4</v>
      </c>
      <c r="I13" s="159">
        <f>'[14]eng-daily-01012000-12312000'!$M$299</f>
        <v>192.79999999999995</v>
      </c>
      <c r="J13" s="159">
        <f>'[15]eng-daily-01012001-12312001'!$M$299</f>
        <v>182.59999999999997</v>
      </c>
      <c r="K13" s="159">
        <f>'[16]eng-daily-01012002-12312002'!$M$299</f>
        <v>138.6</v>
      </c>
      <c r="L13" s="159">
        <f>'[17]eng-daily-01012003-12312003'!$M$299</f>
        <v>171.3</v>
      </c>
      <c r="M13" s="159">
        <f>'[18]eng-daily-01012004-12312004'!$M$299</f>
        <v>95.300000000000011</v>
      </c>
      <c r="N13" s="159">
        <f>'[19]eng-daily-01012005-12312005'!$M$299</f>
        <v>135</v>
      </c>
      <c r="O13" s="159">
        <f>'[20]eng-daily-01012006-12312006'!$M$299</f>
        <v>179.5</v>
      </c>
      <c r="P13" s="159">
        <f>'[21]eng-daily-01012007-12312007'!$M$299</f>
        <v>162.89999999999998</v>
      </c>
      <c r="Q13" s="159">
        <f>'[22]eng-daily-01012008-12312008'!$M$299</f>
        <v>177.49999999999997</v>
      </c>
      <c r="R13" s="159">
        <f>'[23]eng-daily-01012009-12312009'!$M$299</f>
        <v>75.7</v>
      </c>
      <c r="S13" s="159">
        <f>'[24]eng-daily-01012010-12312010'!$M$299</f>
        <v>238.50000000000006</v>
      </c>
      <c r="T13" s="159">
        <f>'[25]eng-daily-01012011-12312011'!$M$299</f>
        <v>182.3</v>
      </c>
      <c r="U13" s="159">
        <f>'[26]eng-daily-01012012-12312012'!$M$299</f>
        <v>217.69999999999996</v>
      </c>
      <c r="V13" s="160">
        <f t="shared" si="0"/>
        <v>163.57</v>
      </c>
      <c r="W13" s="160">
        <f t="shared" si="1"/>
        <v>163.14015037593981</v>
      </c>
    </row>
    <row r="14" spans="1:27">
      <c r="A14" s="99" t="s">
        <v>89</v>
      </c>
      <c r="B14" s="159">
        <f>'[7]eng-daily-01011993-12311993'!$M$330</f>
        <v>458.70000000000005</v>
      </c>
      <c r="C14" s="159">
        <f>'[8]eng-daily-01011994-12311994'!$M$330</f>
        <v>307.3</v>
      </c>
      <c r="D14" s="159">
        <f>'[9]eng-daily-01011995-12311995'!$M$330</f>
        <v>403.09999999999997</v>
      </c>
      <c r="E14" s="159">
        <f>'[10]eng-daily-01011996-12311996'!$M$330</f>
        <v>393.69999999999993</v>
      </c>
      <c r="F14" s="159">
        <f>'[11]eng-daily-01011997-12311997'!$M$330</f>
        <v>376.09999999999997</v>
      </c>
      <c r="G14" s="159">
        <f>'[12]eng-daily-01011998-12311998'!$M$330</f>
        <v>341.7</v>
      </c>
      <c r="H14" s="159">
        <f>'[13]eng-daily-01011999-12311999'!$M$330</f>
        <v>401.69999999999987</v>
      </c>
      <c r="I14" s="159">
        <f>'[14]eng-daily-01012000-12312000'!$M$330</f>
        <v>346.69999999999987</v>
      </c>
      <c r="J14" s="159">
        <f>'[15]eng-daily-01012001-12312001'!$M$330</f>
        <v>419.59999999999991</v>
      </c>
      <c r="K14" s="159">
        <f>'[16]eng-daily-01012002-12312002'!$M$330</f>
        <v>522.6</v>
      </c>
      <c r="L14" s="159">
        <f>'[17]eng-daily-01012003-12312003'!$M$330</f>
        <v>364.09999999999997</v>
      </c>
      <c r="M14" s="159">
        <f>'[18]eng-daily-01012004-12312004'!$M$330</f>
        <v>340.79999999999995</v>
      </c>
      <c r="N14" s="159">
        <f>'[19]eng-daily-01012005-12312005'!$M$330</f>
        <v>354.09999999999991</v>
      </c>
      <c r="O14" s="159">
        <f>'[20]eng-daily-01012006-12312006'!$M$330</f>
        <v>458.19999999999993</v>
      </c>
      <c r="P14" s="159">
        <f>'[21]eng-daily-01012007-12312007'!$M$330</f>
        <v>320.2999999999999</v>
      </c>
      <c r="Q14" s="159">
        <f>'[22]eng-daily-01012008-12312008'!$M$330</f>
        <v>368.70000000000005</v>
      </c>
      <c r="R14" s="159">
        <f>'[23]eng-daily-01012009-12312009'!$M$330</f>
        <v>447.90000000000003</v>
      </c>
      <c r="S14" s="159">
        <f>'[24]eng-daily-01012010-12312010'!$M$330</f>
        <v>313.10000000000002</v>
      </c>
      <c r="T14" s="159">
        <f>'[25]eng-daily-01012011-12312011'!$M$330</f>
        <v>305.59999999999997</v>
      </c>
      <c r="U14" s="159">
        <f>'[26]eng-daily-01012012-12312012'!$M$330</f>
        <v>427.90000000000003</v>
      </c>
      <c r="V14" s="160">
        <f t="shared" si="0"/>
        <v>370.07</v>
      </c>
      <c r="W14" s="160">
        <f t="shared" si="1"/>
        <v>370.66052631578941</v>
      </c>
    </row>
    <row r="15" spans="1:27">
      <c r="A15" s="99" t="s">
        <v>90</v>
      </c>
      <c r="B15" s="160">
        <f>'[7]eng-daily-01011993-12311993'!$M$360</f>
        <v>699.99999999999989</v>
      </c>
      <c r="C15" s="160">
        <f>'[8]eng-daily-01011994-12311994'!$M$360</f>
        <v>561.9</v>
      </c>
      <c r="D15" s="160">
        <f>'[9]eng-daily-01011995-12311995'!$M$360</f>
        <v>838.69999999999982</v>
      </c>
      <c r="E15" s="160">
        <f>'[10]eng-daily-01011996-12311996'!$M$360</f>
        <v>776.29999999999984</v>
      </c>
      <c r="F15" s="160">
        <f>'[11]eng-daily-01011997-12311997'!$M$360</f>
        <v>690.99999999999989</v>
      </c>
      <c r="G15" s="160">
        <f>'[12]eng-daily-01011998-12311998'!$M$360</f>
        <v>620.10000000000014</v>
      </c>
      <c r="H15" s="160">
        <f>'[13]eng-daily-01011999-12311999'!$M$360</f>
        <v>520.19999999999993</v>
      </c>
      <c r="I15" s="160">
        <f>'[14]eng-daily-01012000-12312000'!$M$360</f>
        <v>597.79999999999995</v>
      </c>
      <c r="J15" s="160">
        <f>'[15]eng-daily-01012001-12312001'!$M$360</f>
        <v>478.9</v>
      </c>
      <c r="K15" s="160">
        <f>'[16]eng-daily-01012002-12312002'!$M$360</f>
        <v>692.69999999999993</v>
      </c>
      <c r="L15" s="160">
        <f>'[17]eng-daily-01012003-12312003'!$M$360</f>
        <v>680.39999999999986</v>
      </c>
      <c r="M15" s="160">
        <f>'[18]eng-daily-01012004-12312004'!$M$360</f>
        <v>538.70000000000005</v>
      </c>
      <c r="N15" s="160">
        <f>'[19]eng-daily-01012005-12312005'!$M$360</f>
        <v>604.20000000000005</v>
      </c>
      <c r="O15" s="160">
        <f>'[20]eng-daily-01012006-12312006'!$M$360</f>
        <v>600.09999999999991</v>
      </c>
      <c r="P15" s="160">
        <f>'[21]eng-daily-01012007-12312007'!$M$360</f>
        <v>569.1</v>
      </c>
      <c r="Q15" s="160">
        <f>'[22]eng-daily-01012008-12312008'!$M$360</f>
        <v>613</v>
      </c>
      <c r="R15" s="160">
        <f>'[23]eng-daily-01012009-12312009'!$M$360</f>
        <v>495.09999999999997</v>
      </c>
      <c r="S15" s="160">
        <f>'[24]eng-daily-01012010-12312010'!$M$360</f>
        <v>525.1</v>
      </c>
      <c r="T15" s="160">
        <f>'[25]eng-daily-01012011-12312011'!$M$360</f>
        <v>585.19999999999993</v>
      </c>
      <c r="U15" s="160">
        <f>'[26]eng-daily-01012012-12312012'!$M$360</f>
        <v>623.6</v>
      </c>
      <c r="V15" s="160">
        <f t="shared" si="0"/>
        <v>583.45000000000005</v>
      </c>
      <c r="W15" s="160">
        <f t="shared" si="1"/>
        <v>529.3662406015028</v>
      </c>
    </row>
    <row r="16" spans="1:27">
      <c r="A16" s="99" t="s">
        <v>92</v>
      </c>
      <c r="B16" s="159">
        <f>'[7]eng-daily-01011993-12311993'!$M$391</f>
        <v>792.89999999999986</v>
      </c>
      <c r="C16" s="159">
        <f>'[8]eng-daily-01011994-12311994'!$M$391</f>
        <v>794.29999999999973</v>
      </c>
      <c r="D16" s="159">
        <f>'[9]eng-daily-01011995-12311995'!$M$391</f>
        <v>984.19999999999959</v>
      </c>
      <c r="E16" s="159">
        <f>'[10]eng-daily-01011996-12311996'!$M$391</f>
        <v>861</v>
      </c>
      <c r="F16" s="159">
        <f>'[11]eng-daily-01011997-12311997'!$M$391</f>
        <v>706.49999999999989</v>
      </c>
      <c r="G16" s="159">
        <f>'[12]eng-daily-01011998-12311998'!$M$391</f>
        <v>794.39999999999986</v>
      </c>
      <c r="H16" s="159">
        <f>'[13]eng-daily-01011999-12311999'!$M$391</f>
        <v>688.5</v>
      </c>
      <c r="I16" s="159">
        <f>'[14]eng-daily-01012000-12312000'!$M$391</f>
        <v>1058.6999999999998</v>
      </c>
      <c r="J16" s="159">
        <f>'[15]eng-daily-01012001-12312001'!$M$391</f>
        <v>796.9</v>
      </c>
      <c r="K16" s="159">
        <f>'[16]eng-daily-01012002-12312002'!$M$391</f>
        <v>813.89999999999986</v>
      </c>
      <c r="L16" s="159">
        <f>'[17]eng-daily-01012003-12312003'!$M$391</f>
        <v>802.19999999999993</v>
      </c>
      <c r="M16" s="159">
        <f>'[18]eng-daily-01012004-12312004'!$M$391</f>
        <v>940.89999999999986</v>
      </c>
      <c r="N16" s="159">
        <f>'[19]eng-daily-01012005-12312005'!$M$391</f>
        <v>848.39999999999986</v>
      </c>
      <c r="O16" s="159">
        <f>'[20]eng-daily-01012006-12312006'!$M$391</f>
        <v>794.2</v>
      </c>
      <c r="P16" s="159">
        <f>'[21]eng-daily-01012007-12312007'!$M$391</f>
        <v>797.6</v>
      </c>
      <c r="Q16" s="159">
        <f>'[22]eng-daily-01012008-12312008'!$M$391</f>
        <v>1127.0999999999999</v>
      </c>
      <c r="R16" s="159">
        <f>'[23]eng-daily-01012009-12312009'!$M$391</f>
        <v>976.69999999999993</v>
      </c>
      <c r="S16" s="159">
        <f>'[24]eng-daily-01012010-12312010'!$M$391</f>
        <v>974.39999999999975</v>
      </c>
      <c r="T16" s="159">
        <f>'[25]eng-daily-01012011-12312011'!$M$391</f>
        <v>788.4</v>
      </c>
      <c r="U16" s="159">
        <f>'[26]eng-daily-01012012-12312012'!$M$391</f>
        <v>933.19999999999993</v>
      </c>
      <c r="V16" s="160">
        <f t="shared" si="0"/>
        <v>898.30999999999983</v>
      </c>
      <c r="W16" s="160">
        <f t="shared" si="1"/>
        <v>938.82969924811914</v>
      </c>
    </row>
    <row r="17" spans="1:23">
      <c r="A17" s="99"/>
      <c r="B17" s="159">
        <f>SUM(B5:B16)</f>
        <v>5647.4999999999982</v>
      </c>
      <c r="C17" s="159">
        <f t="shared" ref="C17:J17" si="2">SUM(C5:C16)</f>
        <v>5355.6999999999989</v>
      </c>
      <c r="D17" s="159">
        <f t="shared" si="2"/>
        <v>5856.3999999999987</v>
      </c>
      <c r="E17" s="159">
        <f t="shared" si="2"/>
        <v>6240.5999999999985</v>
      </c>
      <c r="F17" s="159">
        <f t="shared" si="2"/>
        <v>5528.8</v>
      </c>
      <c r="G17" s="159">
        <f t="shared" si="2"/>
        <v>4672.3</v>
      </c>
      <c r="H17" s="159">
        <f t="shared" si="2"/>
        <v>4894.0999999999995</v>
      </c>
      <c r="I17" s="159">
        <f t="shared" si="2"/>
        <v>5276.7000000000007</v>
      </c>
      <c r="J17" s="159">
        <f t="shared" si="2"/>
        <v>5133.2999999999993</v>
      </c>
      <c r="K17" s="159">
        <f>SUM(K5:K16)</f>
        <v>5531.4999999999991</v>
      </c>
      <c r="L17" s="159">
        <f>SUM(L5:L16)</f>
        <v>5493.5999999999995</v>
      </c>
      <c r="M17" s="159">
        <f t="shared" ref="M17:V17" si="3">SUM(M5:M16)</f>
        <v>5543</v>
      </c>
      <c r="N17" s="159">
        <f t="shared" si="3"/>
        <v>5256.2999999999993</v>
      </c>
      <c r="O17" s="159">
        <f t="shared" si="3"/>
        <v>4947.3999999999987</v>
      </c>
      <c r="P17" s="159">
        <f t="shared" si="3"/>
        <v>4718.3999999999996</v>
      </c>
      <c r="Q17" s="159">
        <f t="shared" si="3"/>
        <v>6042.4</v>
      </c>
      <c r="R17" s="159">
        <f t="shared" si="3"/>
        <v>5789.2999999999993</v>
      </c>
      <c r="S17" s="159">
        <f t="shared" si="3"/>
        <v>5048.8999999999996</v>
      </c>
      <c r="T17" s="159">
        <f t="shared" si="3"/>
        <v>5367.9</v>
      </c>
      <c r="U17" s="159">
        <f t="shared" si="3"/>
        <v>4952.6000000000004</v>
      </c>
      <c r="V17" s="160">
        <f t="shared" si="3"/>
        <v>5315.98</v>
      </c>
      <c r="W17" s="160">
        <f>SUM(W5:W16)</f>
        <v>5162.0865413533847</v>
      </c>
    </row>
    <row r="18" spans="1:23" ht="24">
      <c r="A18" s="97" t="s">
        <v>4</v>
      </c>
      <c r="B18" s="98">
        <f>B4</f>
        <v>1993</v>
      </c>
      <c r="C18" s="98">
        <f>C4</f>
        <v>1994</v>
      </c>
      <c r="D18" s="98">
        <f>D4</f>
        <v>1995</v>
      </c>
      <c r="E18" s="98">
        <f>E4</f>
        <v>1996</v>
      </c>
      <c r="F18" s="98">
        <f t="shared" ref="F18:U18" si="4">F4</f>
        <v>1997</v>
      </c>
      <c r="G18" s="98">
        <f t="shared" si="4"/>
        <v>1998</v>
      </c>
      <c r="H18" s="98">
        <f t="shared" si="4"/>
        <v>1999</v>
      </c>
      <c r="I18" s="98">
        <f t="shared" si="4"/>
        <v>2000</v>
      </c>
      <c r="J18" s="98">
        <f t="shared" si="4"/>
        <v>2001</v>
      </c>
      <c r="K18" s="98">
        <f t="shared" si="4"/>
        <v>2002</v>
      </c>
      <c r="L18" s="98">
        <f t="shared" si="4"/>
        <v>2003</v>
      </c>
      <c r="M18" s="98">
        <f t="shared" si="4"/>
        <v>2004</v>
      </c>
      <c r="N18" s="98">
        <f t="shared" si="4"/>
        <v>2005</v>
      </c>
      <c r="O18" s="98">
        <f t="shared" si="4"/>
        <v>2006</v>
      </c>
      <c r="P18" s="98">
        <f t="shared" si="4"/>
        <v>2007</v>
      </c>
      <c r="Q18" s="98">
        <f t="shared" si="4"/>
        <v>2008</v>
      </c>
      <c r="R18" s="98">
        <f t="shared" si="4"/>
        <v>2009</v>
      </c>
      <c r="S18" s="98">
        <f t="shared" si="4"/>
        <v>2010</v>
      </c>
      <c r="T18" s="98">
        <f t="shared" si="4"/>
        <v>2011</v>
      </c>
      <c r="U18" s="98">
        <f t="shared" si="4"/>
        <v>2012</v>
      </c>
    </row>
    <row r="19" spans="1:23">
      <c r="A19" s="99" t="s">
        <v>80</v>
      </c>
      <c r="B19" s="159">
        <f>'[7]eng-daily-01011993-12311993'!$O$56</f>
        <v>0</v>
      </c>
      <c r="C19" s="159">
        <f>'[8]eng-daily-01011994-12311994'!$O$56</f>
        <v>0</v>
      </c>
      <c r="D19" s="159">
        <f>'[9]eng-daily-01011995-12311995'!$O$56</f>
        <v>0</v>
      </c>
      <c r="E19" s="159">
        <f>'[10]eng-daily-01011996-12311996'!$O$56</f>
        <v>0</v>
      </c>
      <c r="F19" s="159">
        <f>'[11]eng-daily-01011997-12311997'!$O$56</f>
        <v>0</v>
      </c>
      <c r="G19" s="159">
        <f>'[12]eng-daily-01011998-12311998'!$O$56</f>
        <v>0</v>
      </c>
      <c r="H19" s="159">
        <f>'[13]eng-daily-01011999-12311999'!$O$56</f>
        <v>0</v>
      </c>
      <c r="I19" s="159">
        <f>'[14]eng-daily-01012000-12312000'!$O$56</f>
        <v>0</v>
      </c>
      <c r="J19" s="159">
        <f>'[15]eng-daily-01012001-12312001'!$O$56</f>
        <v>0</v>
      </c>
      <c r="K19" s="159">
        <f>'[16]eng-daily-01012002-12312002'!$O$56</f>
        <v>0</v>
      </c>
      <c r="L19" s="159">
        <f>'[17]eng-daily-01012003-12312003'!$O$56</f>
        <v>0</v>
      </c>
      <c r="M19" s="159">
        <f>'[18]eng-daily-01012004-12312004'!$O$56</f>
        <v>0</v>
      </c>
      <c r="N19" s="159">
        <f>'[19]eng-daily-01012005-12312005'!$O$56</f>
        <v>0</v>
      </c>
      <c r="O19" s="159">
        <f>'[20]eng-daily-01012006-12312006'!$O$56</f>
        <v>0</v>
      </c>
      <c r="P19" s="159">
        <f>'[21]eng-daily-01012007-12312007'!$O$56</f>
        <v>0</v>
      </c>
      <c r="Q19" s="159">
        <f>'[22]eng-daily-01012008-12312008'!$O$56</f>
        <v>0</v>
      </c>
      <c r="R19" s="159">
        <f>'[23]eng-daily-01012009-12312009'!$O$56</f>
        <v>0</v>
      </c>
      <c r="S19" s="159">
        <f>'[24]eng-daily-01012010-12312010'!$O$56</f>
        <v>0</v>
      </c>
      <c r="T19" s="159">
        <f>'[25]eng-daily-01012011-12312011'!$O$56</f>
        <v>0</v>
      </c>
      <c r="U19" s="159">
        <f>'[26]eng-daily-01012012-12312012'!$O$56</f>
        <v>0</v>
      </c>
      <c r="V19" s="160">
        <f>AVERAGE(L19:U19)</f>
        <v>0</v>
      </c>
      <c r="W19" s="160">
        <f>TREND(B19:U19,$B$4:$U$4,2014)</f>
        <v>0</v>
      </c>
    </row>
    <row r="20" spans="1:23">
      <c r="A20" s="99" t="s">
        <v>81</v>
      </c>
      <c r="B20" s="159">
        <f>'[7]eng-daily-01011993-12311993'!$O$85</f>
        <v>0</v>
      </c>
      <c r="C20" s="159">
        <f>'[8]eng-daily-01011994-12311994'!$O$85</f>
        <v>0</v>
      </c>
      <c r="D20" s="159">
        <f>'[9]eng-daily-01011995-12311995'!$O$85</f>
        <v>0</v>
      </c>
      <c r="E20" s="159">
        <f>'[10]eng-daily-01011996-12311996'!$O$85</f>
        <v>0</v>
      </c>
      <c r="F20" s="159">
        <f>'[11]eng-daily-01011997-12311997'!$O$85</f>
        <v>0</v>
      </c>
      <c r="G20" s="159">
        <f>'[12]eng-daily-01011998-12311998'!$O$85</f>
        <v>0</v>
      </c>
      <c r="H20" s="159">
        <f>'[13]eng-daily-01011999-12311999'!$O$85</f>
        <v>0</v>
      </c>
      <c r="I20" s="159">
        <f>'[14]eng-daily-01012000-12312000'!$O$85</f>
        <v>0</v>
      </c>
      <c r="J20" s="159">
        <f>'[15]eng-daily-01012001-12312001'!$O$85</f>
        <v>0</v>
      </c>
      <c r="K20" s="159">
        <f>'[16]eng-daily-01012002-12312002'!$O$85</f>
        <v>0</v>
      </c>
      <c r="L20" s="159">
        <f>'[17]eng-daily-01012003-12312003'!$O$85</f>
        <v>0</v>
      </c>
      <c r="M20" s="159">
        <f>'[18]eng-daily-01012004-12312004'!$O$85</f>
        <v>0</v>
      </c>
      <c r="N20" s="159">
        <f>'[19]eng-daily-01012005-12312005'!$O$85</f>
        <v>0</v>
      </c>
      <c r="O20" s="159">
        <f>'[20]eng-daily-01012006-12312006'!$O$85</f>
        <v>0</v>
      </c>
      <c r="P20" s="159">
        <f>'[21]eng-daily-01012007-12312007'!$O$85</f>
        <v>0</v>
      </c>
      <c r="Q20" s="159">
        <f>'[22]eng-daily-01012008-12312008'!$O$85</f>
        <v>0</v>
      </c>
      <c r="R20" s="159">
        <f>'[23]eng-daily-01012009-12312009'!$O$85</f>
        <v>0</v>
      </c>
      <c r="S20" s="159">
        <f>'[24]eng-daily-01012010-12312010'!$O$85</f>
        <v>0</v>
      </c>
      <c r="T20" s="159">
        <f>'[25]eng-daily-01012011-12312011'!$O$85</f>
        <v>0</v>
      </c>
      <c r="U20" s="159">
        <f>'[26]eng-daily-01012012-12312012'!$O$85</f>
        <v>0</v>
      </c>
      <c r="V20" s="160">
        <f t="shared" ref="V20:V30" si="5">AVERAGE(L20:U20)</f>
        <v>0</v>
      </c>
      <c r="W20" s="160">
        <f t="shared" ref="W20:W30" si="6">TREND(B20:U20,$B$4:$U$4,2014)</f>
        <v>0</v>
      </c>
    </row>
    <row r="21" spans="1:23">
      <c r="A21" s="99" t="s">
        <v>82</v>
      </c>
      <c r="B21" s="159">
        <f>'[7]eng-daily-01011993-12311993'!$O$116</f>
        <v>0</v>
      </c>
      <c r="C21" s="159">
        <f>'[8]eng-daily-01011994-12311994'!$O$116</f>
        <v>0</v>
      </c>
      <c r="D21" s="159">
        <f>'[9]eng-daily-01011995-12311995'!$O$116</f>
        <v>0</v>
      </c>
      <c r="E21" s="159">
        <f>'[10]eng-daily-01011996-12311996'!$O$116</f>
        <v>0</v>
      </c>
      <c r="F21" s="159">
        <f>'[11]eng-daily-01011997-12311997'!$O$116</f>
        <v>0</v>
      </c>
      <c r="G21" s="159">
        <f>'[12]eng-daily-01011998-12311998'!$O$116</f>
        <v>0</v>
      </c>
      <c r="H21" s="159">
        <f>'[13]eng-daily-01011999-12311999'!$O$116</f>
        <v>0</v>
      </c>
      <c r="I21" s="159">
        <f>'[14]eng-daily-01012000-12312000'!$O$116</f>
        <v>0</v>
      </c>
      <c r="J21" s="159">
        <f>'[15]eng-daily-01012001-12312001'!$O$116</f>
        <v>0</v>
      </c>
      <c r="K21" s="159">
        <f>'[16]eng-daily-01012002-12312002'!$O$116</f>
        <v>0</v>
      </c>
      <c r="L21" s="159">
        <f>'[17]eng-daily-01012003-12312003'!$O$116</f>
        <v>0</v>
      </c>
      <c r="M21" s="159">
        <f>'[18]eng-daily-01012004-12312004'!$O$116</f>
        <v>0</v>
      </c>
      <c r="N21" s="159">
        <f>'[19]eng-daily-01012005-12312005'!$O$116</f>
        <v>0</v>
      </c>
      <c r="O21" s="159">
        <f>'[20]eng-daily-01012006-12312006'!$O$116</f>
        <v>0</v>
      </c>
      <c r="P21" s="159">
        <f>'[21]eng-daily-01012007-12312007'!$O$116</f>
        <v>0</v>
      </c>
      <c r="Q21" s="159">
        <f>'[22]eng-daily-01012008-12312008'!$O$116</f>
        <v>0</v>
      </c>
      <c r="R21" s="159">
        <f>'[23]eng-daily-01012009-12312009'!$O$116</f>
        <v>0</v>
      </c>
      <c r="S21" s="159">
        <f>'[24]eng-daily-01012010-12312010'!$O$116</f>
        <v>0</v>
      </c>
      <c r="T21" s="159">
        <f>'[25]eng-daily-01012011-12312011'!$O$116</f>
        <v>0</v>
      </c>
      <c r="U21" s="159">
        <f>'[26]eng-daily-01012012-12312012'!$O$116</f>
        <v>2.6</v>
      </c>
      <c r="V21" s="160">
        <f t="shared" si="5"/>
        <v>0.26</v>
      </c>
      <c r="W21" s="160">
        <f t="shared" si="6"/>
        <v>0.55714285714284983</v>
      </c>
    </row>
    <row r="22" spans="1:23">
      <c r="A22" s="99" t="s">
        <v>83</v>
      </c>
      <c r="B22" s="159">
        <f>'[7]eng-daily-01011993-12311993'!$O$146</f>
        <v>0</v>
      </c>
      <c r="C22" s="159">
        <f>'[8]eng-daily-01011994-12311994'!$O$146</f>
        <v>0</v>
      </c>
      <c r="D22" s="159">
        <f>'[9]eng-daily-01011995-12311995'!$O$146</f>
        <v>0</v>
      </c>
      <c r="E22" s="159">
        <f>'[10]eng-daily-01011996-12311996'!$O$146</f>
        <v>0</v>
      </c>
      <c r="F22" s="159">
        <f>'[11]eng-daily-01011997-12311997'!$O$146</f>
        <v>0</v>
      </c>
      <c r="G22" s="159">
        <f>'[12]eng-daily-01011998-12311998'!$O$146</f>
        <v>0</v>
      </c>
      <c r="H22" s="159">
        <f>'[13]eng-daily-01011999-12311999'!$O$146</f>
        <v>0</v>
      </c>
      <c r="I22" s="159">
        <f>'[14]eng-daily-01012000-12312000'!$O$146</f>
        <v>0</v>
      </c>
      <c r="J22" s="159">
        <f>'[15]eng-daily-01012001-12312001'!$O$146</f>
        <v>2.2999999999999998</v>
      </c>
      <c r="K22" s="159">
        <f>'[16]eng-daily-01012002-12312002'!$O$146</f>
        <v>0</v>
      </c>
      <c r="L22" s="159">
        <f>'[17]eng-daily-01012003-12312003'!$O$146</f>
        <v>0</v>
      </c>
      <c r="M22" s="159">
        <f>'[18]eng-daily-01012004-12312004'!$O$146</f>
        <v>0</v>
      </c>
      <c r="N22" s="159">
        <f>'[19]eng-daily-01012005-12312005'!$O$146</f>
        <v>0.5</v>
      </c>
      <c r="O22" s="159">
        <f>'[20]eng-daily-01012006-12312006'!$O$146</f>
        <v>0</v>
      </c>
      <c r="P22" s="159">
        <f>'[21]eng-daily-01012007-12312007'!$O$146</f>
        <v>0</v>
      </c>
      <c r="Q22" s="159">
        <f>'[22]eng-daily-01012008-12312008'!$O$146</f>
        <v>0</v>
      </c>
      <c r="R22" s="159">
        <f>'[23]eng-daily-01012009-12312009'!$O$146</f>
        <v>0</v>
      </c>
      <c r="S22" s="159">
        <f>'[24]eng-daily-01012010-12312010'!$O$146</f>
        <v>0</v>
      </c>
      <c r="T22" s="159">
        <f>'[25]eng-daily-01012011-12312011'!$O$146</f>
        <v>0</v>
      </c>
      <c r="U22" s="159">
        <f>'[26]eng-daily-01012012-12312012'!$O$146</f>
        <v>0</v>
      </c>
      <c r="V22" s="160">
        <f t="shared" si="5"/>
        <v>0.05</v>
      </c>
      <c r="W22" s="160">
        <f t="shared" si="6"/>
        <v>0.10195488721804491</v>
      </c>
    </row>
    <row r="23" spans="1:23">
      <c r="A23" s="99" t="s">
        <v>84</v>
      </c>
      <c r="B23" s="159">
        <f>'[7]eng-daily-01011993-12311993'!$O$177</f>
        <v>1.6</v>
      </c>
      <c r="C23" s="159">
        <f>'[8]eng-daily-01011994-12311994'!$O$177</f>
        <v>9.1</v>
      </c>
      <c r="D23" s="159">
        <f>'[9]eng-daily-01011995-12311995'!$O$177</f>
        <v>2.8</v>
      </c>
      <c r="E23" s="159">
        <f>'[10]eng-daily-01011996-12311996'!$O$177</f>
        <v>0</v>
      </c>
      <c r="F23" s="159">
        <f>'[11]eng-daily-01011997-12311997'!$O$177</f>
        <v>0</v>
      </c>
      <c r="G23" s="159">
        <f>'[12]eng-daily-01011998-12311998'!$O$177</f>
        <v>10.6</v>
      </c>
      <c r="H23" s="159">
        <f>'[13]eng-daily-01011999-12311999'!$O$177</f>
        <v>4.0999999999999996</v>
      </c>
      <c r="I23" s="159">
        <f>'[14]eng-daily-01012000-12312000'!$O$177</f>
        <v>7.4</v>
      </c>
      <c r="J23" s="159">
        <f>'[15]eng-daily-01012001-12312001'!$O$177</f>
        <v>0</v>
      </c>
      <c r="K23" s="159">
        <f>'[16]eng-daily-01012002-12312002'!$O$177</f>
        <v>3</v>
      </c>
      <c r="L23" s="159">
        <f>'[17]eng-daily-01012003-12312003'!$O$177</f>
        <v>0</v>
      </c>
      <c r="M23" s="159">
        <f>'[18]eng-daily-01012004-12312004'!$O$177</f>
        <v>0</v>
      </c>
      <c r="N23" s="159">
        <f>'[19]eng-daily-01012005-12312005'!$O$177</f>
        <v>0</v>
      </c>
      <c r="O23" s="159">
        <f>'[20]eng-daily-01012006-12312006'!$O$177</f>
        <v>21.2</v>
      </c>
      <c r="P23" s="159">
        <f>'[21]eng-daily-01012007-12312007'!$O$177</f>
        <v>9.1</v>
      </c>
      <c r="Q23" s="159">
        <f>'[22]eng-daily-01012008-12312008'!$O$177</f>
        <v>0</v>
      </c>
      <c r="R23" s="159">
        <f>'[23]eng-daily-01012009-12312009'!$O$177</f>
        <v>0</v>
      </c>
      <c r="S23" s="159">
        <f>'[24]eng-daily-01012010-12312010'!$O$177</f>
        <v>10.7</v>
      </c>
      <c r="T23" s="159">
        <f>'[25]eng-daily-01012011-12312011'!$O$177</f>
        <v>0.2</v>
      </c>
      <c r="U23" s="159">
        <f>'[26]eng-daily-01012012-12312012'!$O$177</f>
        <v>4.5999999999999996</v>
      </c>
      <c r="V23" s="160">
        <f t="shared" si="5"/>
        <v>4.58</v>
      </c>
      <c r="W23" s="160">
        <f t="shared" si="6"/>
        <v>5.0016541353383275</v>
      </c>
    </row>
    <row r="24" spans="1:23">
      <c r="A24" s="99" t="s">
        <v>85</v>
      </c>
      <c r="B24" s="159">
        <f>'[7]eng-daily-01011993-12311993'!$O$207</f>
        <v>17.7</v>
      </c>
      <c r="C24" s="159">
        <f>'[8]eng-daily-01011994-12311994'!$O$207</f>
        <v>26.100000000000005</v>
      </c>
      <c r="D24" s="159">
        <f>'[9]eng-daily-01011995-12311995'!$O$207</f>
        <v>90.699999999999989</v>
      </c>
      <c r="E24" s="159">
        <f>'[10]eng-daily-01011996-12311996'!$O$207</f>
        <v>38.1</v>
      </c>
      <c r="F24" s="159">
        <f>'[11]eng-daily-01011997-12311997'!$O$207</f>
        <v>24.500000000000004</v>
      </c>
      <c r="G24" s="159">
        <f>'[12]eng-daily-01011998-12311998'!$O$207</f>
        <v>15.600000000000001</v>
      </c>
      <c r="H24" s="159">
        <f>'[13]eng-daily-01011999-12311999'!$O$207</f>
        <v>29.6</v>
      </c>
      <c r="I24" s="159">
        <f>'[14]eng-daily-01012000-12312000'!$O$207</f>
        <v>3.1</v>
      </c>
      <c r="J24" s="159">
        <f>'[15]eng-daily-01012001-12312001'!$O$207</f>
        <v>46.699999999999996</v>
      </c>
      <c r="K24" s="159">
        <f>'[16]eng-daily-01012002-12312002'!$O$207</f>
        <v>48.3</v>
      </c>
      <c r="L24" s="159">
        <f>'[17]eng-daily-01012003-12312003'!$O$207</f>
        <v>27.3</v>
      </c>
      <c r="M24" s="159">
        <f>'[18]eng-daily-01012004-12312004'!$O$207</f>
        <v>5.6</v>
      </c>
      <c r="N24" s="159">
        <f>'[19]eng-daily-01012005-12312005'!$O$207</f>
        <v>40.799999999999997</v>
      </c>
      <c r="O24" s="159">
        <f>'[20]eng-daily-01012006-12312006'!$O$207</f>
        <v>18.5</v>
      </c>
      <c r="P24" s="159">
        <f>'[21]eng-daily-01012007-12312007'!$O$207</f>
        <v>50.2</v>
      </c>
      <c r="Q24" s="159">
        <f>'[22]eng-daily-01012008-12312008'!$O$207</f>
        <v>8.1999999999999993</v>
      </c>
      <c r="R24" s="159">
        <f>'[23]eng-daily-01012009-12312009'!$O$207</f>
        <v>19.899999999999999</v>
      </c>
      <c r="S24" s="159">
        <f>'[24]eng-daily-01012010-12312010'!$O$207</f>
        <v>7.5</v>
      </c>
      <c r="T24" s="159">
        <f>'[25]eng-daily-01012011-12312011'!$O$207</f>
        <v>14.999999999999998</v>
      </c>
      <c r="U24" s="159">
        <f>'[26]eng-daily-01012012-12312012'!$O$207</f>
        <v>29.1</v>
      </c>
      <c r="V24" s="160">
        <f t="shared" si="5"/>
        <v>22.209999999999997</v>
      </c>
      <c r="W24" s="160">
        <f t="shared" si="6"/>
        <v>16.38203007518814</v>
      </c>
    </row>
    <row r="25" spans="1:23">
      <c r="A25" s="99" t="s">
        <v>86</v>
      </c>
      <c r="B25" s="159">
        <f>'[7]eng-daily-01011993-12311993'!$O$238</f>
        <v>28.6</v>
      </c>
      <c r="C25" s="159">
        <f>'[8]eng-daily-01011994-12311994'!$O$238</f>
        <v>29.3</v>
      </c>
      <c r="D25" s="159">
        <f>'[9]eng-daily-01011995-12311995'!$O$238</f>
        <v>42.5</v>
      </c>
      <c r="E25" s="159">
        <f>'[10]eng-daily-01011996-12311996'!$O$238</f>
        <v>23.500000000000004</v>
      </c>
      <c r="F25" s="159">
        <f>'[11]eng-daily-01011997-12311997'!$O$238</f>
        <v>63.199999999999989</v>
      </c>
      <c r="G25" s="159">
        <f>'[12]eng-daily-01011998-12311998'!$O$238</f>
        <v>44.899999999999991</v>
      </c>
      <c r="H25" s="159">
        <f>'[13]eng-daily-01011999-12311999'!$O$238</f>
        <v>83.499999999999986</v>
      </c>
      <c r="I25" s="159">
        <f>'[14]eng-daily-01012000-12312000'!$O$238</f>
        <v>61.599999999999987</v>
      </c>
      <c r="J25" s="159">
        <f>'[15]eng-daily-01012001-12312001'!$O$238</f>
        <v>60.79999999999999</v>
      </c>
      <c r="K25" s="159">
        <f>'[16]eng-daily-01012002-12312002'!$O$238</f>
        <v>90.699999999999989</v>
      </c>
      <c r="L25" s="159">
        <f>'[17]eng-daily-01012003-12312003'!$O$238</f>
        <v>44.699999999999996</v>
      </c>
      <c r="M25" s="159">
        <f>'[18]eng-daily-01012004-12312004'!$O$238</f>
        <v>43.5</v>
      </c>
      <c r="N25" s="159">
        <f>'[19]eng-daily-01012005-12312005'!$O$238</f>
        <v>89.499999999999986</v>
      </c>
      <c r="O25" s="159">
        <f>'[20]eng-daily-01012006-12312006'!$O$238</f>
        <v>87.499999999999986</v>
      </c>
      <c r="P25" s="159">
        <f>'[21]eng-daily-01012007-12312007'!$O$238</f>
        <v>68.5</v>
      </c>
      <c r="Q25" s="159">
        <f>'[22]eng-daily-01012008-12312008'!$O$238</f>
        <v>19.099999999999998</v>
      </c>
      <c r="R25" s="159">
        <f>'[23]eng-daily-01012009-12312009'!$O$238</f>
        <v>0.8</v>
      </c>
      <c r="S25" s="159">
        <f>'[24]eng-daily-01012010-12312010'!$O$238</f>
        <v>62.6</v>
      </c>
      <c r="T25" s="159">
        <f>'[25]eng-daily-01012011-12312011'!$O$238</f>
        <v>84.1</v>
      </c>
      <c r="U25" s="159">
        <f>'[26]eng-daily-01012012-12312012'!$O$238</f>
        <v>95.500000000000028</v>
      </c>
      <c r="V25" s="160">
        <f t="shared" si="5"/>
        <v>59.580000000000005</v>
      </c>
      <c r="W25" s="160">
        <f t="shared" si="6"/>
        <v>73.565112781954667</v>
      </c>
    </row>
    <row r="26" spans="1:23">
      <c r="A26" s="99" t="s">
        <v>87</v>
      </c>
      <c r="B26" s="159">
        <f>'[7]eng-daily-01011993-12311993'!$O$269</f>
        <v>47.599999999999994</v>
      </c>
      <c r="C26" s="159">
        <f>'[8]eng-daily-01011994-12311994'!$O$269</f>
        <v>20.7</v>
      </c>
      <c r="D26" s="159">
        <f>'[9]eng-daily-01011995-12311995'!$O$269</f>
        <v>55</v>
      </c>
      <c r="E26" s="159">
        <f>'[10]eng-daily-01011996-12311996'!$O$269</f>
        <v>42</v>
      </c>
      <c r="F26" s="159">
        <f>'[11]eng-daily-01011997-12311997'!$O$269</f>
        <v>36.5</v>
      </c>
      <c r="G26" s="159">
        <f>'[12]eng-daily-01011998-12311998'!$O$269</f>
        <v>59.699999999999989</v>
      </c>
      <c r="H26" s="159">
        <f>'[13]eng-daily-01011999-12311999'!$O$269</f>
        <v>22.6</v>
      </c>
      <c r="I26" s="159">
        <f>'[14]eng-daily-01012000-12312000'!$O$269</f>
        <v>33.299999999999997</v>
      </c>
      <c r="J26" s="159">
        <f>'[15]eng-daily-01012001-12312001'!$O$269</f>
        <v>63.3</v>
      </c>
      <c r="K26" s="159">
        <f>'[16]eng-daily-01012002-12312002'!$O$269</f>
        <v>36.200000000000003</v>
      </c>
      <c r="L26" s="159">
        <f>'[17]eng-daily-01012003-12312003'!$O$269</f>
        <v>89.499999999999986</v>
      </c>
      <c r="M26" s="159">
        <f>'[18]eng-daily-01012004-12312004'!$O$269</f>
        <v>4.8999999999999995</v>
      </c>
      <c r="N26" s="159">
        <f>'[19]eng-daily-01012005-12312005'!$O$269</f>
        <v>38.799999999999997</v>
      </c>
      <c r="O26" s="159">
        <f>'[20]eng-daily-01012006-12312006'!$O$269</f>
        <v>23.200000000000003</v>
      </c>
      <c r="P26" s="159">
        <f>'[21]eng-daily-01012007-12312007'!$O$269</f>
        <v>25.6</v>
      </c>
      <c r="Q26" s="159">
        <f>'[22]eng-daily-01012008-12312008'!$O$269</f>
        <v>26.4</v>
      </c>
      <c r="R26" s="159">
        <f>'[23]eng-daily-01012009-12312009'!$O$269</f>
        <v>24.5</v>
      </c>
      <c r="S26" s="159">
        <f>'[24]eng-daily-01012010-12312010'!$O$269</f>
        <v>78.600000000000009</v>
      </c>
      <c r="T26" s="159">
        <f>'[25]eng-daily-01012011-12312011'!$O$269</f>
        <v>37.299999999999997</v>
      </c>
      <c r="U26" s="159">
        <f>'[26]eng-daily-01012012-12312012'!$O$269</f>
        <v>25.899999999999995</v>
      </c>
      <c r="V26" s="160">
        <f t="shared" si="5"/>
        <v>37.47</v>
      </c>
      <c r="W26" s="160">
        <f t="shared" si="6"/>
        <v>35.154661654135339</v>
      </c>
    </row>
    <row r="27" spans="1:23">
      <c r="A27" s="99" t="s">
        <v>88</v>
      </c>
      <c r="B27" s="159">
        <f>'[7]eng-daily-01011993-12311993'!$O$299</f>
        <v>0</v>
      </c>
      <c r="C27" s="159">
        <f>'[8]eng-daily-01011994-12311994'!$O$299</f>
        <v>3.8</v>
      </c>
      <c r="D27" s="159">
        <f>'[9]eng-daily-01011995-12311995'!$O$299</f>
        <v>1.8</v>
      </c>
      <c r="E27" s="159">
        <f>'[10]eng-daily-01011996-12311996'!$O$299</f>
        <v>16.900000000000002</v>
      </c>
      <c r="F27" s="159">
        <f>'[11]eng-daily-01011997-12311997'!$O$299</f>
        <v>7.3999999999999995</v>
      </c>
      <c r="G27" s="159">
        <f>'[12]eng-daily-01011998-12311998'!$O$299</f>
        <v>14.3</v>
      </c>
      <c r="H27" s="159">
        <f>'[13]eng-daily-01011999-12311999'!$O$299</f>
        <v>2.6</v>
      </c>
      <c r="I27" s="159">
        <f>'[14]eng-daily-01012000-12312000'!$O$299</f>
        <v>2.8</v>
      </c>
      <c r="J27" s="159">
        <f>'[15]eng-daily-01012001-12312001'!$O$299</f>
        <v>14.600000000000001</v>
      </c>
      <c r="K27" s="159">
        <f>'[16]eng-daily-01012002-12312002'!$O$299</f>
        <v>30</v>
      </c>
      <c r="L27" s="159">
        <f>'[17]eng-daily-01012003-12312003'!$O$299</f>
        <v>16.5</v>
      </c>
      <c r="M27" s="159">
        <f>'[18]eng-daily-01012004-12312004'!$O$299</f>
        <v>24.400000000000002</v>
      </c>
      <c r="N27" s="159">
        <f>'[19]eng-daily-01012005-12312005'!$O$299</f>
        <v>19.900000000000002</v>
      </c>
      <c r="O27" s="159">
        <f>'[20]eng-daily-01012006-12312006'!$O$299</f>
        <v>9.3999999999999986</v>
      </c>
      <c r="P27" s="159">
        <f>'[21]eng-daily-01012007-12312007'!$O$299</f>
        <v>13.899999999999999</v>
      </c>
      <c r="Q27" s="159">
        <f>'[22]eng-daily-01012008-12312008'!$O$299</f>
        <v>7.8999999999999995</v>
      </c>
      <c r="R27" s="159">
        <f>'[23]eng-daily-01012009-12312009'!$O$299</f>
        <v>13.5</v>
      </c>
      <c r="S27" s="159">
        <f>'[24]eng-daily-01012010-12312010'!$O$299</f>
        <v>0</v>
      </c>
      <c r="T27" s="159">
        <f>'[25]eng-daily-01012011-12312011'!$O$299</f>
        <v>9</v>
      </c>
      <c r="U27" s="159">
        <f>'[26]eng-daily-01012012-12312012'!$O$299</f>
        <v>4.0999999999999996</v>
      </c>
      <c r="V27" s="160">
        <f t="shared" si="5"/>
        <v>11.860000000000003</v>
      </c>
      <c r="W27" s="160">
        <f t="shared" si="6"/>
        <v>12.767067669172889</v>
      </c>
    </row>
    <row r="28" spans="1:23">
      <c r="A28" s="99" t="s">
        <v>89</v>
      </c>
      <c r="B28" s="159">
        <f>'[7]eng-daily-01011993-12311993'!$O$330</f>
        <v>0</v>
      </c>
      <c r="C28" s="159">
        <f>'[8]eng-daily-01011994-12311994'!$O$330</f>
        <v>0</v>
      </c>
      <c r="D28" s="159">
        <f>'[9]eng-daily-01011995-12311995'!$O$330</f>
        <v>0</v>
      </c>
      <c r="E28" s="159">
        <f>'[10]eng-daily-01011996-12311996'!$O$330</f>
        <v>0</v>
      </c>
      <c r="F28" s="159">
        <f>'[11]eng-daily-01011997-12311997'!$O$330</f>
        <v>1.8</v>
      </c>
      <c r="G28" s="159">
        <f>'[12]eng-daily-01011998-12311998'!$O$330</f>
        <v>0</v>
      </c>
      <c r="H28" s="159">
        <f>'[13]eng-daily-01011999-12311999'!$O$330</f>
        <v>0</v>
      </c>
      <c r="I28" s="159">
        <f>'[14]eng-daily-01012000-12312000'!$O$330</f>
        <v>0</v>
      </c>
      <c r="J28" s="159">
        <f>'[15]eng-daily-01012001-12312001'!$O$330</f>
        <v>0</v>
      </c>
      <c r="K28" s="159">
        <f>'[16]eng-daily-01012002-12312002'!$O$330</f>
        <v>0</v>
      </c>
      <c r="L28" s="159">
        <f>'[17]eng-daily-01012003-12312003'!$O$330</f>
        <v>2.8</v>
      </c>
      <c r="M28" s="159">
        <f>'[18]eng-daily-01012004-12312004'!$O$330</f>
        <v>0</v>
      </c>
      <c r="N28" s="159">
        <f>'[19]eng-daily-01012005-12312005'!$O$330</f>
        <v>2</v>
      </c>
      <c r="O28" s="159">
        <f>'[20]eng-daily-01012006-12312006'!$O$330</f>
        <v>0</v>
      </c>
      <c r="P28" s="159">
        <f>'[21]eng-daily-01012007-12312007'!$O$330</f>
        <v>0</v>
      </c>
      <c r="Q28" s="159">
        <f>'[22]eng-daily-01012008-12312008'!$O$330</f>
        <v>0</v>
      </c>
      <c r="R28" s="159">
        <f>'[23]eng-daily-01012009-12312009'!$O$330</f>
        <v>0</v>
      </c>
      <c r="S28" s="159">
        <f>'[24]eng-daily-01012010-12312010'!$O$330</f>
        <v>0</v>
      </c>
      <c r="T28" s="159">
        <f>'[25]eng-daily-01012011-12312011'!$O$330</f>
        <v>6.4</v>
      </c>
      <c r="U28" s="159">
        <f>'[26]eng-daily-01012012-12312012'!$O$330</f>
        <v>0</v>
      </c>
      <c r="V28" s="160">
        <f t="shared" si="5"/>
        <v>1.1199999999999999</v>
      </c>
      <c r="W28" s="160">
        <f t="shared" si="6"/>
        <v>1.530225563909795</v>
      </c>
    </row>
    <row r="29" spans="1:23">
      <c r="A29" s="99" t="s">
        <v>90</v>
      </c>
      <c r="B29" s="160">
        <f>'[7]eng-daily-01011993-12311993'!$O$360</f>
        <v>0</v>
      </c>
      <c r="C29" s="160">
        <f>'[8]eng-daily-01011994-12311994'!$O$360</f>
        <v>0</v>
      </c>
      <c r="D29" s="160">
        <f>'[9]eng-daily-01011995-12311995'!$O$360</f>
        <v>0</v>
      </c>
      <c r="E29" s="160">
        <f>'[10]eng-daily-01011996-12311996'!$O$360</f>
        <v>0</v>
      </c>
      <c r="F29" s="160">
        <f>'[11]eng-daily-01011997-12311997'!$O$360</f>
        <v>0</v>
      </c>
      <c r="G29" s="160">
        <f>'[12]eng-daily-01011998-12311998'!$O$360</f>
        <v>0</v>
      </c>
      <c r="H29" s="160">
        <f>'[13]eng-daily-01011999-12311999'!$O$360</f>
        <v>0</v>
      </c>
      <c r="I29" s="160">
        <f>'[14]eng-daily-01012000-12312000'!$O$360</f>
        <v>0</v>
      </c>
      <c r="J29" s="160">
        <f>'[15]eng-daily-01012001-12312001'!$O$360</f>
        <v>0</v>
      </c>
      <c r="K29" s="160">
        <f>'[16]eng-daily-01012002-12312002'!$O$360</f>
        <v>0</v>
      </c>
      <c r="L29" s="160">
        <f>'[17]eng-daily-01012003-12312003'!$O$360</f>
        <v>0</v>
      </c>
      <c r="M29" s="160">
        <f>'[18]eng-daily-01012004-12312004'!$O$360</f>
        <v>0</v>
      </c>
      <c r="N29" s="160">
        <f>'[19]eng-daily-01012005-12312005'!$O$360</f>
        <v>0</v>
      </c>
      <c r="O29" s="160">
        <f>'[20]eng-daily-01012006-12312006'!$O$360</f>
        <v>0</v>
      </c>
      <c r="P29" s="160">
        <f>'[21]eng-daily-01012007-12312007'!$O$360</f>
        <v>0</v>
      </c>
      <c r="Q29" s="160">
        <f>'[22]eng-daily-01012008-12312008'!$O$360</f>
        <v>0</v>
      </c>
      <c r="R29" s="160">
        <f>'[23]eng-daily-01012009-12312009'!$O$360</f>
        <v>0</v>
      </c>
      <c r="S29" s="160">
        <f>'[24]eng-daily-01012010-12312010'!$O$360</f>
        <v>0</v>
      </c>
      <c r="T29" s="160">
        <f>'[25]eng-daily-01012011-12312011'!$O$360</f>
        <v>0</v>
      </c>
      <c r="U29" s="160">
        <f>'[26]eng-daily-01012012-12312012'!$O$360</f>
        <v>0</v>
      </c>
      <c r="V29" s="160">
        <f t="shared" si="5"/>
        <v>0</v>
      </c>
      <c r="W29" s="160">
        <f t="shared" si="6"/>
        <v>0</v>
      </c>
    </row>
    <row r="30" spans="1:23">
      <c r="A30" s="99" t="s">
        <v>92</v>
      </c>
      <c r="B30" s="159">
        <f>'[7]eng-daily-01011993-12311993'!$O$391</f>
        <v>0</v>
      </c>
      <c r="C30" s="159">
        <f>'[8]eng-daily-01011994-12311994'!$O$391</f>
        <v>0</v>
      </c>
      <c r="D30" s="159">
        <f>'[9]eng-daily-01011995-12311995'!$O$391</f>
        <v>0</v>
      </c>
      <c r="E30" s="159">
        <f>'[10]eng-daily-01011996-12311996'!$O$391</f>
        <v>0</v>
      </c>
      <c r="F30" s="159">
        <f>'[11]eng-daily-01011997-12311997'!$O$391</f>
        <v>0</v>
      </c>
      <c r="G30" s="159">
        <f>'[12]eng-daily-01011998-12311998'!$O$391</f>
        <v>0</v>
      </c>
      <c r="H30" s="159">
        <f>'[13]eng-daily-01011999-12311999'!$O$391</f>
        <v>0</v>
      </c>
      <c r="I30" s="159">
        <f>'[14]eng-daily-01012000-12312000'!$O$391</f>
        <v>0</v>
      </c>
      <c r="J30" s="159">
        <f>'[15]eng-daily-01012001-12312001'!$O$391</f>
        <v>0</v>
      </c>
      <c r="K30" s="159">
        <f>'[16]eng-daily-01012002-12312002'!$O$391</f>
        <v>0</v>
      </c>
      <c r="L30" s="159">
        <f>'[17]eng-daily-01012003-12312003'!$O$391</f>
        <v>0</v>
      </c>
      <c r="M30" s="159">
        <f>'[18]eng-daily-01012004-12312004'!$O$391</f>
        <v>0</v>
      </c>
      <c r="N30" s="159">
        <f>'[19]eng-daily-01012005-12312005'!$O$391</f>
        <v>0</v>
      </c>
      <c r="O30" s="159">
        <f>'[20]eng-daily-01012006-12312006'!$O$391</f>
        <v>0</v>
      </c>
      <c r="P30" s="159">
        <f>'[21]eng-daily-01012007-12312007'!$O$391</f>
        <v>0</v>
      </c>
      <c r="Q30" s="159">
        <f>'[22]eng-daily-01012008-12312008'!$O$391</f>
        <v>0</v>
      </c>
      <c r="R30" s="159">
        <f>'[23]eng-daily-01012009-12312009'!$O$391</f>
        <v>0</v>
      </c>
      <c r="S30" s="159">
        <f>'[24]eng-daily-01012010-12312010'!$O$391</f>
        <v>0</v>
      </c>
      <c r="T30" s="159">
        <f>'[25]eng-daily-01012011-12312011'!$O$391</f>
        <v>0</v>
      </c>
      <c r="U30" s="159">
        <f>'[26]eng-daily-01012012-12312012'!$O$391</f>
        <v>0</v>
      </c>
      <c r="V30" s="160">
        <f t="shared" si="5"/>
        <v>0</v>
      </c>
      <c r="W30" s="160">
        <f t="shared" si="6"/>
        <v>0</v>
      </c>
    </row>
    <row r="31" spans="1:23">
      <c r="A31" s="99"/>
      <c r="B31" s="159">
        <f>SUM(B19:B30)</f>
        <v>95.5</v>
      </c>
      <c r="C31" s="159">
        <f t="shared" ref="C31:J31" si="7">SUM(C19:C30)</f>
        <v>89</v>
      </c>
      <c r="D31" s="159">
        <f t="shared" si="7"/>
        <v>192.8</v>
      </c>
      <c r="E31" s="159">
        <f t="shared" si="7"/>
        <v>120.50000000000001</v>
      </c>
      <c r="F31" s="159">
        <f t="shared" si="7"/>
        <v>133.4</v>
      </c>
      <c r="G31" s="159">
        <f t="shared" si="7"/>
        <v>145.1</v>
      </c>
      <c r="H31" s="159">
        <f t="shared" si="7"/>
        <v>142.39999999999998</v>
      </c>
      <c r="I31" s="159">
        <f t="shared" si="7"/>
        <v>108.19999999999999</v>
      </c>
      <c r="J31" s="159">
        <f t="shared" si="7"/>
        <v>187.69999999999996</v>
      </c>
      <c r="K31" s="159">
        <f>SUM(K19:K30)</f>
        <v>208.2</v>
      </c>
      <c r="L31" s="159">
        <f>SUM(L19:L30)</f>
        <v>180.8</v>
      </c>
      <c r="M31" s="159">
        <f t="shared" ref="M31:U31" si="8">SUM(M19:M30)</f>
        <v>78.400000000000006</v>
      </c>
      <c r="N31" s="159">
        <f t="shared" si="8"/>
        <v>191.49999999999997</v>
      </c>
      <c r="O31" s="159">
        <f t="shared" si="8"/>
        <v>159.79999999999998</v>
      </c>
      <c r="P31" s="159">
        <f t="shared" si="8"/>
        <v>167.3</v>
      </c>
      <c r="Q31" s="159">
        <f t="shared" si="8"/>
        <v>61.599999999999994</v>
      </c>
      <c r="R31" s="159">
        <f t="shared" si="8"/>
        <v>58.7</v>
      </c>
      <c r="S31" s="159">
        <f t="shared" si="8"/>
        <v>159.4</v>
      </c>
      <c r="T31" s="159">
        <f t="shared" si="8"/>
        <v>152</v>
      </c>
      <c r="U31" s="159">
        <f t="shared" si="8"/>
        <v>161.80000000000001</v>
      </c>
      <c r="V31" s="160">
        <f>SUM(V19:V30)</f>
        <v>137.13000000000002</v>
      </c>
      <c r="W31" s="160">
        <f>SUM(W19:W30)</f>
        <v>145.05984962406004</v>
      </c>
    </row>
    <row r="32" spans="1:23">
      <c r="A32" s="99"/>
      <c r="B32" s="99"/>
      <c r="C32" s="99"/>
      <c r="D32" s="99"/>
      <c r="E32" s="99"/>
      <c r="F32" s="99"/>
      <c r="G32" s="99"/>
      <c r="H32" s="99"/>
      <c r="I32" s="99"/>
      <c r="J32" s="99"/>
    </row>
    <row r="33" spans="1:21">
      <c r="A33"/>
      <c r="B33" s="159">
        <f>'[7]eng-daily-01011993-12311993'!$M$392</f>
        <v>5647.4999999999982</v>
      </c>
      <c r="C33" s="159">
        <f>'[8]eng-daily-01011994-12311994'!$M$392</f>
        <v>5355.6999999999989</v>
      </c>
      <c r="D33" s="159">
        <f>'[9]eng-daily-01011995-12311995'!$M$392</f>
        <v>5856.3999999999987</v>
      </c>
      <c r="E33" s="159">
        <f>'[10]eng-daily-01011996-12311996'!$M$392</f>
        <v>6240.5999999999985</v>
      </c>
      <c r="F33" s="159">
        <f>'[11]eng-daily-01011997-12311997'!$M$392</f>
        <v>5528.8</v>
      </c>
      <c r="G33" s="159">
        <f>'[12]eng-daily-01011998-12311998'!$M$392</f>
        <v>4672.3</v>
      </c>
      <c r="H33" s="159">
        <f>'[13]eng-daily-01011999-12311999'!$M$392</f>
        <v>4894.0999999999995</v>
      </c>
      <c r="I33" s="159">
        <f>'[14]eng-daily-01012000-12312000'!$M$392</f>
        <v>5276.7000000000007</v>
      </c>
      <c r="J33" s="159">
        <f>'[15]eng-daily-01012001-12312001'!$M$392</f>
        <v>5133.2999999999993</v>
      </c>
      <c r="N33" s="159">
        <f>'[19]eng-daily-01012005-12312005'!$M$392</f>
        <v>5256.2999999999993</v>
      </c>
      <c r="O33" s="159">
        <f>'[20]eng-daily-01012006-12312006'!$M$392</f>
        <v>4947.3999999999987</v>
      </c>
      <c r="P33" s="159">
        <f>'[21]eng-daily-01012007-12312007'!$M$392</f>
        <v>4718.3999999999996</v>
      </c>
      <c r="Q33" s="159">
        <f>'[22]eng-daily-01012008-12312008'!$M$392</f>
        <v>6042.4</v>
      </c>
      <c r="R33" s="159">
        <f>'[23]eng-daily-01012009-12312009'!$M$392</f>
        <v>5789.2999999999993</v>
      </c>
      <c r="S33" s="159">
        <f>'[24]eng-daily-01012010-12312010'!$M$392</f>
        <v>5048.8999999999996</v>
      </c>
      <c r="T33" s="159">
        <f>'[25]eng-daily-01012011-12312011'!$M$392</f>
        <v>5367.9</v>
      </c>
      <c r="U33" s="159">
        <f>'[26]eng-daily-01012012-12312012'!$M$392</f>
        <v>4952.6000000000004</v>
      </c>
    </row>
    <row r="34" spans="1:21">
      <c r="A34"/>
      <c r="B34" s="159">
        <f>'[7]eng-daily-01011993-12311993'!$N$392</f>
        <v>95.499999999999986</v>
      </c>
      <c r="C34" s="159">
        <f>'[8]eng-daily-01011994-12311994'!$N$392</f>
        <v>88.999999999999957</v>
      </c>
      <c r="D34" s="159">
        <f>'[9]eng-daily-01011995-12311995'!$N$392</f>
        <v>192.8000000000001</v>
      </c>
      <c r="E34" s="159">
        <f>'[10]eng-daily-01011996-12311996'!$N$392</f>
        <v>120.49999999999997</v>
      </c>
      <c r="F34" s="159">
        <f>'[11]eng-daily-01011997-12311997'!$N$392</f>
        <v>133.4</v>
      </c>
      <c r="G34" s="159">
        <f>'[12]eng-daily-01011998-12311998'!$N$392</f>
        <v>145.09999999999997</v>
      </c>
      <c r="H34" s="159">
        <f>'[13]eng-daily-01011999-12311999'!$N$392</f>
        <v>142.39999999999998</v>
      </c>
      <c r="I34" s="159">
        <f>'[14]eng-daily-01012000-12312000'!$N$392</f>
        <v>108.19999999999996</v>
      </c>
      <c r="J34" s="159">
        <f>'[15]eng-daily-01012001-12312001'!$N$392</f>
        <v>187.70000000000005</v>
      </c>
      <c r="N34" s="159">
        <f>'[19]eng-daily-01012005-12312005'!$O$392</f>
        <v>191.49999999999997</v>
      </c>
      <c r="O34" s="159">
        <f>'[20]eng-daily-01012006-12312006'!$O$392</f>
        <v>159.79999999999998</v>
      </c>
      <c r="P34" s="159">
        <f>'[21]eng-daily-01012007-12312007'!$O$392</f>
        <v>167.3</v>
      </c>
      <c r="Q34" s="159">
        <f>'[22]eng-daily-01012008-12312008'!$O$392</f>
        <v>61.599999999999994</v>
      </c>
      <c r="R34" s="159">
        <f>'[23]eng-daily-01012009-12312009'!$O$392</f>
        <v>58.7</v>
      </c>
      <c r="S34" s="159">
        <f>'[24]eng-daily-01012010-12312010'!$O$392</f>
        <v>159.4</v>
      </c>
      <c r="T34" s="159">
        <f>'[25]eng-daily-01012011-12312011'!$O$392</f>
        <v>152</v>
      </c>
      <c r="U34" s="159">
        <f>'[26]eng-daily-01012012-12312012'!$O$392</f>
        <v>161.80000000000001</v>
      </c>
    </row>
    <row r="35" spans="1:21">
      <c r="A35"/>
      <c r="B35" s="158">
        <f>B17-B33</f>
        <v>0</v>
      </c>
      <c r="C35" s="158">
        <f t="shared" ref="C35:J35" si="9">C17-C33</f>
        <v>0</v>
      </c>
      <c r="D35" s="158">
        <f t="shared" si="9"/>
        <v>0</v>
      </c>
      <c r="E35" s="158">
        <f t="shared" si="9"/>
        <v>0</v>
      </c>
      <c r="F35" s="158">
        <f t="shared" si="9"/>
        <v>0</v>
      </c>
      <c r="G35" s="158">
        <f t="shared" si="9"/>
        <v>0</v>
      </c>
      <c r="H35" s="158">
        <f t="shared" si="9"/>
        <v>0</v>
      </c>
      <c r="I35" s="158">
        <f t="shared" si="9"/>
        <v>0</v>
      </c>
      <c r="J35" s="158">
        <f t="shared" si="9"/>
        <v>0</v>
      </c>
      <c r="N35" s="153">
        <f>N17-N33</f>
        <v>0</v>
      </c>
      <c r="O35" s="153">
        <f t="shared" ref="O35:U35" si="10">O17-O33</f>
        <v>0</v>
      </c>
      <c r="P35" s="153">
        <f t="shared" si="10"/>
        <v>0</v>
      </c>
      <c r="Q35" s="153">
        <f t="shared" si="10"/>
        <v>0</v>
      </c>
      <c r="R35" s="153">
        <f t="shared" si="10"/>
        <v>0</v>
      </c>
      <c r="S35" s="153">
        <f t="shared" si="10"/>
        <v>0</v>
      </c>
      <c r="T35" s="153">
        <f t="shared" si="10"/>
        <v>0</v>
      </c>
      <c r="U35" s="153">
        <f t="shared" si="10"/>
        <v>0</v>
      </c>
    </row>
    <row r="36" spans="1:21">
      <c r="A36"/>
      <c r="B36" s="158">
        <f>B31-B34</f>
        <v>0</v>
      </c>
      <c r="C36" s="158">
        <f t="shared" ref="C36:J36" si="11">C31-C34</f>
        <v>0</v>
      </c>
      <c r="D36" s="158">
        <f t="shared" si="11"/>
        <v>0</v>
      </c>
      <c r="E36" s="158">
        <f t="shared" si="11"/>
        <v>0</v>
      </c>
      <c r="F36" s="158">
        <f t="shared" si="11"/>
        <v>0</v>
      </c>
      <c r="G36" s="158">
        <f t="shared" si="11"/>
        <v>0</v>
      </c>
      <c r="H36" s="158">
        <f t="shared" si="11"/>
        <v>0</v>
      </c>
      <c r="I36" s="158">
        <f t="shared" si="11"/>
        <v>0</v>
      </c>
      <c r="J36" s="158">
        <f t="shared" si="11"/>
        <v>0</v>
      </c>
      <c r="N36" s="153">
        <f>N31-N34</f>
        <v>0</v>
      </c>
      <c r="O36" s="153">
        <f t="shared" ref="O36:U36" si="12">O31-O34</f>
        <v>0</v>
      </c>
      <c r="P36" s="153">
        <f t="shared" si="12"/>
        <v>0</v>
      </c>
      <c r="Q36" s="153">
        <f t="shared" si="12"/>
        <v>0</v>
      </c>
      <c r="R36" s="153">
        <f t="shared" si="12"/>
        <v>0</v>
      </c>
      <c r="S36" s="153">
        <f t="shared" si="12"/>
        <v>0</v>
      </c>
      <c r="T36" s="153">
        <f t="shared" si="12"/>
        <v>0</v>
      </c>
      <c r="U36" s="153">
        <f t="shared" si="12"/>
        <v>0</v>
      </c>
    </row>
    <row r="37" spans="1:21">
      <c r="A37"/>
      <c r="B37"/>
      <c r="C37"/>
      <c r="D37"/>
      <c r="E37"/>
      <c r="F37"/>
    </row>
    <row r="38" spans="1:21">
      <c r="A38"/>
      <c r="B38"/>
      <c r="C38"/>
      <c r="D38"/>
      <c r="E38"/>
      <c r="F38"/>
    </row>
    <row r="39" spans="1:21">
      <c r="A39"/>
      <c r="B39"/>
      <c r="C39"/>
      <c r="D39"/>
      <c r="E39"/>
      <c r="F39"/>
    </row>
    <row r="40" spans="1:21">
      <c r="A40"/>
      <c r="B40"/>
      <c r="C40"/>
      <c r="D40"/>
      <c r="E40"/>
      <c r="F40"/>
    </row>
    <row r="41" spans="1:21">
      <c r="A41"/>
      <c r="B41"/>
      <c r="C41"/>
      <c r="D41"/>
      <c r="E41"/>
      <c r="F41"/>
    </row>
    <row r="42" spans="1:21">
      <c r="A42"/>
      <c r="B42"/>
      <c r="C42"/>
      <c r="D42"/>
      <c r="E42"/>
      <c r="F42"/>
    </row>
    <row r="43" spans="1:21">
      <c r="A43"/>
      <c r="B43"/>
      <c r="C43"/>
      <c r="D43"/>
      <c r="E43"/>
      <c r="F43"/>
    </row>
    <row r="44" spans="1:21">
      <c r="A44"/>
      <c r="B44"/>
      <c r="C44"/>
      <c r="D44"/>
      <c r="E44"/>
      <c r="F44"/>
    </row>
    <row r="45" spans="1:21">
      <c r="A45"/>
      <c r="B45"/>
      <c r="C45"/>
      <c r="D45"/>
      <c r="E45"/>
      <c r="F45"/>
    </row>
    <row r="46" spans="1:21">
      <c r="A46"/>
      <c r="B46"/>
      <c r="C46"/>
      <c r="D46"/>
      <c r="E46"/>
      <c r="F46"/>
    </row>
    <row r="47" spans="1:21">
      <c r="A47"/>
      <c r="B47"/>
      <c r="C47"/>
      <c r="D47"/>
      <c r="E47"/>
      <c r="F47"/>
    </row>
    <row r="48" spans="1:21">
      <c r="A48"/>
      <c r="B48"/>
      <c r="C48"/>
      <c r="D48"/>
      <c r="E48"/>
      <c r="F48"/>
    </row>
    <row r="49" spans="1:6">
      <c r="A49"/>
      <c r="B49"/>
      <c r="C49"/>
      <c r="D49"/>
      <c r="E49"/>
      <c r="F49"/>
    </row>
    <row r="50" spans="1:6">
      <c r="A50"/>
      <c r="B50"/>
      <c r="C50"/>
      <c r="D50"/>
      <c r="E50"/>
      <c r="F50"/>
    </row>
    <row r="51" spans="1:6">
      <c r="A51"/>
      <c r="B51"/>
      <c r="C51"/>
      <c r="D51"/>
      <c r="E51"/>
      <c r="F51"/>
    </row>
    <row r="52" spans="1:6">
      <c r="A52"/>
      <c r="B52"/>
      <c r="C52"/>
      <c r="D52"/>
      <c r="E52"/>
      <c r="F52"/>
    </row>
    <row r="53" spans="1:6">
      <c r="A53"/>
      <c r="B53"/>
      <c r="C53"/>
      <c r="D53"/>
      <c r="E53"/>
      <c r="F53"/>
    </row>
    <row r="54" spans="1:6">
      <c r="A54"/>
      <c r="B54"/>
      <c r="C54"/>
      <c r="D54"/>
      <c r="E54"/>
      <c r="F54"/>
    </row>
    <row r="55" spans="1:6">
      <c r="A55"/>
      <c r="B55"/>
      <c r="C55"/>
      <c r="D55"/>
      <c r="E55"/>
      <c r="F55"/>
    </row>
    <row r="56" spans="1:6">
      <c r="A56"/>
      <c r="B56"/>
      <c r="C56"/>
      <c r="D56"/>
      <c r="E56"/>
      <c r="F56"/>
    </row>
    <row r="57" spans="1:6">
      <c r="A57"/>
      <c r="B57"/>
      <c r="C57"/>
      <c r="D57"/>
      <c r="E57"/>
      <c r="F57"/>
    </row>
    <row r="58" spans="1:6">
      <c r="A58"/>
      <c r="B58"/>
      <c r="C58"/>
      <c r="D58"/>
      <c r="E58"/>
      <c r="F58"/>
    </row>
    <row r="59" spans="1:6">
      <c r="A59"/>
      <c r="B59"/>
      <c r="C59"/>
      <c r="D59"/>
      <c r="E59"/>
      <c r="F59"/>
    </row>
    <row r="60" spans="1:6">
      <c r="A60"/>
      <c r="B60"/>
      <c r="C60"/>
      <c r="D60"/>
      <c r="E60"/>
      <c r="F60"/>
    </row>
    <row r="61" spans="1:6">
      <c r="A61"/>
      <c r="B61"/>
      <c r="C61"/>
      <c r="D61"/>
      <c r="E61"/>
      <c r="F61"/>
    </row>
    <row r="62" spans="1:6">
      <c r="A62"/>
      <c r="B62"/>
      <c r="C62"/>
      <c r="D62"/>
      <c r="E62"/>
      <c r="F62"/>
    </row>
    <row r="63" spans="1:6">
      <c r="A63"/>
      <c r="B63"/>
      <c r="C63"/>
      <c r="D63"/>
      <c r="E63"/>
      <c r="F63"/>
    </row>
    <row r="64" spans="1:6">
      <c r="A64"/>
      <c r="B64"/>
      <c r="C64"/>
      <c r="D64"/>
      <c r="E64"/>
      <c r="F64"/>
    </row>
    <row r="65" spans="1:6">
      <c r="A65"/>
      <c r="B65"/>
      <c r="C65"/>
      <c r="D65"/>
      <c r="E65"/>
      <c r="F65"/>
    </row>
    <row r="66" spans="1:6">
      <c r="A66"/>
      <c r="B66"/>
      <c r="C66"/>
      <c r="D66"/>
      <c r="E66"/>
      <c r="F66"/>
    </row>
  </sheetData>
  <pageMargins left="0.38" right="0.75" top="0.73" bottom="0.74" header="0.5" footer="0.5"/>
  <pageSetup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2"/>
  <sheetViews>
    <sheetView workbookViewId="0">
      <selection activeCell="R40" sqref="R40"/>
    </sheetView>
  </sheetViews>
  <sheetFormatPr defaultRowHeight="12.75"/>
  <cols>
    <col min="1" max="1" width="31.42578125" bestFit="1" customWidth="1"/>
    <col min="2" max="2" width="12.7109375" customWidth="1"/>
    <col min="3" max="3" width="11.7109375" customWidth="1"/>
    <col min="4" max="4" width="12.7109375" customWidth="1"/>
    <col min="5" max="5" width="10" customWidth="1"/>
    <col min="6" max="6" width="12.7109375" customWidth="1"/>
    <col min="10" max="10" width="6.140625" customWidth="1"/>
    <col min="11" max="11" width="12.85546875" bestFit="1" customWidth="1"/>
    <col min="12" max="12" width="9.28515625" bestFit="1" customWidth="1"/>
    <col min="13" max="14" width="9.855468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6">
      <c r="A1" s="135" t="s">
        <v>124</v>
      </c>
      <c r="B1" s="144" t="s">
        <v>101</v>
      </c>
      <c r="C1" s="144" t="s">
        <v>116</v>
      </c>
      <c r="D1" s="144" t="s">
        <v>135</v>
      </c>
    </row>
    <row r="2" spans="1:16">
      <c r="A2" s="85" t="str">
        <f>'Rate Class Energy Model'!H2</f>
        <v xml:space="preserve">Residential </v>
      </c>
      <c r="B2" s="131">
        <f>Summary!L13</f>
        <v>37551665.490077734</v>
      </c>
      <c r="C2" s="130"/>
      <c r="D2" s="142">
        <v>0.98</v>
      </c>
      <c r="J2" s="175"/>
      <c r="K2" s="181" t="s">
        <v>163</v>
      </c>
      <c r="L2" s="181"/>
      <c r="M2" s="181"/>
      <c r="N2" s="181"/>
      <c r="O2" s="181"/>
      <c r="P2" s="181"/>
    </row>
    <row r="3" spans="1:16">
      <c r="A3" s="85" t="str">
        <f>'Rate Class Energy Model'!I2</f>
        <v>General Service
&lt; 50 kW</v>
      </c>
      <c r="B3" s="131">
        <f>Summary!L17</f>
        <v>14200992.123067169</v>
      </c>
      <c r="C3" s="130"/>
      <c r="D3" s="142">
        <v>0.98</v>
      </c>
      <c r="J3" s="175"/>
      <c r="K3" s="180" t="s">
        <v>151</v>
      </c>
      <c r="L3" s="180" t="s">
        <v>152</v>
      </c>
      <c r="M3" s="180" t="s">
        <v>153</v>
      </c>
      <c r="N3" s="180" t="s">
        <v>106</v>
      </c>
      <c r="O3" s="180" t="s">
        <v>152</v>
      </c>
      <c r="P3" s="180" t="s">
        <v>153</v>
      </c>
    </row>
    <row r="4" spans="1:16">
      <c r="A4" s="85" t="str">
        <f>'Rate Class Energy Model'!J2</f>
        <v>General Service
&gt; 50 kW</v>
      </c>
      <c r="B4" s="131">
        <f>Summary!L21</f>
        <v>25160586.681349851</v>
      </c>
      <c r="C4" s="143">
        <f>Summary!L22</f>
        <v>64191.967675263215</v>
      </c>
      <c r="D4" s="142">
        <v>0.13</v>
      </c>
      <c r="J4" s="175" t="s">
        <v>154</v>
      </c>
      <c r="K4" s="177">
        <v>37865658.949999996</v>
      </c>
      <c r="L4" s="177">
        <v>99697.840000000011</v>
      </c>
      <c r="M4" s="177">
        <v>713578.97000000009</v>
      </c>
      <c r="N4" s="179">
        <v>38678935.759999998</v>
      </c>
      <c r="O4" s="178">
        <v>0.98155122533805728</v>
      </c>
      <c r="P4" s="178"/>
    </row>
    <row r="5" spans="1:16">
      <c r="A5" s="85" t="str">
        <f>'Rate Class Customer Model'!E2</f>
        <v xml:space="preserve">Streetlights </v>
      </c>
      <c r="B5" s="131">
        <f>Summary!L26</f>
        <v>765211.14999999991</v>
      </c>
      <c r="C5" s="143">
        <f>Summary!L27</f>
        <v>2199.0690653207439</v>
      </c>
      <c r="D5" s="142">
        <v>0</v>
      </c>
      <c r="J5" s="175" t="s">
        <v>155</v>
      </c>
      <c r="K5" s="177">
        <v>14693706.83</v>
      </c>
      <c r="L5" s="177">
        <v>428341.87000000005</v>
      </c>
      <c r="M5" s="177">
        <v>285049.61000000004</v>
      </c>
      <c r="N5" s="179">
        <v>15407098.309999999</v>
      </c>
      <c r="O5" s="178">
        <v>0.98149881280273343</v>
      </c>
      <c r="P5" s="178"/>
    </row>
    <row r="6" spans="1:16">
      <c r="A6" s="85" t="str">
        <f>'Rate Class Customer Model'!F2</f>
        <v xml:space="preserve">Unmetered Loads </v>
      </c>
      <c r="B6" s="131">
        <f>Summary!L31</f>
        <v>55150.788594168975</v>
      </c>
      <c r="C6" s="130"/>
      <c r="D6" s="142">
        <v>1</v>
      </c>
      <c r="J6" s="175"/>
      <c r="K6" s="177"/>
      <c r="L6" s="177"/>
      <c r="M6" s="177"/>
      <c r="N6" s="179"/>
      <c r="O6" s="178"/>
      <c r="P6" s="178"/>
    </row>
    <row r="7" spans="1:16">
      <c r="A7" s="113" t="s">
        <v>106</v>
      </c>
      <c r="B7" s="101">
        <f>SUM(B2:B6)</f>
        <v>77733606.233088925</v>
      </c>
      <c r="C7" s="101">
        <f>SUM(C2:C6)</f>
        <v>66391.036740583964</v>
      </c>
      <c r="D7" s="101"/>
      <c r="J7" s="175" t="s">
        <v>156</v>
      </c>
      <c r="K7" s="177">
        <v>65170.44000000001</v>
      </c>
      <c r="L7" s="177"/>
      <c r="M7" s="177"/>
      <c r="N7" s="179">
        <v>65170.44000000001</v>
      </c>
      <c r="O7" s="178">
        <v>1</v>
      </c>
      <c r="P7" s="178"/>
    </row>
    <row r="8" spans="1:16">
      <c r="B8" s="72"/>
      <c r="C8" s="72"/>
      <c r="J8" s="175"/>
      <c r="K8" s="177"/>
      <c r="L8" s="177"/>
      <c r="M8" s="177"/>
      <c r="N8" s="179"/>
      <c r="O8" s="178"/>
      <c r="P8" s="178"/>
    </row>
    <row r="9" spans="1:16">
      <c r="J9" s="175" t="s">
        <v>157</v>
      </c>
      <c r="K9" s="177"/>
      <c r="L9" s="177">
        <v>1445954.9699999997</v>
      </c>
      <c r="M9" s="177"/>
      <c r="N9" s="179"/>
      <c r="O9" s="178"/>
      <c r="P9" s="178"/>
    </row>
    <row r="10" spans="1:16">
      <c r="A10" s="135" t="s">
        <v>123</v>
      </c>
      <c r="B10" s="209" t="s">
        <v>125</v>
      </c>
      <c r="C10" s="211" t="s">
        <v>126</v>
      </c>
      <c r="D10" s="102"/>
      <c r="E10" s="176" t="s">
        <v>164</v>
      </c>
      <c r="F10" s="133"/>
      <c r="J10" s="175" t="s">
        <v>158</v>
      </c>
      <c r="K10" s="177"/>
      <c r="L10" s="177">
        <v>1738675.6999999997</v>
      </c>
      <c r="M10" s="177"/>
      <c r="N10" s="179">
        <v>3184630.6699999995</v>
      </c>
      <c r="O10" s="178"/>
      <c r="P10" s="178"/>
    </row>
    <row r="11" spans="1:16">
      <c r="A11" s="112" t="s">
        <v>122</v>
      </c>
      <c r="B11" s="210"/>
      <c r="C11" s="212"/>
      <c r="D11" s="213">
        <v>2013</v>
      </c>
      <c r="E11" s="214"/>
      <c r="F11" s="215"/>
      <c r="J11" s="175" t="s">
        <v>159</v>
      </c>
      <c r="K11" s="177"/>
      <c r="L11" s="177"/>
      <c r="M11" s="177">
        <v>14545476.370000001</v>
      </c>
      <c r="N11" s="179"/>
      <c r="O11" s="178"/>
      <c r="P11" s="178"/>
    </row>
    <row r="12" spans="1:16">
      <c r="A12" s="132" t="str">
        <f>A2</f>
        <v xml:space="preserve">Residential </v>
      </c>
      <c r="B12" s="131">
        <f>B2*D2</f>
        <v>36800632.180276178</v>
      </c>
      <c r="C12" s="141">
        <v>1.0406</v>
      </c>
      <c r="D12" s="116">
        <f t="shared" ref="D12:D16" si="0">B12*C12</f>
        <v>38294737.846795388</v>
      </c>
      <c r="E12" s="129">
        <v>8.7599999999999997E-2</v>
      </c>
      <c r="F12" s="114">
        <f t="shared" ref="F12:F16" si="1">D12*E12</f>
        <v>3354619.0353792757</v>
      </c>
      <c r="J12" s="175" t="s">
        <v>160</v>
      </c>
      <c r="K12" s="177"/>
      <c r="L12" s="177"/>
      <c r="M12" s="177">
        <v>617192.81000000006</v>
      </c>
      <c r="N12" s="179"/>
      <c r="O12" s="178"/>
      <c r="P12" s="178"/>
    </row>
    <row r="13" spans="1:16">
      <c r="A13" s="132" t="str">
        <f>A3</f>
        <v>General Service
&lt; 50 kW</v>
      </c>
      <c r="B13" s="131">
        <f>B3*D3</f>
        <v>13916972.280605825</v>
      </c>
      <c r="C13" s="141">
        <v>1.0406</v>
      </c>
      <c r="D13" s="116">
        <f t="shared" si="0"/>
        <v>14482001.355198421</v>
      </c>
      <c r="E13" s="129">
        <v>8.7599999999999997E-2</v>
      </c>
      <c r="F13" s="114">
        <f t="shared" si="1"/>
        <v>1268623.3187153817</v>
      </c>
      <c r="J13" s="175" t="s">
        <v>161</v>
      </c>
      <c r="K13" s="177"/>
      <c r="L13" s="177"/>
      <c r="M13" s="177">
        <v>6521065.4799999995</v>
      </c>
      <c r="N13" s="179">
        <v>21683734.66</v>
      </c>
      <c r="O13" s="178">
        <v>0.12805950965173471</v>
      </c>
      <c r="P13" s="178">
        <v>0.87194049034826537</v>
      </c>
    </row>
    <row r="14" spans="1:16">
      <c r="A14" s="132" t="str">
        <f>A4</f>
        <v>General Service
&gt; 50 kW</v>
      </c>
      <c r="B14" s="131">
        <f>B4*D4</f>
        <v>3270876.2685754807</v>
      </c>
      <c r="C14" s="141">
        <v>1.0406</v>
      </c>
      <c r="D14" s="116">
        <f t="shared" si="0"/>
        <v>3403673.845079645</v>
      </c>
      <c r="E14" s="129">
        <v>8.7599999999999997E-2</v>
      </c>
      <c r="F14" s="114">
        <f t="shared" si="1"/>
        <v>298161.8288289769</v>
      </c>
      <c r="J14" s="175"/>
      <c r="K14" s="177"/>
      <c r="L14" s="177"/>
      <c r="M14" s="177"/>
      <c r="N14" s="179"/>
      <c r="O14" s="178"/>
      <c r="P14" s="178"/>
    </row>
    <row r="15" spans="1:16">
      <c r="A15" s="132" t="str">
        <f>A5</f>
        <v xml:space="preserve">Streetlights </v>
      </c>
      <c r="B15" s="131">
        <f>B5*D5</f>
        <v>0</v>
      </c>
      <c r="C15" s="141">
        <v>1.0406</v>
      </c>
      <c r="D15" s="116">
        <f t="shared" si="0"/>
        <v>0</v>
      </c>
      <c r="E15" s="129">
        <v>8.7599999999999997E-2</v>
      </c>
      <c r="F15" s="114">
        <f t="shared" si="1"/>
        <v>0</v>
      </c>
      <c r="J15" s="175" t="s">
        <v>162</v>
      </c>
      <c r="K15" s="177"/>
      <c r="L15" s="177"/>
      <c r="M15" s="177">
        <v>1153609.5000000002</v>
      </c>
      <c r="N15" s="179">
        <v>1153609.5000000002</v>
      </c>
      <c r="O15" s="178"/>
      <c r="P15" s="178">
        <v>1</v>
      </c>
    </row>
    <row r="16" spans="1:16">
      <c r="A16" s="132" t="str">
        <f>A6</f>
        <v xml:space="preserve">Unmetered Loads </v>
      </c>
      <c r="B16" s="131">
        <f>B6*D6</f>
        <v>55150.788594168975</v>
      </c>
      <c r="C16" s="141">
        <v>1.0406</v>
      </c>
      <c r="D16" s="116">
        <f t="shared" si="0"/>
        <v>57389.910611092237</v>
      </c>
      <c r="E16" s="129">
        <v>8.7599999999999997E-2</v>
      </c>
      <c r="F16" s="114">
        <f t="shared" si="1"/>
        <v>5027.3561695316794</v>
      </c>
      <c r="J16" s="175"/>
      <c r="K16" s="177"/>
      <c r="L16" s="177"/>
      <c r="M16" s="177"/>
      <c r="N16" s="179"/>
      <c r="O16" s="178"/>
      <c r="P16" s="178"/>
    </row>
    <row r="17" spans="1:16">
      <c r="A17" s="113" t="s">
        <v>106</v>
      </c>
      <c r="B17" s="101">
        <f>SUM(B12:B16)</f>
        <v>54043631.518051654</v>
      </c>
      <c r="C17" s="112"/>
      <c r="D17" s="101">
        <f>SUM(D12:D16)</f>
        <v>56237802.957684547</v>
      </c>
      <c r="E17" s="111"/>
      <c r="F17" s="128">
        <f>SUM(F12:F16)</f>
        <v>4926431.5390931657</v>
      </c>
      <c r="J17" s="175"/>
      <c r="K17" s="177"/>
      <c r="L17" s="177"/>
      <c r="M17" s="177"/>
      <c r="N17" s="179">
        <v>80173179.339999989</v>
      </c>
      <c r="O17" s="178"/>
      <c r="P17" s="178"/>
    </row>
    <row r="18" spans="1:16">
      <c r="A18" s="140"/>
      <c r="B18" s="138"/>
      <c r="C18" s="139"/>
      <c r="D18" s="138"/>
      <c r="E18" s="137"/>
      <c r="F18" s="136"/>
    </row>
    <row r="19" spans="1:16">
      <c r="A19" s="135" t="s">
        <v>121</v>
      </c>
      <c r="B19" s="209" t="s">
        <v>125</v>
      </c>
      <c r="C19" s="211" t="s">
        <v>126</v>
      </c>
      <c r="D19" s="102"/>
      <c r="E19" s="134"/>
      <c r="F19" s="133"/>
      <c r="J19" s="175" t="s">
        <v>165</v>
      </c>
    </row>
    <row r="20" spans="1:16">
      <c r="A20" s="112" t="s">
        <v>113</v>
      </c>
      <c r="B20" s="210"/>
      <c r="C20" s="212"/>
      <c r="D20" s="213">
        <v>2013</v>
      </c>
      <c r="E20" s="214"/>
      <c r="F20" s="215"/>
    </row>
    <row r="21" spans="1:16">
      <c r="A21" s="132" t="str">
        <f>A12</f>
        <v xml:space="preserve">Residential </v>
      </c>
      <c r="B21" s="131">
        <f>B2-B12</f>
        <v>751033.30980155617</v>
      </c>
      <c r="C21" s="130">
        <f>C12</f>
        <v>1.0406</v>
      </c>
      <c r="D21" s="116">
        <f t="shared" ref="D21:D25" si="2">B21*C21</f>
        <v>781525.26217949938</v>
      </c>
      <c r="E21" s="129">
        <f>0.01933+0.06612</f>
        <v>8.5449999999999998E-2</v>
      </c>
      <c r="F21" s="114">
        <f t="shared" ref="F21:F25" si="3">D21*E21</f>
        <v>66781.333653238224</v>
      </c>
    </row>
    <row r="22" spans="1:16">
      <c r="A22" s="132" t="str">
        <f>A13</f>
        <v>General Service
&lt; 50 kW</v>
      </c>
      <c r="B22" s="131">
        <f>B3-B13</f>
        <v>284019.84246134385</v>
      </c>
      <c r="C22" s="130">
        <f>C13</f>
        <v>1.0406</v>
      </c>
      <c r="D22" s="116">
        <f t="shared" si="2"/>
        <v>295551.04806527443</v>
      </c>
      <c r="E22" s="129">
        <f t="shared" ref="E22:E25" si="4">0.01933+0.06612</f>
        <v>8.5449999999999998E-2</v>
      </c>
      <c r="F22" s="114">
        <f t="shared" si="3"/>
        <v>25254.837057177698</v>
      </c>
    </row>
    <row r="23" spans="1:16">
      <c r="A23" s="132" t="str">
        <f>A14</f>
        <v>General Service
&gt; 50 kW</v>
      </c>
      <c r="B23" s="131">
        <f>B4-B14</f>
        <v>21889710.412774369</v>
      </c>
      <c r="C23" s="130">
        <f>C14</f>
        <v>1.0406</v>
      </c>
      <c r="D23" s="116">
        <f t="shared" si="2"/>
        <v>22778432.655533008</v>
      </c>
      <c r="E23" s="129">
        <f t="shared" si="4"/>
        <v>8.5449999999999998E-2</v>
      </c>
      <c r="F23" s="114">
        <f t="shared" si="3"/>
        <v>1946417.0704152954</v>
      </c>
    </row>
    <row r="24" spans="1:16">
      <c r="A24" s="132" t="str">
        <f>A15</f>
        <v xml:space="preserve">Streetlights </v>
      </c>
      <c r="B24" s="131">
        <f>B5-B15</f>
        <v>765211.14999999991</v>
      </c>
      <c r="C24" s="130">
        <f>C15</f>
        <v>1.0406</v>
      </c>
      <c r="D24" s="116">
        <f t="shared" si="2"/>
        <v>796278.72268999985</v>
      </c>
      <c r="E24" s="129">
        <f t="shared" si="4"/>
        <v>8.5449999999999998E-2</v>
      </c>
      <c r="F24" s="114">
        <f t="shared" si="3"/>
        <v>68042.016853860492</v>
      </c>
    </row>
    <row r="25" spans="1:16">
      <c r="A25" s="132" t="str">
        <f>A16</f>
        <v xml:space="preserve">Unmetered Loads </v>
      </c>
      <c r="B25" s="131">
        <f>B6-B16</f>
        <v>0</v>
      </c>
      <c r="C25" s="130">
        <f>C16</f>
        <v>1.0406</v>
      </c>
      <c r="D25" s="116">
        <f t="shared" si="2"/>
        <v>0</v>
      </c>
      <c r="E25" s="129">
        <f t="shared" si="4"/>
        <v>8.5449999999999998E-2</v>
      </c>
      <c r="F25" s="114">
        <f t="shared" si="3"/>
        <v>0</v>
      </c>
    </row>
    <row r="26" spans="1:16">
      <c r="A26" s="113" t="s">
        <v>106</v>
      </c>
      <c r="B26" s="101">
        <f>SUM(B21:B25)</f>
        <v>23689974.715037268</v>
      </c>
      <c r="C26" s="112"/>
      <c r="D26" s="101">
        <f>SUM(D21:D25)</f>
        <v>24651787.688467782</v>
      </c>
      <c r="E26" s="111"/>
      <c r="F26" s="128">
        <f>SUM(F21:F25)</f>
        <v>2106495.2579795718</v>
      </c>
    </row>
    <row r="28" spans="1:16">
      <c r="A28" s="125" t="s">
        <v>120</v>
      </c>
      <c r="B28" s="121"/>
      <c r="C28" s="127" t="s">
        <v>118</v>
      </c>
      <c r="D28" s="123"/>
      <c r="E28" s="122"/>
      <c r="F28" s="121"/>
    </row>
    <row r="29" spans="1:16">
      <c r="A29" s="112" t="s">
        <v>113</v>
      </c>
      <c r="B29" s="120"/>
      <c r="C29" s="126" t="s">
        <v>117</v>
      </c>
      <c r="D29" s="204">
        <v>2013</v>
      </c>
      <c r="E29" s="205"/>
      <c r="F29" s="206"/>
    </row>
    <row r="30" spans="1:16">
      <c r="A30" s="118" t="str">
        <f>A21</f>
        <v xml:space="preserve">Residential </v>
      </c>
      <c r="B30" s="116"/>
      <c r="C30" s="117" t="s">
        <v>101</v>
      </c>
      <c r="D30" s="116">
        <f>D12+D21</f>
        <v>39076263.108974889</v>
      </c>
      <c r="E30" s="115">
        <v>6.6E-3</v>
      </c>
      <c r="F30" s="114">
        <f>D30*E30</f>
        <v>257903.33651923426</v>
      </c>
    </row>
    <row r="31" spans="1:16">
      <c r="A31" s="118" t="str">
        <f>A22</f>
        <v>General Service
&lt; 50 kW</v>
      </c>
      <c r="B31" s="116"/>
      <c r="C31" s="117" t="s">
        <v>101</v>
      </c>
      <c r="D31" s="116">
        <f>D13+D22</f>
        <v>14777552.403263696</v>
      </c>
      <c r="E31" s="115">
        <v>6.0000000000000001E-3</v>
      </c>
      <c r="F31" s="114">
        <f>D31*E31</f>
        <v>88665.314419582181</v>
      </c>
    </row>
    <row r="32" spans="1:16">
      <c r="A32" s="118" t="str">
        <f>A23</f>
        <v>General Service
&gt; 50 kW</v>
      </c>
      <c r="B32" s="116"/>
      <c r="C32" s="117" t="s">
        <v>116</v>
      </c>
      <c r="D32" s="116">
        <f>C4</f>
        <v>64191.967675263215</v>
      </c>
      <c r="E32" s="115">
        <v>2.4487999999999999</v>
      </c>
      <c r="F32" s="114">
        <f>D32*E32</f>
        <v>157193.29044318455</v>
      </c>
    </row>
    <row r="33" spans="1:6">
      <c r="A33" s="118" t="str">
        <f>A24</f>
        <v xml:space="preserve">Streetlights </v>
      </c>
      <c r="B33" s="116"/>
      <c r="C33" s="117" t="s">
        <v>116</v>
      </c>
      <c r="D33" s="116">
        <f>C5</f>
        <v>2199.0690653207439</v>
      </c>
      <c r="E33" s="115">
        <v>1.8469</v>
      </c>
      <c r="F33" s="114">
        <f>D33*E33</f>
        <v>4061.4606567408819</v>
      </c>
    </row>
    <row r="34" spans="1:6">
      <c r="A34" s="118" t="str">
        <f>A25</f>
        <v xml:space="preserve">Unmetered Loads </v>
      </c>
      <c r="B34" s="116"/>
      <c r="C34" s="117" t="s">
        <v>101</v>
      </c>
      <c r="D34" s="116">
        <f>D16+D25</f>
        <v>57389.910611092237</v>
      </c>
      <c r="E34" s="115">
        <v>6.0000000000000001E-3</v>
      </c>
      <c r="F34" s="114">
        <f>D34*E34</f>
        <v>344.3394636665534</v>
      </c>
    </row>
    <row r="35" spans="1:6">
      <c r="A35" s="113" t="s">
        <v>106</v>
      </c>
      <c r="B35" s="101"/>
      <c r="C35" s="112"/>
      <c r="D35" s="101"/>
      <c r="E35" s="111"/>
      <c r="F35" s="110">
        <f>SUM(F30:F34)</f>
        <v>508167.7415024084</v>
      </c>
    </row>
    <row r="37" spans="1:6">
      <c r="A37" s="125" t="s">
        <v>119</v>
      </c>
      <c r="B37" s="121"/>
      <c r="C37" s="124" t="s">
        <v>118</v>
      </c>
      <c r="D37" s="123"/>
      <c r="E37" s="122"/>
      <c r="F37" s="121"/>
    </row>
    <row r="38" spans="1:6">
      <c r="A38" s="112" t="s">
        <v>113</v>
      </c>
      <c r="B38" s="120"/>
      <c r="C38" s="119" t="s">
        <v>117</v>
      </c>
      <c r="D38" s="204">
        <v>2013</v>
      </c>
      <c r="E38" s="205"/>
      <c r="F38" s="206"/>
    </row>
    <row r="39" spans="1:6">
      <c r="A39" s="118" t="str">
        <f>A30</f>
        <v xml:space="preserve">Residential </v>
      </c>
      <c r="B39" s="116"/>
      <c r="C39" s="117" t="str">
        <f t="shared" ref="C39:D43" si="5">C30</f>
        <v>kWh</v>
      </c>
      <c r="D39" s="116">
        <f t="shared" si="5"/>
        <v>39076263.108974889</v>
      </c>
      <c r="E39" s="115">
        <v>1.6000000000000001E-3</v>
      </c>
      <c r="F39" s="114">
        <f t="shared" ref="F39:F43" si="6">D39*E39</f>
        <v>62522.020974359824</v>
      </c>
    </row>
    <row r="40" spans="1:6">
      <c r="A40" s="118" t="str">
        <f>A31</f>
        <v>General Service
&lt; 50 kW</v>
      </c>
      <c r="B40" s="116"/>
      <c r="C40" s="117" t="str">
        <f t="shared" si="5"/>
        <v>kWh</v>
      </c>
      <c r="D40" s="116">
        <f t="shared" si="5"/>
        <v>14777552.403263696</v>
      </c>
      <c r="E40" s="115">
        <v>1.4E-3</v>
      </c>
      <c r="F40" s="114">
        <f t="shared" si="6"/>
        <v>20688.573364569173</v>
      </c>
    </row>
    <row r="41" spans="1:6">
      <c r="A41" s="118" t="str">
        <f>A32</f>
        <v>General Service
&gt; 50 kW</v>
      </c>
      <c r="B41" s="116"/>
      <c r="C41" s="117" t="str">
        <f t="shared" si="5"/>
        <v>kW</v>
      </c>
      <c r="D41" s="116">
        <f t="shared" si="5"/>
        <v>64191.967675263215</v>
      </c>
      <c r="E41" s="115">
        <v>0.57699999999999996</v>
      </c>
      <c r="F41" s="114">
        <f t="shared" si="6"/>
        <v>37038.765348626875</v>
      </c>
    </row>
    <row r="42" spans="1:6">
      <c r="A42" s="118" t="str">
        <f>A33</f>
        <v xml:space="preserve">Streetlights </v>
      </c>
      <c r="B42" s="116"/>
      <c r="C42" s="117" t="str">
        <f t="shared" si="5"/>
        <v>kW</v>
      </c>
      <c r="D42" s="116">
        <f t="shared" si="5"/>
        <v>2199.0690653207439</v>
      </c>
      <c r="E42" s="115">
        <v>0.4461</v>
      </c>
      <c r="F42" s="114">
        <f t="shared" si="6"/>
        <v>981.00471003958387</v>
      </c>
    </row>
    <row r="43" spans="1:6">
      <c r="A43" s="118" t="str">
        <f>A34</f>
        <v xml:space="preserve">Unmetered Loads </v>
      </c>
      <c r="B43" s="116"/>
      <c r="C43" s="117" t="str">
        <f t="shared" si="5"/>
        <v>kWh</v>
      </c>
      <c r="D43" s="116">
        <f t="shared" si="5"/>
        <v>57389.910611092237</v>
      </c>
      <c r="E43" s="115">
        <v>1.4E-3</v>
      </c>
      <c r="F43" s="114">
        <f t="shared" si="6"/>
        <v>80.345874855529132</v>
      </c>
    </row>
    <row r="44" spans="1:6">
      <c r="A44" s="113" t="s">
        <v>106</v>
      </c>
      <c r="B44" s="101"/>
      <c r="C44" s="112"/>
      <c r="D44" s="101"/>
      <c r="E44" s="111" t="s">
        <v>100</v>
      </c>
      <c r="F44" s="110">
        <f>SUM(F39:F43)</f>
        <v>121310.71027245099</v>
      </c>
    </row>
    <row r="46" spans="1:6">
      <c r="A46" s="125" t="s">
        <v>115</v>
      </c>
      <c r="B46" s="121"/>
      <c r="C46" s="124"/>
      <c r="D46" s="123"/>
      <c r="E46" s="122"/>
      <c r="F46" s="121"/>
    </row>
    <row r="47" spans="1:6">
      <c r="A47" s="112" t="s">
        <v>113</v>
      </c>
      <c r="B47" s="120"/>
      <c r="C47" s="119"/>
      <c r="D47" s="204">
        <v>2013</v>
      </c>
      <c r="E47" s="205"/>
      <c r="F47" s="207"/>
    </row>
    <row r="48" spans="1:6">
      <c r="A48" s="118" t="str">
        <f>A39</f>
        <v xml:space="preserve">Residential </v>
      </c>
      <c r="B48" s="116"/>
      <c r="C48" s="117"/>
      <c r="D48" s="116">
        <f>D12+D21</f>
        <v>39076263.108974889</v>
      </c>
      <c r="E48" s="115">
        <v>4.4000000000000003E-3</v>
      </c>
      <c r="F48" s="114">
        <f t="shared" ref="F48:F52" si="7">D48*E48</f>
        <v>171935.55767948952</v>
      </c>
    </row>
    <row r="49" spans="1:6">
      <c r="A49" s="118" t="str">
        <f>A40</f>
        <v>General Service
&lt; 50 kW</v>
      </c>
      <c r="B49" s="116"/>
      <c r="C49" s="117"/>
      <c r="D49" s="116">
        <f>D13+D22</f>
        <v>14777552.403263696</v>
      </c>
      <c r="E49" s="115">
        <v>4.4000000000000003E-3</v>
      </c>
      <c r="F49" s="114">
        <f t="shared" si="7"/>
        <v>65021.230574360263</v>
      </c>
    </row>
    <row r="50" spans="1:6">
      <c r="A50" s="118" t="str">
        <f>A41</f>
        <v>General Service
&gt; 50 kW</v>
      </c>
      <c r="B50" s="116"/>
      <c r="C50" s="117"/>
      <c r="D50" s="116">
        <f>D14+D23</f>
        <v>26182106.500612654</v>
      </c>
      <c r="E50" s="115">
        <v>4.4000000000000003E-3</v>
      </c>
      <c r="F50" s="114">
        <f t="shared" si="7"/>
        <v>115201.26860269568</v>
      </c>
    </row>
    <row r="51" spans="1:6">
      <c r="A51" s="118" t="str">
        <f>A42</f>
        <v xml:space="preserve">Streetlights </v>
      </c>
      <c r="B51" s="116"/>
      <c r="C51" s="117"/>
      <c r="D51" s="116">
        <f>D15+D24</f>
        <v>796278.72268999985</v>
      </c>
      <c r="E51" s="115">
        <v>4.4000000000000003E-3</v>
      </c>
      <c r="F51" s="114">
        <f t="shared" si="7"/>
        <v>3503.6263798359996</v>
      </c>
    </row>
    <row r="52" spans="1:6">
      <c r="A52" s="118" t="str">
        <f>A43</f>
        <v xml:space="preserve">Unmetered Loads </v>
      </c>
      <c r="B52" s="116"/>
      <c r="C52" s="117"/>
      <c r="D52" s="116">
        <f>D16+D25</f>
        <v>57389.910611092237</v>
      </c>
      <c r="E52" s="115">
        <v>4.4000000000000003E-3</v>
      </c>
      <c r="F52" s="114">
        <f t="shared" si="7"/>
        <v>252.51560668880586</v>
      </c>
    </row>
    <row r="53" spans="1:6">
      <c r="A53" s="113" t="s">
        <v>106</v>
      </c>
      <c r="B53" s="101"/>
      <c r="C53" s="112"/>
      <c r="D53" s="101">
        <f>SUM(D48:D52)</f>
        <v>80889590.646152332</v>
      </c>
      <c r="E53" s="111"/>
      <c r="F53" s="110">
        <f>SUM(F48:F52)</f>
        <v>355914.19884307025</v>
      </c>
    </row>
    <row r="55" spans="1:6">
      <c r="A55" s="125" t="s">
        <v>114</v>
      </c>
      <c r="B55" s="121"/>
      <c r="C55" s="124"/>
      <c r="D55" s="123"/>
      <c r="E55" s="122"/>
      <c r="F55" s="121"/>
    </row>
    <row r="56" spans="1:6">
      <c r="A56" s="112" t="s">
        <v>113</v>
      </c>
      <c r="B56" s="120"/>
      <c r="C56" s="119"/>
      <c r="D56" s="208">
        <v>2013</v>
      </c>
      <c r="E56" s="205"/>
      <c r="F56" s="206"/>
    </row>
    <row r="57" spans="1:6">
      <c r="A57" s="118" t="str">
        <f>A48</f>
        <v xml:space="preserve">Residential </v>
      </c>
      <c r="B57" s="116"/>
      <c r="C57" s="117"/>
      <c r="D57" s="116">
        <f>D48</f>
        <v>39076263.108974889</v>
      </c>
      <c r="E57" s="115">
        <v>1.1999999999999999E-3</v>
      </c>
      <c r="F57" s="114">
        <f t="shared" ref="F57:F61" si="8">D57*E57</f>
        <v>46891.515730769861</v>
      </c>
    </row>
    <row r="58" spans="1:6">
      <c r="A58" s="118" t="str">
        <f>A49</f>
        <v>General Service
&lt; 50 kW</v>
      </c>
      <c r="B58" s="116"/>
      <c r="C58" s="117"/>
      <c r="D58" s="116">
        <f>D49</f>
        <v>14777552.403263696</v>
      </c>
      <c r="E58" s="115">
        <v>1.1999999999999999E-3</v>
      </c>
      <c r="F58" s="114">
        <f t="shared" si="8"/>
        <v>17733.062883916435</v>
      </c>
    </row>
    <row r="59" spans="1:6">
      <c r="A59" s="118" t="str">
        <f>A50</f>
        <v>General Service
&gt; 50 kW</v>
      </c>
      <c r="B59" s="116"/>
      <c r="C59" s="117"/>
      <c r="D59" s="116">
        <f>D50</f>
        <v>26182106.500612654</v>
      </c>
      <c r="E59" s="115">
        <v>1.1999999999999999E-3</v>
      </c>
      <c r="F59" s="114">
        <f t="shared" si="8"/>
        <v>31418.527800735181</v>
      </c>
    </row>
    <row r="60" spans="1:6">
      <c r="A60" s="118" t="str">
        <f>A51</f>
        <v xml:space="preserve">Streetlights </v>
      </c>
      <c r="B60" s="116"/>
      <c r="C60" s="117"/>
      <c r="D60" s="116">
        <f>D51</f>
        <v>796278.72268999985</v>
      </c>
      <c r="E60" s="115">
        <v>1.1999999999999999E-3</v>
      </c>
      <c r="F60" s="114">
        <f t="shared" si="8"/>
        <v>955.5344672279997</v>
      </c>
    </row>
    <row r="61" spans="1:6">
      <c r="A61" s="118" t="str">
        <f t="shared" ref="A61" si="9">A52</f>
        <v xml:space="preserve">Unmetered Loads </v>
      </c>
      <c r="B61" s="116"/>
      <c r="C61" s="117"/>
      <c r="D61" s="116">
        <f t="shared" ref="D61" si="10">D52</f>
        <v>57389.910611092237</v>
      </c>
      <c r="E61" s="115">
        <v>1.1999999999999999E-3</v>
      </c>
      <c r="F61" s="114">
        <f t="shared" si="8"/>
        <v>68.867892733310683</v>
      </c>
    </row>
    <row r="62" spans="1:6">
      <c r="A62" s="113" t="s">
        <v>106</v>
      </c>
      <c r="B62" s="101"/>
      <c r="C62" s="112"/>
      <c r="D62" s="101">
        <f>SUM(D57:D61)</f>
        <v>80889590.646152332</v>
      </c>
      <c r="E62" s="111"/>
      <c r="F62" s="110">
        <f>SUM(F57:F61)</f>
        <v>97067.508775382783</v>
      </c>
    </row>
    <row r="64" spans="1:6">
      <c r="A64" s="108"/>
      <c r="B64" s="109">
        <v>2013</v>
      </c>
    </row>
    <row r="65" spans="1:2">
      <c r="A65" s="108"/>
      <c r="B65" s="107"/>
    </row>
    <row r="66" spans="1:2">
      <c r="A66" s="104" t="s">
        <v>112</v>
      </c>
      <c r="B66" s="106">
        <f>F17+F26</f>
        <v>7032926.7970727375</v>
      </c>
    </row>
    <row r="67" spans="1:2">
      <c r="A67" s="104" t="s">
        <v>111</v>
      </c>
      <c r="B67" s="105">
        <f>F53</f>
        <v>355914.19884307025</v>
      </c>
    </row>
    <row r="68" spans="1:2">
      <c r="A68" s="104" t="s">
        <v>110</v>
      </c>
      <c r="B68" s="105">
        <f>F35</f>
        <v>508167.7415024084</v>
      </c>
    </row>
    <row r="69" spans="1:2">
      <c r="A69" s="104" t="s">
        <v>109</v>
      </c>
      <c r="B69" s="105">
        <f>F44</f>
        <v>121310.71027245099</v>
      </c>
    </row>
    <row r="70" spans="1:2">
      <c r="A70" s="104" t="s">
        <v>108</v>
      </c>
      <c r="B70" s="105">
        <f>F62</f>
        <v>97067.508775382783</v>
      </c>
    </row>
    <row r="71" spans="1:2">
      <c r="A71" s="104" t="s">
        <v>107</v>
      </c>
      <c r="B71" s="103"/>
    </row>
    <row r="72" spans="1:2">
      <c r="A72" s="102" t="s">
        <v>106</v>
      </c>
      <c r="B72" s="101">
        <f>SUM(B66:B71)</f>
        <v>8115386.9564660499</v>
      </c>
    </row>
  </sheetData>
  <mergeCells count="10">
    <mergeCell ref="D29:F29"/>
    <mergeCell ref="D38:F38"/>
    <mergeCell ref="D47:F47"/>
    <mergeCell ref="D56:F56"/>
    <mergeCell ref="B10:B11"/>
    <mergeCell ref="C10:C11"/>
    <mergeCell ref="D11:F11"/>
    <mergeCell ref="B19:B20"/>
    <mergeCell ref="C19:C20"/>
    <mergeCell ref="D20:F20"/>
  </mergeCells>
  <pageMargins left="0.7" right="0.7" top="0.75" bottom="0.75" header="0.3" footer="0.3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72"/>
  <sheetViews>
    <sheetView topLeftCell="A4" workbookViewId="0">
      <selection activeCell="K41" sqref="K41"/>
    </sheetView>
  </sheetViews>
  <sheetFormatPr defaultRowHeight="12.75"/>
  <cols>
    <col min="1" max="1" width="31.42578125" bestFit="1" customWidth="1"/>
    <col min="2" max="2" width="12.7109375" customWidth="1"/>
    <col min="3" max="3" width="11.7109375" customWidth="1"/>
    <col min="4" max="4" width="12.7109375" customWidth="1"/>
    <col min="5" max="5" width="10" customWidth="1"/>
    <col min="6" max="6" width="12.7109375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6">
      <c r="A1" s="135" t="s">
        <v>138</v>
      </c>
      <c r="B1" s="144" t="s">
        <v>101</v>
      </c>
      <c r="C1" s="144" t="s">
        <v>116</v>
      </c>
      <c r="D1" s="144" t="s">
        <v>135</v>
      </c>
    </row>
    <row r="2" spans="1:6">
      <c r="A2" s="85" t="str">
        <f>'Rate Class Energy Model'!H2</f>
        <v xml:space="preserve">Residential </v>
      </c>
      <c r="B2" s="131">
        <f>Summary!M13</f>
        <v>37751517.669869661</v>
      </c>
      <c r="C2" s="130"/>
      <c r="D2" s="142">
        <v>0.98</v>
      </c>
    </row>
    <row r="3" spans="1:6">
      <c r="A3" s="85" t="str">
        <f>'Rate Class Energy Model'!I2</f>
        <v>General Service
&lt; 50 kW</v>
      </c>
      <c r="B3" s="131">
        <f>Summary!M17</f>
        <v>13617679.039438739</v>
      </c>
      <c r="C3" s="130"/>
      <c r="D3" s="142">
        <v>0.98</v>
      </c>
    </row>
    <row r="4" spans="1:6">
      <c r="A4" s="85" t="str">
        <f>'Rate Class Energy Model'!J2</f>
        <v>General Service
&gt; 50 kW</v>
      </c>
      <c r="B4" s="131">
        <f>Summary!M21</f>
        <v>26376323.625608891</v>
      </c>
      <c r="C4" s="143">
        <f>Summary!M22</f>
        <v>67293.665883490874</v>
      </c>
      <c r="D4" s="142">
        <v>0.13</v>
      </c>
    </row>
    <row r="5" spans="1:6">
      <c r="A5" s="85" t="str">
        <f>'Rate Class Customer Model'!E2</f>
        <v xml:space="preserve">Streetlights </v>
      </c>
      <c r="B5" s="131">
        <f>Summary!M26</f>
        <v>366946.6</v>
      </c>
      <c r="C5" s="143">
        <f>Summary!M27</f>
        <v>1054.5336626166843</v>
      </c>
      <c r="D5" s="142">
        <v>0</v>
      </c>
    </row>
    <row r="6" spans="1:6">
      <c r="A6" s="85" t="str">
        <f>'Rate Class Customer Model'!F2</f>
        <v xml:space="preserve">Unmetered Loads </v>
      </c>
      <c r="B6" s="131">
        <f>Summary!M31</f>
        <v>48552.245404349109</v>
      </c>
      <c r="C6" s="130"/>
      <c r="D6" s="142">
        <v>1</v>
      </c>
    </row>
    <row r="7" spans="1:6">
      <c r="A7" s="113" t="s">
        <v>106</v>
      </c>
      <c r="B7" s="101">
        <f>SUM(B2:B6)</f>
        <v>78161019.180321634</v>
      </c>
      <c r="C7" s="101">
        <f>SUM(C2:C6)</f>
        <v>68348.199546107557</v>
      </c>
      <c r="D7" s="101"/>
    </row>
    <row r="8" spans="1:6">
      <c r="B8" s="72"/>
      <c r="C8" s="72"/>
    </row>
    <row r="10" spans="1:6">
      <c r="A10" s="135" t="s">
        <v>123</v>
      </c>
      <c r="B10" s="209" t="s">
        <v>136</v>
      </c>
      <c r="C10" s="211" t="s">
        <v>137</v>
      </c>
      <c r="D10" s="102"/>
      <c r="E10" s="134"/>
      <c r="F10" s="133"/>
    </row>
    <row r="11" spans="1:6">
      <c r="A11" s="112" t="s">
        <v>122</v>
      </c>
      <c r="B11" s="210"/>
      <c r="C11" s="212"/>
      <c r="D11" s="213">
        <v>2014</v>
      </c>
      <c r="E11" s="214"/>
      <c r="F11" s="215"/>
    </row>
    <row r="12" spans="1:6">
      <c r="A12" s="132" t="str">
        <f>A2</f>
        <v xml:space="preserve">Residential </v>
      </c>
      <c r="B12" s="131">
        <f>B2*D2</f>
        <v>36996487.31647227</v>
      </c>
      <c r="C12" s="141">
        <v>1.0406</v>
      </c>
      <c r="D12" s="116">
        <f t="shared" ref="D12:D16" si="0">B12*C12</f>
        <v>38498544.701521039</v>
      </c>
      <c r="E12" s="129">
        <v>8.3949999999999997E-2</v>
      </c>
      <c r="F12" s="114">
        <f t="shared" ref="F12:F16" si="1">D12*E12</f>
        <v>3231952.8276926912</v>
      </c>
    </row>
    <row r="13" spans="1:6">
      <c r="A13" s="132" t="str">
        <f>A3</f>
        <v>General Service
&lt; 50 kW</v>
      </c>
      <c r="B13" s="131">
        <f>B3*D3</f>
        <v>13345325.458649965</v>
      </c>
      <c r="C13" s="141">
        <v>1.0406</v>
      </c>
      <c r="D13" s="116">
        <f t="shared" si="0"/>
        <v>13887145.672271153</v>
      </c>
      <c r="E13" s="129">
        <v>8.3949999999999997E-2</v>
      </c>
      <c r="F13" s="114">
        <f t="shared" si="1"/>
        <v>1165825.8791871632</v>
      </c>
    </row>
    <row r="14" spans="1:6">
      <c r="A14" s="132" t="str">
        <f>A4</f>
        <v>General Service
&gt; 50 kW</v>
      </c>
      <c r="B14" s="131">
        <f>B4*D4</f>
        <v>3428922.0713291559</v>
      </c>
      <c r="C14" s="141">
        <v>1.0406</v>
      </c>
      <c r="D14" s="116">
        <f t="shared" si="0"/>
        <v>3568136.3074251194</v>
      </c>
      <c r="E14" s="129">
        <v>8.3949999999999997E-2</v>
      </c>
      <c r="F14" s="114">
        <f t="shared" si="1"/>
        <v>299545.04300833878</v>
      </c>
    </row>
    <row r="15" spans="1:6">
      <c r="A15" s="132" t="str">
        <f>A5</f>
        <v xml:space="preserve">Streetlights </v>
      </c>
      <c r="B15" s="131">
        <f>B5*D5</f>
        <v>0</v>
      </c>
      <c r="C15" s="141">
        <v>1.0406</v>
      </c>
      <c r="D15" s="116">
        <f t="shared" si="0"/>
        <v>0</v>
      </c>
      <c r="E15" s="129">
        <v>8.3949999999999997E-2</v>
      </c>
      <c r="F15" s="114">
        <f t="shared" si="1"/>
        <v>0</v>
      </c>
    </row>
    <row r="16" spans="1:6">
      <c r="A16" s="132" t="str">
        <f>A6</f>
        <v xml:space="preserve">Unmetered Loads </v>
      </c>
      <c r="B16" s="131">
        <f>B6*D6</f>
        <v>48552.245404349109</v>
      </c>
      <c r="C16" s="141">
        <v>1.0406</v>
      </c>
      <c r="D16" s="116">
        <f t="shared" si="0"/>
        <v>50523.466567765681</v>
      </c>
      <c r="E16" s="129">
        <v>8.3949999999999997E-2</v>
      </c>
      <c r="F16" s="114">
        <f t="shared" si="1"/>
        <v>4241.4450183639292</v>
      </c>
    </row>
    <row r="17" spans="1:6">
      <c r="A17" s="113" t="s">
        <v>106</v>
      </c>
      <c r="B17" s="101">
        <f>SUM(B12:B16)</f>
        <v>53819287.091855735</v>
      </c>
      <c r="C17" s="112"/>
      <c r="D17" s="101">
        <f>SUM(D12:D16)</f>
        <v>56004350.147785075</v>
      </c>
      <c r="E17" s="111"/>
      <c r="F17" s="128">
        <f>SUM(F12:F16)</f>
        <v>4701565.194906557</v>
      </c>
    </row>
    <row r="18" spans="1:6">
      <c r="A18" s="140"/>
      <c r="B18" s="138"/>
      <c r="C18" s="139"/>
      <c r="D18" s="138"/>
      <c r="E18" s="137"/>
      <c r="F18" s="136"/>
    </row>
    <row r="19" spans="1:6">
      <c r="A19" s="135" t="s">
        <v>121</v>
      </c>
      <c r="B19" s="209" t="s">
        <v>136</v>
      </c>
      <c r="C19" s="211" t="s">
        <v>137</v>
      </c>
      <c r="D19" s="102"/>
      <c r="E19" s="134"/>
      <c r="F19" s="133"/>
    </row>
    <row r="20" spans="1:6">
      <c r="A20" s="112" t="s">
        <v>113</v>
      </c>
      <c r="B20" s="210"/>
      <c r="C20" s="212"/>
      <c r="D20" s="213">
        <v>2014</v>
      </c>
      <c r="E20" s="214"/>
      <c r="F20" s="215"/>
    </row>
    <row r="21" spans="1:6">
      <c r="A21" s="132" t="str">
        <f>A12</f>
        <v xml:space="preserve">Residential </v>
      </c>
      <c r="B21" s="131">
        <f>B2-B12</f>
        <v>755030.35339739174</v>
      </c>
      <c r="C21" s="130">
        <f>C12</f>
        <v>1.0406</v>
      </c>
      <c r="D21" s="116">
        <f t="shared" ref="D21:D25" si="2">B21*C21</f>
        <v>785684.58574532578</v>
      </c>
      <c r="E21" s="129">
        <v>8.5449999999999998E-2</v>
      </c>
      <c r="F21" s="114">
        <f t="shared" ref="F21:F25" si="3">D21*E21</f>
        <v>67136.747851938082</v>
      </c>
    </row>
    <row r="22" spans="1:6">
      <c r="A22" s="132" t="str">
        <f>A13</f>
        <v>General Service
&lt; 50 kW</v>
      </c>
      <c r="B22" s="131">
        <f>B3-B13</f>
        <v>272353.58078877442</v>
      </c>
      <c r="C22" s="130">
        <f>C13</f>
        <v>1.0406</v>
      </c>
      <c r="D22" s="116">
        <f t="shared" si="2"/>
        <v>283411.13616879866</v>
      </c>
      <c r="E22" s="129">
        <v>8.5449999999999998E-2</v>
      </c>
      <c r="F22" s="114">
        <f t="shared" si="3"/>
        <v>24217.481585623846</v>
      </c>
    </row>
    <row r="23" spans="1:6">
      <c r="A23" s="132" t="str">
        <f>A14</f>
        <v>General Service
&gt; 50 kW</v>
      </c>
      <c r="B23" s="131">
        <f>B4-B14</f>
        <v>22947401.554279737</v>
      </c>
      <c r="C23" s="130">
        <f>C14</f>
        <v>1.0406</v>
      </c>
      <c r="D23" s="116">
        <f t="shared" si="2"/>
        <v>23879066.057383493</v>
      </c>
      <c r="E23" s="129">
        <v>8.5449999999999998E-2</v>
      </c>
      <c r="F23" s="114">
        <f t="shared" si="3"/>
        <v>2040466.1946034194</v>
      </c>
    </row>
    <row r="24" spans="1:6">
      <c r="A24" s="132" t="str">
        <f>A15</f>
        <v xml:space="preserve">Streetlights </v>
      </c>
      <c r="B24" s="131">
        <f>B5-B15</f>
        <v>366946.6</v>
      </c>
      <c r="C24" s="130">
        <f>C15</f>
        <v>1.0406</v>
      </c>
      <c r="D24" s="116">
        <f t="shared" si="2"/>
        <v>381844.63195999997</v>
      </c>
      <c r="E24" s="129">
        <v>8.5449999999999998E-2</v>
      </c>
      <c r="F24" s="114">
        <f t="shared" si="3"/>
        <v>32628.623800981997</v>
      </c>
    </row>
    <row r="25" spans="1:6">
      <c r="A25" s="132" t="str">
        <f>A16</f>
        <v xml:space="preserve">Unmetered Loads </v>
      </c>
      <c r="B25" s="131">
        <f>B6-B16</f>
        <v>0</v>
      </c>
      <c r="C25" s="130">
        <f>C16</f>
        <v>1.0406</v>
      </c>
      <c r="D25" s="116">
        <f t="shared" si="2"/>
        <v>0</v>
      </c>
      <c r="E25" s="129">
        <v>8.5449999999999998E-2</v>
      </c>
      <c r="F25" s="114">
        <f t="shared" si="3"/>
        <v>0</v>
      </c>
    </row>
    <row r="26" spans="1:6">
      <c r="A26" s="113" t="s">
        <v>106</v>
      </c>
      <c r="B26" s="101">
        <f>SUM(B21:B25)</f>
        <v>24341732.088465907</v>
      </c>
      <c r="C26" s="112"/>
      <c r="D26" s="101">
        <f>SUM(D21:D25)</f>
        <v>25330006.411257617</v>
      </c>
      <c r="E26" s="111"/>
      <c r="F26" s="128">
        <f>SUM(F21:F25)</f>
        <v>2164449.0478419629</v>
      </c>
    </row>
    <row r="28" spans="1:6">
      <c r="A28" s="125" t="s">
        <v>120</v>
      </c>
      <c r="B28" s="121"/>
      <c r="C28" s="127" t="s">
        <v>118</v>
      </c>
      <c r="D28" s="123"/>
      <c r="E28" s="122"/>
      <c r="F28" s="121"/>
    </row>
    <row r="29" spans="1:6">
      <c r="A29" s="112" t="s">
        <v>113</v>
      </c>
      <c r="B29" s="120"/>
      <c r="C29" s="126" t="s">
        <v>117</v>
      </c>
      <c r="D29" s="204">
        <v>2014</v>
      </c>
      <c r="E29" s="205"/>
      <c r="F29" s="206"/>
    </row>
    <row r="30" spans="1:6">
      <c r="A30" s="118" t="str">
        <f>A21</f>
        <v xml:space="preserve">Residential </v>
      </c>
      <c r="B30" s="116"/>
      <c r="C30" s="117" t="s">
        <v>101</v>
      </c>
      <c r="D30" s="116">
        <f>D12+D21</f>
        <v>39284229.287266366</v>
      </c>
      <c r="E30" s="115">
        <v>6.7000000000000002E-3</v>
      </c>
      <c r="F30" s="114">
        <f>D30*E30</f>
        <v>263204.33622468467</v>
      </c>
    </row>
    <row r="31" spans="1:6">
      <c r="A31" s="118" t="str">
        <f>A22</f>
        <v>General Service
&lt; 50 kW</v>
      </c>
      <c r="B31" s="116"/>
      <c r="C31" s="117" t="s">
        <v>101</v>
      </c>
      <c r="D31" s="116">
        <f>D13+D22</f>
        <v>14170556.808439951</v>
      </c>
      <c r="E31" s="115">
        <v>6.1000000000000004E-3</v>
      </c>
      <c r="F31" s="114">
        <f>D31*E31</f>
        <v>86440.396531483711</v>
      </c>
    </row>
    <row r="32" spans="1:6">
      <c r="A32" s="118" t="str">
        <f>A23</f>
        <v>General Service
&gt; 50 kW</v>
      </c>
      <c r="B32" s="116"/>
      <c r="C32" s="117" t="s">
        <v>116</v>
      </c>
      <c r="D32" s="116">
        <f>C4</f>
        <v>67293.665883490874</v>
      </c>
      <c r="E32" s="115">
        <v>2.4948999999999999</v>
      </c>
      <c r="F32" s="114">
        <f>D32*E32</f>
        <v>167890.96701272138</v>
      </c>
    </row>
    <row r="33" spans="1:6">
      <c r="A33" s="118" t="str">
        <f>A24</f>
        <v xml:space="preserve">Streetlights </v>
      </c>
      <c r="B33" s="116"/>
      <c r="C33" s="117" t="s">
        <v>116</v>
      </c>
      <c r="D33" s="116">
        <f>C5</f>
        <v>1054.5336626166843</v>
      </c>
      <c r="E33" s="115">
        <v>1.8816999999999999</v>
      </c>
      <c r="F33" s="114">
        <f>D33*E33</f>
        <v>1984.3159929458147</v>
      </c>
    </row>
    <row r="34" spans="1:6">
      <c r="A34" s="118" t="str">
        <f>A25</f>
        <v xml:space="preserve">Unmetered Loads </v>
      </c>
      <c r="B34" s="116"/>
      <c r="C34" s="117" t="s">
        <v>101</v>
      </c>
      <c r="D34" s="116">
        <f>D16+D25</f>
        <v>50523.466567765681</v>
      </c>
      <c r="E34" s="115">
        <v>6.1000000000000004E-3</v>
      </c>
      <c r="F34" s="114">
        <f>D34*E34</f>
        <v>308.19314606337065</v>
      </c>
    </row>
    <row r="35" spans="1:6">
      <c r="A35" s="113" t="s">
        <v>106</v>
      </c>
      <c r="B35" s="101"/>
      <c r="C35" s="112"/>
      <c r="D35" s="101"/>
      <c r="E35" s="111"/>
      <c r="F35" s="110">
        <f>SUM(F30:F34)</f>
        <v>519828.20890789886</v>
      </c>
    </row>
    <row r="37" spans="1:6">
      <c r="A37" s="125" t="s">
        <v>119</v>
      </c>
      <c r="B37" s="121"/>
      <c r="C37" s="124" t="s">
        <v>118</v>
      </c>
      <c r="D37" s="123"/>
      <c r="E37" s="122"/>
      <c r="F37" s="121"/>
    </row>
    <row r="38" spans="1:6">
      <c r="A38" s="112" t="s">
        <v>113</v>
      </c>
      <c r="B38" s="120"/>
      <c r="C38" s="119" t="s">
        <v>117</v>
      </c>
      <c r="D38" s="204">
        <v>2014</v>
      </c>
      <c r="E38" s="205"/>
      <c r="F38" s="206"/>
    </row>
    <row r="39" spans="1:6">
      <c r="A39" s="118" t="str">
        <f>A30</f>
        <v xml:space="preserve">Residential </v>
      </c>
      <c r="B39" s="116"/>
      <c r="C39" s="117" t="str">
        <f t="shared" ref="C39:D43" si="4">C30</f>
        <v>kWh</v>
      </c>
      <c r="D39" s="116">
        <f t="shared" si="4"/>
        <v>39284229.287266366</v>
      </c>
      <c r="E39" s="115">
        <v>1.5E-3</v>
      </c>
      <c r="F39" s="114">
        <f t="shared" ref="F39:F43" si="5">D39*E39</f>
        <v>58926.343930899551</v>
      </c>
    </row>
    <row r="40" spans="1:6">
      <c r="A40" s="118" t="str">
        <f>A31</f>
        <v>General Service
&lt; 50 kW</v>
      </c>
      <c r="B40" s="116"/>
      <c r="C40" s="117" t="str">
        <f t="shared" si="4"/>
        <v>kWh</v>
      </c>
      <c r="D40" s="116">
        <f t="shared" si="4"/>
        <v>14170556.808439951</v>
      </c>
      <c r="E40" s="115">
        <v>1.2999999999999999E-3</v>
      </c>
      <c r="F40" s="114">
        <f t="shared" si="5"/>
        <v>18421.723850971935</v>
      </c>
    </row>
    <row r="41" spans="1:6">
      <c r="A41" s="118" t="str">
        <f>A32</f>
        <v>General Service
&gt; 50 kW</v>
      </c>
      <c r="B41" s="116"/>
      <c r="C41" s="117" t="str">
        <f t="shared" si="4"/>
        <v>kW</v>
      </c>
      <c r="D41" s="116">
        <f t="shared" si="4"/>
        <v>67293.665883490874</v>
      </c>
      <c r="E41" s="115">
        <v>0.55159999999999998</v>
      </c>
      <c r="F41" s="114">
        <f t="shared" si="5"/>
        <v>37119.186101333566</v>
      </c>
    </row>
    <row r="42" spans="1:6">
      <c r="A42" s="118" t="str">
        <f>A33</f>
        <v xml:space="preserve">Streetlights </v>
      </c>
      <c r="B42" s="116"/>
      <c r="C42" s="117" t="str">
        <f t="shared" si="4"/>
        <v>kW</v>
      </c>
      <c r="D42" s="116">
        <f t="shared" si="4"/>
        <v>1054.5336626166843</v>
      </c>
      <c r="E42" s="115">
        <v>0.42649999999999999</v>
      </c>
      <c r="F42" s="114">
        <f t="shared" si="5"/>
        <v>449.75860710601586</v>
      </c>
    </row>
    <row r="43" spans="1:6">
      <c r="A43" s="118" t="str">
        <f>A34</f>
        <v xml:space="preserve">Unmetered Loads </v>
      </c>
      <c r="B43" s="116"/>
      <c r="C43" s="117" t="str">
        <f t="shared" si="4"/>
        <v>kWh</v>
      </c>
      <c r="D43" s="116">
        <f t="shared" si="4"/>
        <v>50523.466567765681</v>
      </c>
      <c r="E43" s="115">
        <v>1.2999999999999999E-3</v>
      </c>
      <c r="F43" s="114">
        <f t="shared" si="5"/>
        <v>65.680506538095386</v>
      </c>
    </row>
    <row r="44" spans="1:6">
      <c r="A44" s="113" t="s">
        <v>106</v>
      </c>
      <c r="B44" s="101"/>
      <c r="C44" s="112"/>
      <c r="D44" s="101"/>
      <c r="E44" s="111"/>
      <c r="F44" s="110">
        <f>SUM(F39:F43)</f>
        <v>114982.69299684917</v>
      </c>
    </row>
    <row r="46" spans="1:6">
      <c r="A46" s="125" t="s">
        <v>115</v>
      </c>
      <c r="B46" s="121"/>
      <c r="C46" s="124"/>
      <c r="D46" s="123"/>
      <c r="E46" s="122"/>
      <c r="F46" s="121"/>
    </row>
    <row r="47" spans="1:6">
      <c r="A47" s="112" t="s">
        <v>113</v>
      </c>
      <c r="B47" s="120"/>
      <c r="C47" s="119"/>
      <c r="D47" s="204">
        <v>2014</v>
      </c>
      <c r="E47" s="205"/>
      <c r="F47" s="207"/>
    </row>
    <row r="48" spans="1:6">
      <c r="A48" s="118" t="str">
        <f>A39</f>
        <v xml:space="preserve">Residential </v>
      </c>
      <c r="B48" s="116"/>
      <c r="C48" s="117"/>
      <c r="D48" s="116">
        <f>D12+D21</f>
        <v>39284229.287266366</v>
      </c>
      <c r="E48" s="115">
        <v>4.4000000000000003E-3</v>
      </c>
      <c r="F48" s="114">
        <f t="shared" ref="F48:F52" si="6">D48*E48</f>
        <v>172850.60886397201</v>
      </c>
    </row>
    <row r="49" spans="1:6">
      <c r="A49" s="118" t="str">
        <f>A40</f>
        <v>General Service
&lt; 50 kW</v>
      </c>
      <c r="B49" s="116"/>
      <c r="C49" s="117"/>
      <c r="D49" s="116">
        <f>D13+D22</f>
        <v>14170556.808439951</v>
      </c>
      <c r="E49" s="115">
        <v>4.4000000000000003E-3</v>
      </c>
      <c r="F49" s="114">
        <f t="shared" si="6"/>
        <v>62350.449957135788</v>
      </c>
    </row>
    <row r="50" spans="1:6">
      <c r="A50" s="118" t="str">
        <f>A41</f>
        <v>General Service
&gt; 50 kW</v>
      </c>
      <c r="B50" s="116"/>
      <c r="C50" s="117"/>
      <c r="D50" s="116">
        <f>D14+D23</f>
        <v>27447202.364808612</v>
      </c>
      <c r="E50" s="115">
        <v>4.4000000000000003E-3</v>
      </c>
      <c r="F50" s="114">
        <f t="shared" si="6"/>
        <v>120767.6904051579</v>
      </c>
    </row>
    <row r="51" spans="1:6">
      <c r="A51" s="118" t="str">
        <f>A42</f>
        <v xml:space="preserve">Streetlights </v>
      </c>
      <c r="B51" s="116"/>
      <c r="C51" s="117"/>
      <c r="D51" s="116">
        <f>D15+D24</f>
        <v>381844.63195999997</v>
      </c>
      <c r="E51" s="115">
        <v>4.4000000000000003E-3</v>
      </c>
      <c r="F51" s="114">
        <f t="shared" si="6"/>
        <v>1680.1163806239999</v>
      </c>
    </row>
    <row r="52" spans="1:6">
      <c r="A52" s="118" t="str">
        <f>A43</f>
        <v xml:space="preserve">Unmetered Loads </v>
      </c>
      <c r="B52" s="116"/>
      <c r="C52" s="117"/>
      <c r="D52" s="116">
        <f>D16+D25</f>
        <v>50523.466567765681</v>
      </c>
      <c r="E52" s="115">
        <v>4.4000000000000003E-3</v>
      </c>
      <c r="F52" s="114">
        <f t="shared" si="6"/>
        <v>222.30325289816901</v>
      </c>
    </row>
    <row r="53" spans="1:6">
      <c r="A53" s="113" t="s">
        <v>106</v>
      </c>
      <c r="B53" s="101"/>
      <c r="C53" s="112"/>
      <c r="D53" s="101">
        <f>SUM(D48:D52)</f>
        <v>81334356.559042707</v>
      </c>
      <c r="E53" s="111"/>
      <c r="F53" s="110">
        <f>SUM(F48:F52)</f>
        <v>357871.16885978787</v>
      </c>
    </row>
    <row r="55" spans="1:6">
      <c r="A55" s="125" t="s">
        <v>114</v>
      </c>
      <c r="B55" s="121"/>
      <c r="C55" s="124"/>
      <c r="D55" s="123"/>
      <c r="E55" s="122"/>
      <c r="F55" s="121"/>
    </row>
    <row r="56" spans="1:6">
      <c r="A56" s="112" t="s">
        <v>113</v>
      </c>
      <c r="B56" s="120"/>
      <c r="C56" s="119"/>
      <c r="D56" s="208">
        <v>2014</v>
      </c>
      <c r="E56" s="205"/>
      <c r="F56" s="206"/>
    </row>
    <row r="57" spans="1:6">
      <c r="A57" s="118" t="str">
        <f>A48</f>
        <v xml:space="preserve">Residential </v>
      </c>
      <c r="B57" s="116"/>
      <c r="C57" s="117"/>
      <c r="D57" s="116">
        <f>D48</f>
        <v>39284229.287266366</v>
      </c>
      <c r="E57" s="115">
        <v>1.1999999999999999E-3</v>
      </c>
      <c r="F57" s="114">
        <f t="shared" ref="F57:F61" si="7">D57*E57</f>
        <v>47141.075144719638</v>
      </c>
    </row>
    <row r="58" spans="1:6">
      <c r="A58" s="118" t="str">
        <f>A49</f>
        <v>General Service
&lt; 50 kW</v>
      </c>
      <c r="B58" s="116"/>
      <c r="C58" s="117"/>
      <c r="D58" s="116">
        <f>D49</f>
        <v>14170556.808439951</v>
      </c>
      <c r="E58" s="115">
        <v>1.1999999999999999E-3</v>
      </c>
      <c r="F58" s="114">
        <f t="shared" si="7"/>
        <v>17004.668170127941</v>
      </c>
    </row>
    <row r="59" spans="1:6">
      <c r="A59" s="118" t="str">
        <f>A50</f>
        <v>General Service
&gt; 50 kW</v>
      </c>
      <c r="B59" s="116"/>
      <c r="C59" s="117"/>
      <c r="D59" s="116">
        <f>D50</f>
        <v>27447202.364808612</v>
      </c>
      <c r="E59" s="115">
        <v>1.1999999999999999E-3</v>
      </c>
      <c r="F59" s="114">
        <f t="shared" si="7"/>
        <v>32936.642837770334</v>
      </c>
    </row>
    <row r="60" spans="1:6">
      <c r="A60" s="118" t="str">
        <f>A51</f>
        <v xml:space="preserve">Streetlights </v>
      </c>
      <c r="B60" s="116"/>
      <c r="C60" s="117"/>
      <c r="D60" s="116">
        <f>D51</f>
        <v>381844.63195999997</v>
      </c>
      <c r="E60" s="115">
        <v>1.1999999999999999E-3</v>
      </c>
      <c r="F60" s="114">
        <f t="shared" si="7"/>
        <v>458.21355835199995</v>
      </c>
    </row>
    <row r="61" spans="1:6">
      <c r="A61" s="118" t="str">
        <f t="shared" ref="A61" si="8">A52</f>
        <v xml:space="preserve">Unmetered Loads </v>
      </c>
      <c r="B61" s="116"/>
      <c r="C61" s="117"/>
      <c r="D61" s="116">
        <f t="shared" ref="D61" si="9">D52</f>
        <v>50523.466567765681</v>
      </c>
      <c r="E61" s="115">
        <v>1.1999999999999999E-3</v>
      </c>
      <c r="F61" s="114">
        <f t="shared" si="7"/>
        <v>60.628159881318815</v>
      </c>
    </row>
    <row r="62" spans="1:6">
      <c r="A62" s="113" t="s">
        <v>106</v>
      </c>
      <c r="B62" s="101"/>
      <c r="C62" s="112"/>
      <c r="D62" s="101">
        <f>SUM(D57:D61)</f>
        <v>81334356.559042707</v>
      </c>
      <c r="E62" s="111"/>
      <c r="F62" s="110">
        <f>SUM(F57:F61)</f>
        <v>97601.227870851246</v>
      </c>
    </row>
    <row r="64" spans="1:6">
      <c r="A64" s="108"/>
      <c r="B64" s="109">
        <v>2014</v>
      </c>
    </row>
    <row r="65" spans="1:2">
      <c r="A65" s="108"/>
      <c r="B65" s="107"/>
    </row>
    <row r="66" spans="1:2">
      <c r="A66" s="104" t="s">
        <v>112</v>
      </c>
      <c r="B66" s="106">
        <f>F17+F26</f>
        <v>6866014.2427485194</v>
      </c>
    </row>
    <row r="67" spans="1:2">
      <c r="A67" s="104" t="s">
        <v>111</v>
      </c>
      <c r="B67" s="105">
        <f>F53</f>
        <v>357871.16885978787</v>
      </c>
    </row>
    <row r="68" spans="1:2">
      <c r="A68" s="104" t="s">
        <v>110</v>
      </c>
      <c r="B68" s="105">
        <f>F35</f>
        <v>519828.20890789886</v>
      </c>
    </row>
    <row r="69" spans="1:2">
      <c r="A69" s="104" t="s">
        <v>109</v>
      </c>
      <c r="B69" s="105">
        <f>F44</f>
        <v>114982.69299684917</v>
      </c>
    </row>
    <row r="70" spans="1:2">
      <c r="A70" s="104" t="s">
        <v>108</v>
      </c>
      <c r="B70" s="105">
        <f>F62</f>
        <v>97601.227870851246</v>
      </c>
    </row>
    <row r="71" spans="1:2">
      <c r="A71" s="104" t="s">
        <v>107</v>
      </c>
      <c r="B71" s="103"/>
    </row>
    <row r="72" spans="1:2">
      <c r="A72" s="102" t="s">
        <v>106</v>
      </c>
      <c r="B72" s="101">
        <f>SUM(B66:B71)</f>
        <v>7956297.5413839063</v>
      </c>
    </row>
  </sheetData>
  <mergeCells count="10">
    <mergeCell ref="D29:F29"/>
    <mergeCell ref="D38:F38"/>
    <mergeCell ref="D47:F47"/>
    <mergeCell ref="D56:F56"/>
    <mergeCell ref="B10:B11"/>
    <mergeCell ref="C10:C11"/>
    <mergeCell ref="D11:F11"/>
    <mergeCell ref="B19:B20"/>
    <mergeCell ref="C19:C20"/>
    <mergeCell ref="D20:F20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2013 COP Forecast</vt:lpstr>
      <vt:lpstr>2014 COP Forecast</vt:lpstr>
      <vt:lpstr>Sheet9</vt:lpstr>
      <vt:lpstr>'CDM Activity'!Print_Area</vt:lpstr>
      <vt:lpstr>'HDD and CDD'!Print_Area</vt:lpstr>
      <vt:lpstr>'Purchased Power Model '!Print_Area</vt:lpstr>
      <vt:lpstr>'Rate Class Customer Model'!Print_Area</vt:lpstr>
      <vt:lpstr>'Rate Class Energy Model'!Print_Area</vt:lpstr>
      <vt:lpstr>'Rate Class Load Model'!Print_Area</vt:lpstr>
    </vt:vector>
  </TitlesOfParts>
  <Company>London Hydro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Lori Cain</cp:lastModifiedBy>
  <cp:lastPrinted>2013-12-07T18:08:59Z</cp:lastPrinted>
  <dcterms:created xsi:type="dcterms:W3CDTF">2008-02-06T18:24:44Z</dcterms:created>
  <dcterms:modified xsi:type="dcterms:W3CDTF">2013-12-20T20:38:49Z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