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8610" windowHeight="10305" activeTab="0"/>
  </bookViews>
  <sheets>
    <sheet name="Meters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<sst xmlns="http://schemas.openxmlformats.org/spreadsheetml/2006/main" count="41" uniqueCount="36">
  <si>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Year</t>
  </si>
  <si>
    <t xml:space="preserve"> </t>
  </si>
  <si>
    <t># of years</t>
  </si>
  <si>
    <t>Indirect Allocations</t>
  </si>
  <si>
    <t>Capital Meters</t>
  </si>
  <si>
    <t>Cost (Meters)</t>
  </si>
  <si>
    <t>AFUDC</t>
  </si>
  <si>
    <t>Total</t>
  </si>
  <si>
    <t>a</t>
  </si>
  <si>
    <t>Stranded Meters</t>
  </si>
  <si>
    <t>b</t>
  </si>
  <si>
    <t>Cost (Standby from inventory)</t>
  </si>
  <si>
    <t>2009</t>
  </si>
  <si>
    <t>2010</t>
  </si>
  <si>
    <t>2012</t>
  </si>
  <si>
    <t>Accum Amort to 2008</t>
  </si>
  <si>
    <t>2011</t>
  </si>
  <si>
    <t>Total Accum to 2012</t>
  </si>
  <si>
    <t>ANNUAL AMORTIZATION</t>
  </si>
  <si>
    <t>Total Meter Capital Costs</t>
  </si>
  <si>
    <t>Accum Amort to 2008 - adj</t>
  </si>
  <si>
    <t>Adjusted Total Costs</t>
  </si>
  <si>
    <t>1860</t>
  </si>
  <si>
    <t>1555</t>
  </si>
  <si>
    <t>NBV @ 2012</t>
  </si>
  <si>
    <t>Scrap sale</t>
  </si>
  <si>
    <t>c=a+b</t>
  </si>
  <si>
    <t>e</t>
  </si>
  <si>
    <t>f</t>
  </si>
  <si>
    <t>g=e+f</t>
  </si>
  <si>
    <t>h</t>
  </si>
  <si>
    <t>i</t>
  </si>
  <si>
    <t>j</t>
  </si>
  <si>
    <t>k</t>
  </si>
  <si>
    <t>m=g+h+i+j+k</t>
  </si>
  <si>
    <t>NBV=c+m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</si>
</sst>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5" fontId="3" fillId="0" borderId="0" xfId="0" applyNumberFormat="1" applyFont="1" applyFill="1" applyAlignment="1">
      <alignment horizontal="center"/>
    </xf>
    <xf numFmtId="0" fontId="3" fillId="0" borderId="0" xfId="42" applyNumberFormat="1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5" fontId="4" fillId="0" borderId="0" xfId="44" applyNumberFormat="1" applyFont="1" applyAlignment="1">
      <alignment/>
    </xf>
    <xf numFmtId="5" fontId="3" fillId="0" borderId="0" xfId="44" applyNumberFormat="1" applyFont="1" applyAlignment="1">
      <alignment horizontal="center" vertical="top" wrapText="1"/>
    </xf>
    <xf numFmtId="5" fontId="3" fillId="0" borderId="0" xfId="44" applyNumberFormat="1" applyFont="1" applyAlignment="1" quotePrefix="1">
      <alignment horizontal="center" vertical="top" wrapText="1"/>
    </xf>
    <xf numFmtId="5" fontId="3" fillId="0" borderId="0" xfId="44" applyNumberFormat="1" applyFont="1" applyAlignment="1">
      <alignment horizontal="center"/>
    </xf>
    <xf numFmtId="44" fontId="4" fillId="0" borderId="0" xfId="0" applyNumberFormat="1" applyFont="1" applyAlignment="1">
      <alignment/>
    </xf>
    <xf numFmtId="164" fontId="4" fillId="0" borderId="0" xfId="44" applyNumberFormat="1" applyFont="1" applyAlignment="1">
      <alignment/>
    </xf>
    <xf numFmtId="44" fontId="3" fillId="0" borderId="10" xfId="44" applyFont="1" applyBorder="1" applyAlignment="1">
      <alignment/>
    </xf>
    <xf numFmtId="0" fontId="3" fillId="0" borderId="0" xfId="0" applyFont="1" applyAlignment="1">
      <alignment/>
    </xf>
    <xf numFmtId="44" fontId="4" fillId="0" borderId="0" xfId="44" applyFont="1" applyFill="1" applyAlignment="1">
      <alignment/>
    </xf>
    <xf numFmtId="0" fontId="4" fillId="0" borderId="0" xfId="0" applyFont="1" applyAlignment="1">
      <alignment horizontal="center"/>
    </xf>
    <xf numFmtId="5" fontId="3" fillId="33" borderId="0" xfId="44" applyNumberFormat="1" applyFont="1" applyFill="1" applyAlignment="1">
      <alignment horizontal="center" vertical="top" wrapText="1"/>
    </xf>
    <xf numFmtId="5" fontId="3" fillId="33" borderId="0" xfId="44" applyNumberFormat="1" applyFont="1" applyFill="1" applyAlignment="1">
      <alignment horizontal="center"/>
    </xf>
    <xf numFmtId="44" fontId="4" fillId="33" borderId="0" xfId="44" applyFont="1" applyFill="1" applyAlignment="1">
      <alignment/>
    </xf>
    <xf numFmtId="164" fontId="4" fillId="33" borderId="0" xfId="44" applyNumberFormat="1" applyFont="1" applyFill="1" applyAlignment="1">
      <alignment/>
    </xf>
    <xf numFmtId="44" fontId="3" fillId="33" borderId="10" xfId="44" applyFont="1" applyFill="1" applyBorder="1" applyAlignment="1">
      <alignment/>
    </xf>
    <xf numFmtId="5" fontId="3" fillId="0" borderId="0" xfId="44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5" fontId="3" fillId="0" borderId="0" xfId="44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"/>
    </sheetView>
  </sheetViews>
  <sheetFormatPr defaultColWidth="9.140625" defaultRowHeight="12.75"/>
  <cols>
    <col min="1" max="1" width="9.57421875" style="6" customWidth="1"/>
    <col min="2" max="2" width="0.9921875" style="6" customWidth="1"/>
    <col min="3" max="6" width="14.7109375" style="8" hidden="1" customWidth="1"/>
    <col min="7" max="9" width="14.7109375" style="8" customWidth="1"/>
    <col min="10" max="10" width="1.7109375" style="8" customWidth="1"/>
    <col min="11" max="13" width="14.7109375" style="8" customWidth="1"/>
    <col min="14" max="14" width="1.7109375" style="8" customWidth="1"/>
    <col min="15" max="19" width="14.7109375" style="8" customWidth="1"/>
    <col min="20" max="20" width="1.7109375" style="6" customWidth="1"/>
    <col min="21" max="21" width="13.57421875" style="6" bestFit="1" customWidth="1"/>
    <col min="22" max="16384" width="9.140625" style="6" customWidth="1"/>
  </cols>
  <sheetData>
    <row r="1" spans="1:9" ht="15">
      <c r="A1" s="24" t="s">
        <v>4</v>
      </c>
      <c r="I1" s="2" t="s">
        <v>2</v>
      </c>
    </row>
    <row r="2" spans="1:19" ht="15">
      <c r="A2" s="25" t="s">
        <v>22</v>
      </c>
      <c r="C2" s="11"/>
      <c r="D2" s="11"/>
      <c r="E2" s="11"/>
      <c r="F2" s="11"/>
      <c r="G2" s="11"/>
      <c r="H2" s="11"/>
      <c r="I2" s="3">
        <v>25</v>
      </c>
      <c r="J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6" t="s">
        <v>18</v>
      </c>
      <c r="P3" s="26"/>
      <c r="Q3" s="26"/>
      <c r="R3" s="26"/>
      <c r="S3" s="11"/>
    </row>
    <row r="4" spans="1:21" ht="25.5">
      <c r="A4" s="4" t="s">
        <v>0</v>
      </c>
      <c r="B4" s="4"/>
      <c r="C4" s="9" t="s">
        <v>5</v>
      </c>
      <c r="D4" s="9" t="s">
        <v>11</v>
      </c>
      <c r="E4" s="9" t="s">
        <v>3</v>
      </c>
      <c r="F4" s="9" t="s">
        <v>6</v>
      </c>
      <c r="G4" s="9" t="s">
        <v>19</v>
      </c>
      <c r="H4" s="9" t="s">
        <v>9</v>
      </c>
      <c r="I4" s="9" t="s">
        <v>21</v>
      </c>
      <c r="J4" s="18"/>
      <c r="K4" s="9" t="s">
        <v>15</v>
      </c>
      <c r="L4" s="9" t="s">
        <v>9</v>
      </c>
      <c r="M4" s="9" t="s">
        <v>20</v>
      </c>
      <c r="N4" s="18"/>
      <c r="O4" s="10" t="s">
        <v>12</v>
      </c>
      <c r="P4" s="10" t="s">
        <v>13</v>
      </c>
      <c r="Q4" s="10" t="s">
        <v>16</v>
      </c>
      <c r="R4" s="10" t="s">
        <v>14</v>
      </c>
      <c r="S4" s="10" t="s">
        <v>17</v>
      </c>
      <c r="U4" s="15" t="s">
        <v>24</v>
      </c>
    </row>
    <row r="5" spans="1:21" ht="12.75">
      <c r="A5" s="4"/>
      <c r="B5" s="4"/>
      <c r="C5" s="9"/>
      <c r="D5" s="9"/>
      <c r="E5" s="9"/>
      <c r="F5" s="9"/>
      <c r="G5" s="9" t="s">
        <v>8</v>
      </c>
      <c r="H5" s="9" t="s">
        <v>10</v>
      </c>
      <c r="I5" s="9" t="s">
        <v>26</v>
      </c>
      <c r="J5" s="18"/>
      <c r="K5" s="9" t="s">
        <v>27</v>
      </c>
      <c r="L5" s="9" t="s">
        <v>28</v>
      </c>
      <c r="M5" s="9" t="s">
        <v>29</v>
      </c>
      <c r="N5" s="18"/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U5" s="10" t="s">
        <v>35</v>
      </c>
    </row>
    <row r="6" spans="3:19" ht="12.75">
      <c r="C6" s="11"/>
      <c r="D6" s="11"/>
      <c r="E6" s="11"/>
      <c r="F6" s="11"/>
      <c r="G6" s="23"/>
      <c r="H6" s="11"/>
      <c r="I6" s="11"/>
      <c r="J6" s="19"/>
      <c r="K6" s="11"/>
      <c r="L6" s="11"/>
      <c r="M6" s="11"/>
      <c r="N6" s="19"/>
      <c r="O6" s="11"/>
      <c r="P6" s="11"/>
      <c r="Q6" s="11"/>
      <c r="R6" s="11"/>
      <c r="S6" s="11"/>
    </row>
    <row r="7" spans="1:21" ht="12.75">
      <c r="A7" s="17">
        <v>2000</v>
      </c>
      <c r="C7" s="7">
        <v>3877962.46</v>
      </c>
      <c r="D7" s="7">
        <v>176619.61</v>
      </c>
      <c r="E7" s="7">
        <v>0</v>
      </c>
      <c r="F7" s="7">
        <v>0</v>
      </c>
      <c r="G7" s="7">
        <f>SUM(C7:F7)</f>
        <v>4054582.07</v>
      </c>
      <c r="H7" s="7">
        <v>-3040937.0000000005</v>
      </c>
      <c r="I7" s="7">
        <f>SUM(G7:H7)</f>
        <v>1013645.0699999994</v>
      </c>
      <c r="J7" s="20"/>
      <c r="K7" s="7">
        <f>-1266806.46-57694.61</f>
        <v>-1324501.07</v>
      </c>
      <c r="L7" s="7">
        <v>993368.4100000001</v>
      </c>
      <c r="M7" s="7">
        <f>SUM(K7:L7)</f>
        <v>-331132.6599999999</v>
      </c>
      <c r="N7" s="20"/>
      <c r="O7" s="7">
        <f aca="true" t="shared" si="0" ref="O7:R11">ROUND(-$I7/$I$2,2)</f>
        <v>-40545.8</v>
      </c>
      <c r="P7" s="7">
        <f t="shared" si="0"/>
        <v>-40545.8</v>
      </c>
      <c r="Q7" s="7">
        <f t="shared" si="0"/>
        <v>-40545.8</v>
      </c>
      <c r="R7" s="7">
        <f t="shared" si="0"/>
        <v>-40545.8</v>
      </c>
      <c r="S7" s="7">
        <f>SUM(M7:R7)</f>
        <v>-493315.85999999987</v>
      </c>
      <c r="U7" s="12">
        <f>+I7+S7</f>
        <v>520329.2099999995</v>
      </c>
    </row>
    <row r="8" spans="1:21" ht="12.75">
      <c r="A8" s="17">
        <f aca="true" t="shared" si="1" ref="A8:A16">A7+1</f>
        <v>2001</v>
      </c>
      <c r="C8" s="7">
        <v>187136.92</v>
      </c>
      <c r="D8" s="7">
        <v>36103.61</v>
      </c>
      <c r="E8" s="7">
        <v>0</v>
      </c>
      <c r="F8" s="7">
        <v>0</v>
      </c>
      <c r="G8" s="7">
        <f aca="true" t="shared" si="2" ref="G8:G19">SUM(C8:F8)</f>
        <v>223240.53000000003</v>
      </c>
      <c r="H8" s="7">
        <v>-167431</v>
      </c>
      <c r="I8" s="7">
        <f aca="true" t="shared" si="3" ref="I8:I19">SUM(G8:H8)</f>
        <v>55809.53000000003</v>
      </c>
      <c r="J8" s="20"/>
      <c r="K8" s="7">
        <f>-59891.92-11555.61</f>
        <v>-71447.53</v>
      </c>
      <c r="L8" s="7">
        <v>53586.62</v>
      </c>
      <c r="M8" s="7">
        <f aca="true" t="shared" si="4" ref="M8:M19">SUM(K8:L8)</f>
        <v>-17860.909999999996</v>
      </c>
      <c r="N8" s="20"/>
      <c r="O8" s="7">
        <f t="shared" si="0"/>
        <v>-2232.38</v>
      </c>
      <c r="P8" s="7">
        <f t="shared" si="0"/>
        <v>-2232.38</v>
      </c>
      <c r="Q8" s="7">
        <f t="shared" si="0"/>
        <v>-2232.38</v>
      </c>
      <c r="R8" s="7">
        <f t="shared" si="0"/>
        <v>-2232.38</v>
      </c>
      <c r="S8" s="7">
        <f aca="true" t="shared" si="5" ref="S8:S19">SUM(M8:R8)</f>
        <v>-26790.43</v>
      </c>
      <c r="U8" s="12">
        <f aca="true" t="shared" si="6" ref="U8:U19">+I8+S8</f>
        <v>29019.100000000028</v>
      </c>
    </row>
    <row r="9" spans="1:21" ht="12.75">
      <c r="A9" s="17">
        <f t="shared" si="1"/>
        <v>2002</v>
      </c>
      <c r="C9" s="7">
        <v>236112.03</v>
      </c>
      <c r="D9" s="7">
        <v>-13377.11</v>
      </c>
      <c r="E9" s="7">
        <v>0</v>
      </c>
      <c r="F9" s="7">
        <v>0</v>
      </c>
      <c r="G9" s="7">
        <f t="shared" si="2"/>
        <v>222734.91999999998</v>
      </c>
      <c r="H9" s="7">
        <v>-167051</v>
      </c>
      <c r="I9" s="7">
        <f t="shared" si="3"/>
        <v>55683.919999999984</v>
      </c>
      <c r="J9" s="20"/>
      <c r="K9" s="7">
        <f>-66120.03+3747.11</f>
        <v>-62372.92</v>
      </c>
      <c r="L9" s="7">
        <v>46788.12</v>
      </c>
      <c r="M9" s="7">
        <f t="shared" si="4"/>
        <v>-15584.799999999996</v>
      </c>
      <c r="N9" s="20"/>
      <c r="O9" s="7">
        <f t="shared" si="0"/>
        <v>-2227.36</v>
      </c>
      <c r="P9" s="7">
        <f t="shared" si="0"/>
        <v>-2227.36</v>
      </c>
      <c r="Q9" s="7">
        <f t="shared" si="0"/>
        <v>-2227.36</v>
      </c>
      <c r="R9" s="7">
        <f t="shared" si="0"/>
        <v>-2227.36</v>
      </c>
      <c r="S9" s="7">
        <f t="shared" si="5"/>
        <v>-24494.239999999998</v>
      </c>
      <c r="U9" s="12">
        <f t="shared" si="6"/>
        <v>31189.679999999986</v>
      </c>
    </row>
    <row r="10" spans="1:21" ht="12.75">
      <c r="A10" s="17">
        <f t="shared" si="1"/>
        <v>2003</v>
      </c>
      <c r="C10" s="7">
        <v>238007.16</v>
      </c>
      <c r="D10" s="7">
        <v>-7947.8</v>
      </c>
      <c r="E10" s="7">
        <v>0</v>
      </c>
      <c r="F10" s="7">
        <v>0</v>
      </c>
      <c r="G10" s="7">
        <f t="shared" si="2"/>
        <v>230059.36000000002</v>
      </c>
      <c r="H10" s="7">
        <v>-168975.56</v>
      </c>
      <c r="I10" s="7">
        <f t="shared" si="3"/>
        <v>61083.80000000002</v>
      </c>
      <c r="J10" s="20"/>
      <c r="K10" s="7">
        <f>-57127.16+1905.8</f>
        <v>-55221.36</v>
      </c>
      <c r="L10" s="7">
        <v>40558.09</v>
      </c>
      <c r="M10" s="7">
        <f t="shared" si="4"/>
        <v>-14663.270000000004</v>
      </c>
      <c r="N10" s="20"/>
      <c r="O10" s="7">
        <f t="shared" si="0"/>
        <v>-2443.35</v>
      </c>
      <c r="P10" s="7">
        <f t="shared" si="0"/>
        <v>-2443.35</v>
      </c>
      <c r="Q10" s="7">
        <f t="shared" si="0"/>
        <v>-2443.35</v>
      </c>
      <c r="R10" s="7">
        <f t="shared" si="0"/>
        <v>-2443.35</v>
      </c>
      <c r="S10" s="7">
        <f t="shared" si="5"/>
        <v>-24436.67</v>
      </c>
      <c r="U10" s="12">
        <f t="shared" si="6"/>
        <v>36647.13000000002</v>
      </c>
    </row>
    <row r="11" spans="1:21" ht="12.75">
      <c r="A11" s="17">
        <f t="shared" si="1"/>
        <v>2004</v>
      </c>
      <c r="C11" s="7">
        <v>500057.08</v>
      </c>
      <c r="D11" s="7">
        <v>-116927.79</v>
      </c>
      <c r="E11" s="7">
        <v>0</v>
      </c>
      <c r="F11" s="7">
        <v>0</v>
      </c>
      <c r="G11" s="7">
        <f>SUM(C11:F11)</f>
        <v>383129.29000000004</v>
      </c>
      <c r="H11" s="7">
        <v>-160426.84</v>
      </c>
      <c r="I11" s="7">
        <f t="shared" si="3"/>
        <v>222702.45000000004</v>
      </c>
      <c r="J11" s="20"/>
      <c r="K11" s="7">
        <f>-100017.08+23387.79</f>
        <v>-76629.29000000001</v>
      </c>
      <c r="L11" s="7">
        <v>32089.09</v>
      </c>
      <c r="M11" s="7">
        <f t="shared" si="4"/>
        <v>-44540.20000000001</v>
      </c>
      <c r="N11" s="20"/>
      <c r="O11" s="7">
        <f t="shared" si="0"/>
        <v>-8908.1</v>
      </c>
      <c r="P11" s="7">
        <f t="shared" si="0"/>
        <v>-8908.1</v>
      </c>
      <c r="Q11" s="7">
        <f t="shared" si="0"/>
        <v>-8908.1</v>
      </c>
      <c r="R11" s="7">
        <f t="shared" si="0"/>
        <v>-8908.1</v>
      </c>
      <c r="S11" s="7">
        <f t="shared" si="5"/>
        <v>-80172.60000000002</v>
      </c>
      <c r="U11" s="12">
        <f t="shared" si="6"/>
        <v>142529.85000000003</v>
      </c>
    </row>
    <row r="12" spans="1:21" ht="12.75">
      <c r="A12" s="17">
        <f t="shared" si="1"/>
        <v>2005</v>
      </c>
      <c r="C12" s="7">
        <v>557847.27</v>
      </c>
      <c r="D12" s="7">
        <v>17265.2</v>
      </c>
      <c r="E12" s="7">
        <v>0</v>
      </c>
      <c r="F12" s="7">
        <v>0</v>
      </c>
      <c r="G12" s="7">
        <f t="shared" si="2"/>
        <v>575112.47</v>
      </c>
      <c r="H12" s="7">
        <v>-408559.38</v>
      </c>
      <c r="I12" s="7">
        <f t="shared" si="3"/>
        <v>166553.08999999997</v>
      </c>
      <c r="J12" s="20"/>
      <c r="K12" s="7">
        <f>-89253.27-2754.2</f>
        <v>-92007.47</v>
      </c>
      <c r="L12" s="7">
        <v>65372.66</v>
      </c>
      <c r="M12" s="7">
        <f t="shared" si="4"/>
        <v>-26634.809999999998</v>
      </c>
      <c r="N12" s="20"/>
      <c r="O12" s="7">
        <f>ROUND(-$I12/$I$2,2)-0.01</f>
        <v>-6662.13</v>
      </c>
      <c r="P12" s="7">
        <f>ROUND(-$I12/$I$2,2)-0.01</f>
        <v>-6662.13</v>
      </c>
      <c r="Q12" s="7">
        <f>ROUND(-$I12/$I$2,2)-0.01</f>
        <v>-6662.13</v>
      </c>
      <c r="R12" s="7">
        <f>ROUND(-$I12/$I$2,2)-0.01</f>
        <v>-6662.13</v>
      </c>
      <c r="S12" s="7">
        <f t="shared" si="5"/>
        <v>-53283.32999999999</v>
      </c>
      <c r="U12" s="12">
        <f t="shared" si="6"/>
        <v>113269.75999999998</v>
      </c>
    </row>
    <row r="13" spans="1:21" ht="12.75">
      <c r="A13" s="17">
        <f t="shared" si="1"/>
        <v>2006</v>
      </c>
      <c r="C13" s="7">
        <v>644386.65</v>
      </c>
      <c r="D13" s="7">
        <v>42606.98</v>
      </c>
      <c r="E13" s="7">
        <v>123544</v>
      </c>
      <c r="F13" s="7">
        <v>0</v>
      </c>
      <c r="G13" s="7">
        <f t="shared" si="2"/>
        <v>810537.63</v>
      </c>
      <c r="H13" s="7">
        <v>-725729.42</v>
      </c>
      <c r="I13" s="7">
        <f t="shared" si="3"/>
        <v>84808.20999999996</v>
      </c>
      <c r="J13" s="20"/>
      <c r="K13" s="7">
        <f>-77331.13-5118.98-14825.52</f>
        <v>-97275.63</v>
      </c>
      <c r="L13" s="7">
        <v>87096.4</v>
      </c>
      <c r="M13" s="7">
        <f t="shared" si="4"/>
        <v>-10179.23000000001</v>
      </c>
      <c r="N13" s="20"/>
      <c r="O13" s="7">
        <f aca="true" t="shared" si="7" ref="O13:R16">ROUND(-$I13/$I$2,2)</f>
        <v>-3392.33</v>
      </c>
      <c r="P13" s="7">
        <f t="shared" si="7"/>
        <v>-3392.33</v>
      </c>
      <c r="Q13" s="7">
        <f t="shared" si="7"/>
        <v>-3392.33</v>
      </c>
      <c r="R13" s="7">
        <f t="shared" si="7"/>
        <v>-3392.33</v>
      </c>
      <c r="S13" s="7">
        <f t="shared" si="5"/>
        <v>-23748.55000000001</v>
      </c>
      <c r="U13" s="12">
        <f t="shared" si="6"/>
        <v>61059.65999999995</v>
      </c>
    </row>
    <row r="14" spans="1:21" ht="12.75">
      <c r="A14" s="17">
        <f t="shared" si="1"/>
        <v>2007</v>
      </c>
      <c r="C14" s="7">
        <v>465690.83</v>
      </c>
      <c r="D14" s="7">
        <v>-70479.78</v>
      </c>
      <c r="E14" s="7">
        <v>65528</v>
      </c>
      <c r="F14" s="7">
        <v>0</v>
      </c>
      <c r="G14" s="7">
        <f t="shared" si="2"/>
        <v>460739.05000000005</v>
      </c>
      <c r="H14" s="7">
        <v>-330297.8</v>
      </c>
      <c r="I14" s="7">
        <f t="shared" si="3"/>
        <v>130441.25000000006</v>
      </c>
      <c r="J14" s="20"/>
      <c r="K14" s="7">
        <f>-37246.83+5642.78-5245</f>
        <v>-36849.05</v>
      </c>
      <c r="L14" s="7">
        <v>26416.57</v>
      </c>
      <c r="M14" s="7">
        <f t="shared" si="4"/>
        <v>-10432.480000000003</v>
      </c>
      <c r="N14" s="20"/>
      <c r="O14" s="7">
        <f t="shared" si="7"/>
        <v>-5217.65</v>
      </c>
      <c r="P14" s="7">
        <f t="shared" si="7"/>
        <v>-5217.65</v>
      </c>
      <c r="Q14" s="7">
        <f t="shared" si="7"/>
        <v>-5217.65</v>
      </c>
      <c r="R14" s="7">
        <f t="shared" si="7"/>
        <v>-5217.65</v>
      </c>
      <c r="S14" s="7">
        <f t="shared" si="5"/>
        <v>-31303.08</v>
      </c>
      <c r="U14" s="12">
        <f t="shared" si="6"/>
        <v>99138.17000000006</v>
      </c>
    </row>
    <row r="15" spans="1:21" ht="12.75">
      <c r="A15" s="17">
        <f t="shared" si="1"/>
        <v>2008</v>
      </c>
      <c r="C15" s="7">
        <v>176305.44</v>
      </c>
      <c r="D15" s="7">
        <v>-22087.75</v>
      </c>
      <c r="E15" s="7">
        <v>99708.74</v>
      </c>
      <c r="F15" s="7">
        <v>5793.77</v>
      </c>
      <c r="G15" s="7">
        <f t="shared" si="2"/>
        <v>259720.19999999998</v>
      </c>
      <c r="H15" s="7">
        <v>-217698.62</v>
      </c>
      <c r="I15" s="7">
        <f t="shared" si="3"/>
        <v>42021.57999999999</v>
      </c>
      <c r="J15" s="20"/>
      <c r="K15" s="7">
        <f>-7057.44+871.75-3996.74-225.77</f>
        <v>-10408.2</v>
      </c>
      <c r="L15" s="7">
        <v>8708.07</v>
      </c>
      <c r="M15" s="7">
        <f t="shared" si="4"/>
        <v>-1700.130000000001</v>
      </c>
      <c r="N15" s="20"/>
      <c r="O15" s="7">
        <f t="shared" si="7"/>
        <v>-1680.86</v>
      </c>
      <c r="P15" s="7">
        <f t="shared" si="7"/>
        <v>-1680.86</v>
      </c>
      <c r="Q15" s="7">
        <f t="shared" si="7"/>
        <v>-1680.86</v>
      </c>
      <c r="R15" s="7">
        <f t="shared" si="7"/>
        <v>-1680.86</v>
      </c>
      <c r="S15" s="7">
        <f t="shared" si="5"/>
        <v>-8423.57</v>
      </c>
      <c r="U15" s="12">
        <f t="shared" si="6"/>
        <v>33598.00999999999</v>
      </c>
    </row>
    <row r="16" spans="1:21" ht="12.75">
      <c r="A16" s="17">
        <f t="shared" si="1"/>
        <v>2009</v>
      </c>
      <c r="C16" s="7">
        <v>245773.07</v>
      </c>
      <c r="D16" s="7">
        <v>21440.22</v>
      </c>
      <c r="E16" s="7">
        <v>150148.66</v>
      </c>
      <c r="F16" s="7">
        <v>7394.24</v>
      </c>
      <c r="G16" s="7">
        <f t="shared" si="2"/>
        <v>424756.19000000006</v>
      </c>
      <c r="H16" s="7"/>
      <c r="I16" s="7">
        <f t="shared" si="3"/>
        <v>424756.19000000006</v>
      </c>
      <c r="J16" s="20"/>
      <c r="K16" s="7">
        <v>0</v>
      </c>
      <c r="L16" s="7">
        <v>0</v>
      </c>
      <c r="M16" s="7">
        <f t="shared" si="4"/>
        <v>0</v>
      </c>
      <c r="N16" s="20"/>
      <c r="O16" s="7">
        <f t="shared" si="7"/>
        <v>-16990.25</v>
      </c>
      <c r="P16" s="7">
        <f t="shared" si="7"/>
        <v>-16990.25</v>
      </c>
      <c r="Q16" s="16">
        <f t="shared" si="7"/>
        <v>-16990.25</v>
      </c>
      <c r="R16" s="7">
        <f t="shared" si="7"/>
        <v>-16990.25</v>
      </c>
      <c r="S16" s="7">
        <f t="shared" si="5"/>
        <v>-67961</v>
      </c>
      <c r="U16" s="12">
        <f t="shared" si="6"/>
        <v>356795.19000000006</v>
      </c>
    </row>
    <row r="17" spans="1:21" ht="12.75">
      <c r="A17" s="17">
        <f>A16+1</f>
        <v>2010</v>
      </c>
      <c r="C17" s="7">
        <v>874017.35</v>
      </c>
      <c r="D17" s="7">
        <v>-17621.81</v>
      </c>
      <c r="E17" s="7">
        <v>229220.31</v>
      </c>
      <c r="F17" s="7">
        <v>6675.03</v>
      </c>
      <c r="G17" s="7">
        <f t="shared" si="2"/>
        <v>1092290.88</v>
      </c>
      <c r="H17" s="7"/>
      <c r="I17" s="7">
        <f t="shared" si="3"/>
        <v>1092290.88</v>
      </c>
      <c r="J17" s="20"/>
      <c r="K17" s="7">
        <v>0</v>
      </c>
      <c r="L17" s="7">
        <v>0</v>
      </c>
      <c r="M17" s="7">
        <f t="shared" si="4"/>
        <v>0</v>
      </c>
      <c r="N17" s="20"/>
      <c r="O17" s="7"/>
      <c r="P17" s="7">
        <f>ROUND(-$I17/$I$2,2)+0.01</f>
        <v>-43691.63</v>
      </c>
      <c r="Q17" s="16">
        <f>ROUND(-$I17/$I$2,2)+0.01</f>
        <v>-43691.63</v>
      </c>
      <c r="R17" s="7">
        <f>ROUND(-$I17/$I$2,2)+0.01</f>
        <v>-43691.63</v>
      </c>
      <c r="S17" s="7">
        <f t="shared" si="5"/>
        <v>-131074.88999999998</v>
      </c>
      <c r="U17" s="12">
        <f t="shared" si="6"/>
        <v>961215.9899999999</v>
      </c>
    </row>
    <row r="18" spans="1:21" ht="12.75">
      <c r="A18" s="17">
        <v>2011</v>
      </c>
      <c r="C18" s="7">
        <v>156768.69</v>
      </c>
      <c r="D18" s="7">
        <v>436.05</v>
      </c>
      <c r="E18" s="7">
        <v>251740.66</v>
      </c>
      <c r="F18" s="7">
        <v>4392.62</v>
      </c>
      <c r="G18" s="7">
        <f t="shared" si="2"/>
        <v>413338.02</v>
      </c>
      <c r="H18" s="7"/>
      <c r="I18" s="7">
        <f t="shared" si="3"/>
        <v>413338.02</v>
      </c>
      <c r="J18" s="20"/>
      <c r="K18" s="7">
        <v>0</v>
      </c>
      <c r="L18" s="7">
        <v>0</v>
      </c>
      <c r="M18" s="7">
        <f t="shared" si="4"/>
        <v>0</v>
      </c>
      <c r="N18" s="20"/>
      <c r="O18" s="7"/>
      <c r="P18" s="7"/>
      <c r="Q18" s="16">
        <f>ROUND(-$I18/$I$2,2)</f>
        <v>-16533.52</v>
      </c>
      <c r="R18" s="7">
        <f>ROUND(-$I18/$I$2,2)</f>
        <v>-16533.52</v>
      </c>
      <c r="S18" s="7">
        <f t="shared" si="5"/>
        <v>-33067.04</v>
      </c>
      <c r="U18" s="12">
        <f t="shared" si="6"/>
        <v>380270.98000000004</v>
      </c>
    </row>
    <row r="19" spans="1:21" ht="12.75">
      <c r="A19" s="17">
        <v>2012</v>
      </c>
      <c r="C19" s="7">
        <v>89040.32</v>
      </c>
      <c r="D19" s="7">
        <v>585.26</v>
      </c>
      <c r="E19" s="7">
        <v>67051.91</v>
      </c>
      <c r="F19" s="7">
        <v>1699.29</v>
      </c>
      <c r="G19" s="7">
        <f t="shared" si="2"/>
        <v>158376.78</v>
      </c>
      <c r="H19" s="7"/>
      <c r="I19" s="7">
        <f t="shared" si="3"/>
        <v>158376.78</v>
      </c>
      <c r="J19" s="20"/>
      <c r="K19" s="7">
        <v>0</v>
      </c>
      <c r="L19" s="7">
        <v>0</v>
      </c>
      <c r="M19" s="7">
        <f t="shared" si="4"/>
        <v>0</v>
      </c>
      <c r="N19" s="20"/>
      <c r="O19" s="7"/>
      <c r="P19" s="7"/>
      <c r="Q19" s="7"/>
      <c r="R19" s="7">
        <f>ROUND(-$I19/$I$2,2)+38</f>
        <v>-6297.07</v>
      </c>
      <c r="S19" s="7">
        <f t="shared" si="5"/>
        <v>-6297.07</v>
      </c>
      <c r="U19" s="12">
        <f t="shared" si="6"/>
        <v>152079.71</v>
      </c>
    </row>
    <row r="20" spans="1:19" ht="12.75">
      <c r="A20" s="6" t="s">
        <v>1</v>
      </c>
      <c r="C20" s="13"/>
      <c r="D20" s="13"/>
      <c r="E20" s="13"/>
      <c r="F20" s="13"/>
      <c r="G20" s="13"/>
      <c r="H20" s="13"/>
      <c r="I20" s="13"/>
      <c r="J20" s="21"/>
      <c r="K20" s="13"/>
      <c r="L20" s="13"/>
      <c r="M20" s="13"/>
      <c r="N20" s="21"/>
      <c r="O20" s="13"/>
      <c r="P20" s="13"/>
      <c r="Q20" s="13"/>
      <c r="R20" s="13"/>
      <c r="S20" s="13"/>
    </row>
    <row r="21" spans="1:21" ht="13.5" thickBot="1">
      <c r="A21" s="5" t="s">
        <v>7</v>
      </c>
      <c r="B21" s="5"/>
      <c r="C21" s="14">
        <f aca="true" t="shared" si="8" ref="C21:I21">SUM(C7:C20)</f>
        <v>8249105.270000001</v>
      </c>
      <c r="D21" s="14">
        <f t="shared" si="8"/>
        <v>46614.89000000002</v>
      </c>
      <c r="E21" s="14">
        <f t="shared" si="8"/>
        <v>986942.28</v>
      </c>
      <c r="F21" s="14">
        <f t="shared" si="8"/>
        <v>25954.95</v>
      </c>
      <c r="G21" s="14">
        <f t="shared" si="8"/>
        <v>9308617.389999999</v>
      </c>
      <c r="H21" s="14">
        <f t="shared" si="8"/>
        <v>-5387106.62</v>
      </c>
      <c r="I21" s="14">
        <f t="shared" si="8"/>
        <v>3921510.769999999</v>
      </c>
      <c r="J21" s="22"/>
      <c r="K21" s="14">
        <f>SUM(K7:K20)</f>
        <v>-1826712.52</v>
      </c>
      <c r="L21" s="14">
        <f>SUM(L7:L20)</f>
        <v>1353984.0300000003</v>
      </c>
      <c r="M21" s="14">
        <f>SUM(M7:M20)</f>
        <v>-472728.4899999999</v>
      </c>
      <c r="N21" s="22"/>
      <c r="O21" s="14">
        <f>SUM(O7:O20)</f>
        <v>-90300.20999999999</v>
      </c>
      <c r="P21" s="14">
        <f>SUM(P7:P20)</f>
        <v>-133991.84</v>
      </c>
      <c r="Q21" s="14">
        <f>SUM(Q7:Q20)</f>
        <v>-150525.36</v>
      </c>
      <c r="R21" s="14">
        <f>SUM(R7:R20)</f>
        <v>-156822.43</v>
      </c>
      <c r="S21" s="14">
        <f>SUM(S7:S20)</f>
        <v>-1004368.3299999998</v>
      </c>
      <c r="U21" s="14">
        <f>SUM(U7:U20)</f>
        <v>2917142.439999999</v>
      </c>
    </row>
    <row r="22" spans="3:19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4" ht="15">
      <c r="A24" s="24" t="s">
        <v>9</v>
      </c>
    </row>
    <row r="25" ht="15">
      <c r="A25" s="25" t="s">
        <v>23</v>
      </c>
    </row>
    <row r="27" spans="1:21" ht="12.75">
      <c r="A27" s="17">
        <v>2000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>-H7</f>
        <v>3040937.0000000005</v>
      </c>
      <c r="I27" s="7">
        <f>SUM(G27:H27)</f>
        <v>3040937.0000000005</v>
      </c>
      <c r="J27" s="20"/>
      <c r="K27" s="7">
        <v>0</v>
      </c>
      <c r="L27" s="7">
        <f>-L7</f>
        <v>-993368.4100000001</v>
      </c>
      <c r="M27" s="7">
        <f>SUM(K27:L27)</f>
        <v>-993368.4100000001</v>
      </c>
      <c r="N27" s="20"/>
      <c r="O27" s="7">
        <f aca="true" t="shared" si="9" ref="O27:R35">ROUND(-$I27/$I$2,2)</f>
        <v>-121637.48</v>
      </c>
      <c r="P27" s="7">
        <f t="shared" si="9"/>
        <v>-121637.48</v>
      </c>
      <c r="Q27" s="7">
        <f t="shared" si="9"/>
        <v>-121637.48</v>
      </c>
      <c r="R27" s="7">
        <f t="shared" si="9"/>
        <v>-121637.48</v>
      </c>
      <c r="S27" s="7">
        <f>SUM(M27:R27)</f>
        <v>-1479918.33</v>
      </c>
      <c r="U27" s="12">
        <f aca="true" t="shared" si="10" ref="U27:U37">+I27+S27</f>
        <v>1561018.6700000004</v>
      </c>
    </row>
    <row r="28" spans="1:21" ht="12.75">
      <c r="A28" s="17">
        <f aca="true" t="shared" si="11" ref="A28:A35">A27+1</f>
        <v>2001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aca="true" t="shared" si="12" ref="H28:H35">-H8</f>
        <v>167431</v>
      </c>
      <c r="I28" s="7">
        <f aca="true" t="shared" si="13" ref="I28:I37">SUM(G28:H28)</f>
        <v>167431</v>
      </c>
      <c r="J28" s="20"/>
      <c r="K28" s="7">
        <v>0</v>
      </c>
      <c r="L28" s="7">
        <f aca="true" t="shared" si="14" ref="L28:L35">-L8</f>
        <v>-53586.62</v>
      </c>
      <c r="M28" s="7">
        <f aca="true" t="shared" si="15" ref="M28:M35">SUM(K28:L28)</f>
        <v>-53586.62</v>
      </c>
      <c r="N28" s="20"/>
      <c r="O28" s="7">
        <f t="shared" si="9"/>
        <v>-6697.24</v>
      </c>
      <c r="P28" s="7">
        <f t="shared" si="9"/>
        <v>-6697.24</v>
      </c>
      <c r="Q28" s="7">
        <f t="shared" si="9"/>
        <v>-6697.24</v>
      </c>
      <c r="R28" s="7">
        <f t="shared" si="9"/>
        <v>-6697.24</v>
      </c>
      <c r="S28" s="7">
        <f aca="true" t="shared" si="16" ref="S28:S37">SUM(M28:R28)</f>
        <v>-80375.58000000002</v>
      </c>
      <c r="U28" s="12">
        <f t="shared" si="10"/>
        <v>87055.41999999998</v>
      </c>
    </row>
    <row r="29" spans="1:21" ht="12.75">
      <c r="A29" s="17">
        <f t="shared" si="11"/>
        <v>2002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12"/>
        <v>167051</v>
      </c>
      <c r="I29" s="7">
        <f t="shared" si="13"/>
        <v>167051</v>
      </c>
      <c r="J29" s="20"/>
      <c r="K29" s="7">
        <v>0</v>
      </c>
      <c r="L29" s="7">
        <f t="shared" si="14"/>
        <v>-46788.12</v>
      </c>
      <c r="M29" s="7">
        <f t="shared" si="15"/>
        <v>-46788.12</v>
      </c>
      <c r="N29" s="20"/>
      <c r="O29" s="7">
        <f t="shared" si="9"/>
        <v>-6682.04</v>
      </c>
      <c r="P29" s="7">
        <f t="shared" si="9"/>
        <v>-6682.04</v>
      </c>
      <c r="Q29" s="7">
        <f t="shared" si="9"/>
        <v>-6682.04</v>
      </c>
      <c r="R29" s="7">
        <f t="shared" si="9"/>
        <v>-6682.04</v>
      </c>
      <c r="S29" s="7">
        <f t="shared" si="16"/>
        <v>-73516.28</v>
      </c>
      <c r="U29" s="12">
        <f t="shared" si="10"/>
        <v>93534.72</v>
      </c>
    </row>
    <row r="30" spans="1:21" ht="12.75">
      <c r="A30" s="17">
        <f t="shared" si="11"/>
        <v>2003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12"/>
        <v>168975.56</v>
      </c>
      <c r="I30" s="7">
        <f t="shared" si="13"/>
        <v>168975.56</v>
      </c>
      <c r="J30" s="20"/>
      <c r="K30" s="7">
        <v>0</v>
      </c>
      <c r="L30" s="7">
        <f t="shared" si="14"/>
        <v>-40558.09</v>
      </c>
      <c r="M30" s="7">
        <f t="shared" si="15"/>
        <v>-40558.09</v>
      </c>
      <c r="N30" s="20"/>
      <c r="O30" s="7">
        <f t="shared" si="9"/>
        <v>-6759.02</v>
      </c>
      <c r="P30" s="7">
        <f t="shared" si="9"/>
        <v>-6759.02</v>
      </c>
      <c r="Q30" s="7">
        <f t="shared" si="9"/>
        <v>-6759.02</v>
      </c>
      <c r="R30" s="7">
        <f t="shared" si="9"/>
        <v>-6759.02</v>
      </c>
      <c r="S30" s="7">
        <f t="shared" si="16"/>
        <v>-67594.17000000001</v>
      </c>
      <c r="U30" s="12">
        <f t="shared" si="10"/>
        <v>101381.38999999998</v>
      </c>
    </row>
    <row r="31" spans="1:21" ht="12.75">
      <c r="A31" s="17">
        <f t="shared" si="11"/>
        <v>2004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12"/>
        <v>160426.84</v>
      </c>
      <c r="I31" s="7">
        <f t="shared" si="13"/>
        <v>160426.84</v>
      </c>
      <c r="J31" s="20"/>
      <c r="K31" s="7">
        <v>0</v>
      </c>
      <c r="L31" s="7">
        <f t="shared" si="14"/>
        <v>-32089.09</v>
      </c>
      <c r="M31" s="7">
        <f t="shared" si="15"/>
        <v>-32089.09</v>
      </c>
      <c r="N31" s="20"/>
      <c r="O31" s="7">
        <f t="shared" si="9"/>
        <v>-6417.07</v>
      </c>
      <c r="P31" s="7">
        <f t="shared" si="9"/>
        <v>-6417.07</v>
      </c>
      <c r="Q31" s="7">
        <f t="shared" si="9"/>
        <v>-6417.07</v>
      </c>
      <c r="R31" s="7">
        <f t="shared" si="9"/>
        <v>-6417.07</v>
      </c>
      <c r="S31" s="7">
        <f t="shared" si="16"/>
        <v>-57757.37</v>
      </c>
      <c r="U31" s="12">
        <f t="shared" si="10"/>
        <v>102669.47</v>
      </c>
    </row>
    <row r="32" spans="1:21" ht="12.75">
      <c r="A32" s="17">
        <f t="shared" si="11"/>
        <v>2005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12"/>
        <v>408559.38</v>
      </c>
      <c r="I32" s="7">
        <f t="shared" si="13"/>
        <v>408559.38</v>
      </c>
      <c r="J32" s="20"/>
      <c r="K32" s="7">
        <v>0</v>
      </c>
      <c r="L32" s="7">
        <f t="shared" si="14"/>
        <v>-65372.66</v>
      </c>
      <c r="M32" s="7">
        <f t="shared" si="15"/>
        <v>-65372.66</v>
      </c>
      <c r="N32" s="20"/>
      <c r="O32" s="7">
        <f t="shared" si="9"/>
        <v>-16342.38</v>
      </c>
      <c r="P32" s="7">
        <f t="shared" si="9"/>
        <v>-16342.38</v>
      </c>
      <c r="Q32" s="7">
        <f t="shared" si="9"/>
        <v>-16342.38</v>
      </c>
      <c r="R32" s="7">
        <f t="shared" si="9"/>
        <v>-16342.38</v>
      </c>
      <c r="S32" s="7">
        <f t="shared" si="16"/>
        <v>-130742.18000000002</v>
      </c>
      <c r="U32" s="12">
        <f t="shared" si="10"/>
        <v>277817.19999999995</v>
      </c>
    </row>
    <row r="33" spans="1:21" ht="12.75">
      <c r="A33" s="17">
        <f t="shared" si="11"/>
        <v>2006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12"/>
        <v>725729.42</v>
      </c>
      <c r="I33" s="7">
        <f t="shared" si="13"/>
        <v>725729.42</v>
      </c>
      <c r="J33" s="20"/>
      <c r="K33" s="7">
        <v>0</v>
      </c>
      <c r="L33" s="7">
        <f t="shared" si="14"/>
        <v>-87096.4</v>
      </c>
      <c r="M33" s="7">
        <f t="shared" si="15"/>
        <v>-87096.4</v>
      </c>
      <c r="N33" s="20"/>
      <c r="O33" s="7">
        <f t="shared" si="9"/>
        <v>-29029.18</v>
      </c>
      <c r="P33" s="7">
        <f t="shared" si="9"/>
        <v>-29029.18</v>
      </c>
      <c r="Q33" s="7">
        <f t="shared" si="9"/>
        <v>-29029.18</v>
      </c>
      <c r="R33" s="7">
        <f t="shared" si="9"/>
        <v>-29029.18</v>
      </c>
      <c r="S33" s="7">
        <f t="shared" si="16"/>
        <v>-203213.11999999997</v>
      </c>
      <c r="U33" s="12">
        <f t="shared" si="10"/>
        <v>522516.30000000005</v>
      </c>
    </row>
    <row r="34" spans="1:21" ht="12.75">
      <c r="A34" s="17">
        <f t="shared" si="11"/>
        <v>2007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12"/>
        <v>330297.8</v>
      </c>
      <c r="I34" s="7">
        <f t="shared" si="13"/>
        <v>330297.8</v>
      </c>
      <c r="J34" s="20"/>
      <c r="K34" s="7">
        <v>0</v>
      </c>
      <c r="L34" s="7">
        <f t="shared" si="14"/>
        <v>-26416.57</v>
      </c>
      <c r="M34" s="7">
        <f t="shared" si="15"/>
        <v>-26416.57</v>
      </c>
      <c r="N34" s="20"/>
      <c r="O34" s="7">
        <f t="shared" si="9"/>
        <v>-13211.91</v>
      </c>
      <c r="P34" s="7">
        <f t="shared" si="9"/>
        <v>-13211.91</v>
      </c>
      <c r="Q34" s="7">
        <f t="shared" si="9"/>
        <v>-13211.91</v>
      </c>
      <c r="R34" s="7">
        <f t="shared" si="9"/>
        <v>-13211.91</v>
      </c>
      <c r="S34" s="7">
        <f t="shared" si="16"/>
        <v>-79264.21</v>
      </c>
      <c r="U34" s="12">
        <f t="shared" si="10"/>
        <v>251033.58999999997</v>
      </c>
    </row>
    <row r="35" spans="1:21" ht="12.75">
      <c r="A35" s="17">
        <f t="shared" si="11"/>
        <v>2008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12"/>
        <v>217698.62</v>
      </c>
      <c r="I35" s="7">
        <f t="shared" si="13"/>
        <v>217698.62</v>
      </c>
      <c r="J35" s="20"/>
      <c r="K35" s="7">
        <v>0</v>
      </c>
      <c r="L35" s="7">
        <f t="shared" si="14"/>
        <v>-8708.07</v>
      </c>
      <c r="M35" s="7">
        <f t="shared" si="15"/>
        <v>-8708.07</v>
      </c>
      <c r="N35" s="20"/>
      <c r="O35" s="7">
        <f t="shared" si="9"/>
        <v>-8707.94</v>
      </c>
      <c r="P35" s="7">
        <f t="shared" si="9"/>
        <v>-8707.94</v>
      </c>
      <c r="Q35" s="7">
        <f t="shared" si="9"/>
        <v>-8707.94</v>
      </c>
      <c r="R35" s="7">
        <f t="shared" si="9"/>
        <v>-8707.94</v>
      </c>
      <c r="S35" s="7">
        <f t="shared" si="16"/>
        <v>-43539.83000000001</v>
      </c>
      <c r="U35" s="12">
        <f t="shared" si="10"/>
        <v>174158.78999999998</v>
      </c>
    </row>
    <row r="36" spans="1:21" ht="12.75">
      <c r="A36" s="17" t="s">
        <v>25</v>
      </c>
      <c r="C36" s="7">
        <v>0</v>
      </c>
      <c r="D36" s="7">
        <v>0</v>
      </c>
      <c r="E36" s="7">
        <v>0</v>
      </c>
      <c r="F36" s="7">
        <v>0</v>
      </c>
      <c r="G36" s="7">
        <v>-3781.31</v>
      </c>
      <c r="H36" s="7"/>
      <c r="I36" s="7">
        <f t="shared" si="13"/>
        <v>-3781.31</v>
      </c>
      <c r="J36" s="20"/>
      <c r="K36" s="7">
        <v>0</v>
      </c>
      <c r="L36" s="7">
        <v>0</v>
      </c>
      <c r="M36" s="7">
        <v>0</v>
      </c>
      <c r="N36" s="20"/>
      <c r="O36" s="7">
        <v>0</v>
      </c>
      <c r="P36" s="7">
        <v>0</v>
      </c>
      <c r="Q36" s="7">
        <v>0</v>
      </c>
      <c r="R36" s="7">
        <v>0</v>
      </c>
      <c r="S36" s="7">
        <f t="shared" si="16"/>
        <v>0</v>
      </c>
      <c r="U36" s="12">
        <f t="shared" si="10"/>
        <v>-3781.31</v>
      </c>
    </row>
    <row r="37" spans="1:21" ht="12.75">
      <c r="A37" s="17" t="s">
        <v>25</v>
      </c>
      <c r="C37" s="7">
        <v>0</v>
      </c>
      <c r="D37" s="7">
        <v>0</v>
      </c>
      <c r="E37" s="7">
        <v>0</v>
      </c>
      <c r="F37" s="7">
        <v>0</v>
      </c>
      <c r="G37" s="7">
        <v>-1446.24</v>
      </c>
      <c r="H37" s="7"/>
      <c r="I37" s="7">
        <f t="shared" si="13"/>
        <v>-1446.24</v>
      </c>
      <c r="J37" s="20"/>
      <c r="K37" s="7">
        <v>0</v>
      </c>
      <c r="L37" s="7">
        <v>0</v>
      </c>
      <c r="M37" s="7">
        <v>0</v>
      </c>
      <c r="N37" s="20"/>
      <c r="O37" s="7">
        <v>0</v>
      </c>
      <c r="P37" s="7">
        <v>0</v>
      </c>
      <c r="Q37" s="7">
        <v>0</v>
      </c>
      <c r="R37" s="7">
        <v>0</v>
      </c>
      <c r="S37" s="7">
        <f t="shared" si="16"/>
        <v>0</v>
      </c>
      <c r="U37" s="12">
        <f t="shared" si="10"/>
        <v>-1446.24</v>
      </c>
    </row>
    <row r="38" spans="1:19" ht="12.75">
      <c r="A38" s="6" t="s">
        <v>1</v>
      </c>
      <c r="C38" s="13"/>
      <c r="D38" s="13"/>
      <c r="E38" s="13"/>
      <c r="F38" s="13"/>
      <c r="G38" s="13"/>
      <c r="H38" s="13"/>
      <c r="I38" s="13"/>
      <c r="J38" s="21"/>
      <c r="K38" s="13"/>
      <c r="L38" s="13"/>
      <c r="M38" s="13"/>
      <c r="N38" s="21"/>
      <c r="O38" s="13"/>
      <c r="P38" s="13"/>
      <c r="Q38" s="13"/>
      <c r="R38" s="13"/>
      <c r="S38" s="13"/>
    </row>
    <row r="39" spans="1:21" ht="13.5" thickBot="1">
      <c r="A39" s="5" t="s">
        <v>7</v>
      </c>
      <c r="B39" s="5"/>
      <c r="C39" s="14">
        <f aca="true" t="shared" si="17" ref="C39:I39">SUM(C27:C38)</f>
        <v>0</v>
      </c>
      <c r="D39" s="14">
        <f t="shared" si="17"/>
        <v>0</v>
      </c>
      <c r="E39" s="14">
        <f t="shared" si="17"/>
        <v>0</v>
      </c>
      <c r="F39" s="14">
        <f t="shared" si="17"/>
        <v>0</v>
      </c>
      <c r="G39" s="14">
        <f t="shared" si="17"/>
        <v>-5227.55</v>
      </c>
      <c r="H39" s="14">
        <f t="shared" si="17"/>
        <v>5387106.62</v>
      </c>
      <c r="I39" s="14">
        <f t="shared" si="17"/>
        <v>5381879.07</v>
      </c>
      <c r="J39" s="22"/>
      <c r="K39" s="14">
        <f>SUM(K27:K38)</f>
        <v>0</v>
      </c>
      <c r="L39" s="14">
        <f>SUM(L27:L38)</f>
        <v>-1353984.0300000003</v>
      </c>
      <c r="M39" s="14">
        <f>SUM(M27:M38)</f>
        <v>-1353984.0300000003</v>
      </c>
      <c r="N39" s="22"/>
      <c r="O39" s="14">
        <f>SUM(O27:O38)</f>
        <v>-215484.26</v>
      </c>
      <c r="P39" s="14">
        <f>SUM(P27:P38)</f>
        <v>-215484.26</v>
      </c>
      <c r="Q39" s="14">
        <f>SUM(Q27:Q38)</f>
        <v>-215484.26</v>
      </c>
      <c r="R39" s="14">
        <f>SUM(R27:R38)</f>
        <v>-215484.26</v>
      </c>
      <c r="S39" s="14">
        <f>SUM(S27:S38)</f>
        <v>-2215921.0700000003</v>
      </c>
      <c r="U39" s="14">
        <f>SUM(U27:U38)</f>
        <v>3165957.9999999995</v>
      </c>
    </row>
  </sheetData>
  <sheetProtection/>
  <mergeCells count="1">
    <mergeCell ref="O3:R3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gmaldonado</dc:creator>
  <cp:keywords/>
  <dc:description/>
  <cp:lastModifiedBy>Phillip Chisulo</cp:lastModifiedBy>
  <cp:lastPrinted>2013-10-18T15:23:21Z</cp:lastPrinted>
  <dcterms:created xsi:type="dcterms:W3CDTF">2007-05-16T18:53:12Z</dcterms:created>
  <dcterms:modified xsi:type="dcterms:W3CDTF">2014-01-10T19:04:18Z</dcterms:modified>
  <cp:category/>
  <cp:version/>
  <cp:contentType/>
  <cp:contentStatus/>
</cp:coreProperties>
</file>