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940" windowHeight="5730" tabRatio="596" firstSheet="4" activeTab="6"/>
  </bookViews>
  <sheets>
    <sheet name="Revenue Input" sheetId="1" r:id="rId1"/>
    <sheet name="Transformer Allowance" sheetId="2" r:id="rId2"/>
    <sheet name="2011 Existing Rates" sheetId="3" r:id="rId3"/>
    <sheet name="2012 Test Yr On Existing Rates" sheetId="4" r:id="rId4"/>
    <sheet name="Forecast Data For 2012" sheetId="5" r:id="rId5"/>
    <sheet name="Cost Allocation Study" sheetId="6" r:id="rId6"/>
    <sheet name="Rates By Rate Class" sheetId="7" r:id="rId7"/>
    <sheet name="Allocation Low Voltage Costs" sheetId="8" r:id="rId8"/>
    <sheet name="Low Voltage Rates" sheetId="9" r:id="rId9"/>
    <sheet name="LRAM and SSM Rate Rider" sheetId="10" r:id="rId10"/>
    <sheet name="2012 Rate Rider" sheetId="11" r:id="rId11"/>
    <sheet name="Distribution Rate Schedule" sheetId="12" r:id="rId12"/>
    <sheet name="Other Electriciy Rates" sheetId="13" r:id="rId13"/>
    <sheet name="BILL IMPACTS " sheetId="14" r:id="rId14"/>
    <sheet name="Rate Schedule (Part 1)" sheetId="15" r:id="rId15"/>
    <sheet name="Rate Schedule (Part 2)" sheetId="16" r:id="rId16"/>
    <sheet name="Dist. Rev. Reconciliation" sheetId="17" r:id="rId17"/>
    <sheet name="Revenue Deficiency Analysis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5">'Cost Allocation Study'!$A$1:$M$17</definedName>
    <definedName name="_xlnm.Print_Area" localSheetId="11">'Distribution Rate Schedule'!$A$1:$E$45</definedName>
    <definedName name="_xlnm.Print_Area" localSheetId="9">'LRAM and SSM Rate Rider'!$A$1:$L$18</definedName>
    <definedName name="_xlnm.Print_Area" localSheetId="15">'Rate Schedule (Part 2)'!$B$5:$D$51</definedName>
    <definedName name="_xlnm.Print_Area" localSheetId="17">'Revenue Deficiency Analysis'!$A$1:$I$30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<sst xmlns="http://schemas.openxmlformats.org/spreadsheetml/2006/main" count="1112" uniqueCount="277">
  <si>
    <t>Customer Class</t>
  </si>
  <si>
    <t>TOTAL</t>
  </si>
  <si>
    <t>Proposed Fixed Rate</t>
  </si>
  <si>
    <t>Resulting Variable Rate</t>
  </si>
  <si>
    <t>Total Fixed Revenue</t>
  </si>
  <si>
    <t>Total Variable Revenue</t>
  </si>
  <si>
    <t>Transformer Allowance</t>
  </si>
  <si>
    <t>Annual kWh</t>
  </si>
  <si>
    <t>Annual kW For Dx</t>
  </si>
  <si>
    <t>Annual kW For Tx</t>
  </si>
  <si>
    <t>Annualized Customers</t>
  </si>
  <si>
    <t>Fixed Distribution Revenue</t>
  </si>
  <si>
    <t>Variable Distribution Revenue</t>
  </si>
  <si>
    <t>Calculated kWh</t>
  </si>
  <si>
    <t>Calculated kW</t>
  </si>
  <si>
    <t>Volumetric Rate Type</t>
  </si>
  <si>
    <t>kWh</t>
  </si>
  <si>
    <t>kW</t>
  </si>
  <si>
    <t>TOTALS</t>
  </si>
  <si>
    <t>Retail Transmission Connection Rate ($)</t>
  </si>
  <si>
    <t>Allocation Percentages</t>
  </si>
  <si>
    <t>Allocated $</t>
  </si>
  <si>
    <t>per KWh</t>
  </si>
  <si>
    <t>per kW</t>
  </si>
  <si>
    <t>Class</t>
  </si>
  <si>
    <t>Connection</t>
  </si>
  <si>
    <t>Customer</t>
  </si>
  <si>
    <t>Annualized Connections</t>
  </si>
  <si>
    <t>Revenue At Existing Rates</t>
  </si>
  <si>
    <t>Total Distribution Revenue</t>
  </si>
  <si>
    <t>Sum of Quantity</t>
  </si>
  <si>
    <t>Transformer Allowance Credit</t>
  </si>
  <si>
    <t xml:space="preserve">   Total</t>
  </si>
  <si>
    <t>Expected</t>
  </si>
  <si>
    <t xml:space="preserve">     kW</t>
  </si>
  <si>
    <t>General Service:</t>
  </si>
  <si>
    <t xml:space="preserve">    Total</t>
  </si>
  <si>
    <r>
      <t xml:space="preserve">     </t>
    </r>
    <r>
      <rPr>
        <b/>
        <sz val="12"/>
        <rFont val="Arial"/>
        <family val="2"/>
      </rPr>
      <t>$</t>
    </r>
  </si>
  <si>
    <t>Transformer Ownership Allowance</t>
  </si>
  <si>
    <t>Service Revenue Requirement</t>
  </si>
  <si>
    <t>Rate Determination Constants/Options For Test Year</t>
  </si>
  <si>
    <t>Total</t>
  </si>
  <si>
    <t>LV &amp; Wheeling Charges</t>
  </si>
  <si>
    <t>Less: Revenue Offsets</t>
  </si>
  <si>
    <t>Addback Transformer Allowances</t>
  </si>
  <si>
    <t xml:space="preserve">      Gross Revenues For Rates</t>
  </si>
  <si>
    <t>Regulatory Assets Rate Riders ($)
per kWh</t>
  </si>
  <si>
    <t>Regulatory Assets Rate Riders ($)
per kW</t>
  </si>
  <si>
    <t>RESIDENTIAL</t>
  </si>
  <si>
    <t>Other Charges
per kWh ($)</t>
  </si>
  <si>
    <t>Other Charges
per kW ($)</t>
  </si>
  <si>
    <t>Cost of Power Commodity
per kWh ($)</t>
  </si>
  <si>
    <t>Loss Adjustment Factor</t>
  </si>
  <si>
    <t>Retail Transmission Rate
(from 8-6)</t>
  </si>
  <si>
    <t>Wholesale Market Service Rate</t>
  </si>
  <si>
    <t>per KW</t>
  </si>
  <si>
    <t>per kWh</t>
  </si>
  <si>
    <t>Supply Facilities Loss Factor</t>
  </si>
  <si>
    <t>Distribution Loss Factor - Secondary Metered Customer &lt; 5,000 kW</t>
  </si>
  <si>
    <t>Distribution Loss Factor - Secondary Metered Customer &gt; 5,000 kW</t>
  </si>
  <si>
    <t>Distribution Loss Factor - Primary Metered Customer &lt; 5,000 kW</t>
  </si>
  <si>
    <t>Distribution Loss Factor - Primary Metered Customer &gt; 5,000 kW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</si>
  <si>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</si>
  <si>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</si>
  <si>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</si>
  <si>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</si>
  <si>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OTHER ELECTRICITY CHARGES</t>
  </si>
  <si>
    <t>Volume</t>
  </si>
  <si>
    <t>RATE                             $</t>
  </si>
  <si>
    <t>CHARGE
$</t>
  </si>
  <si>
    <t>Consumption</t>
  </si>
  <si>
    <t>Monthly Service Charge</t>
  </si>
  <si>
    <t>Distribution (kWh)</t>
  </si>
  <si>
    <t>IMPACT</t>
  </si>
  <si>
    <t>Change
$</t>
  </si>
  <si>
    <t>Change
%</t>
  </si>
  <si>
    <t>% of Total Bill</t>
  </si>
  <si>
    <t>Other Charges (kWh)</t>
  </si>
  <si>
    <t>Cost of Power Commodity (kWh)</t>
  </si>
  <si>
    <t>Total Bill</t>
  </si>
  <si>
    <t xml:space="preserve">
$</t>
  </si>
  <si>
    <t xml:space="preserve">
%</t>
  </si>
  <si>
    <t>Distribution (kW)</t>
  </si>
  <si>
    <t xml:space="preserve"> Sentinel Lighting</t>
  </si>
  <si>
    <t xml:space="preserve"> Street Lighting</t>
  </si>
  <si>
    <t>Item Description</t>
  </si>
  <si>
    <t>Unit</t>
  </si>
  <si>
    <t>per month</t>
  </si>
  <si>
    <t>Distribution Volumetric Rate</t>
  </si>
  <si>
    <t>Schedule of Distribution Rates and Charges</t>
  </si>
  <si>
    <t>RATES SCHEDULE (Part 1)</t>
  </si>
  <si>
    <t>GENERAL SERVICE &gt; 50 kW</t>
  </si>
  <si>
    <t>Item Description (Rate Code)</t>
  </si>
  <si>
    <t>Calculation Basis</t>
  </si>
  <si>
    <t>Arrears certificate  (1)</t>
  </si>
  <si>
    <t>Statement of account (2)</t>
  </si>
  <si>
    <t>Pulling post dated cheques (3)</t>
  </si>
  <si>
    <t>Duplicate invoices for previous billing  (4)</t>
  </si>
  <si>
    <t>Request for other billing information (5)</t>
  </si>
  <si>
    <t>Easement letter (6)</t>
  </si>
  <si>
    <t>Income tax letter  (7)</t>
  </si>
  <si>
    <t>Notification charge (8)</t>
  </si>
  <si>
    <t>Account history (9)</t>
  </si>
  <si>
    <t>Credit reference/credit check (plus credit agency costs) (10)</t>
  </si>
  <si>
    <t>Returned cheque charge (plus bank charges) (11)</t>
  </si>
  <si>
    <t>Charge to certify cheque (12)</t>
  </si>
  <si>
    <t>Legal letter charge (13)</t>
  </si>
  <si>
    <t>Account set up charge/change of occupancy charge (plus credit agency costs if applicable) (14)</t>
  </si>
  <si>
    <t>Special meter reads (15)</t>
  </si>
  <si>
    <t>Collection of account charge - no disconnection (16)</t>
  </si>
  <si>
    <t>Collection of account charge  - no disconnection - after regular hours (17)</t>
  </si>
  <si>
    <t>Disconnect/Reconnect at meter - during regular hours  (18)</t>
  </si>
  <si>
    <t>Install/Remove load control device - during regular hours (19)</t>
  </si>
  <si>
    <t>Disconnect/Reconnect at meter - after regular hours (20)</t>
  </si>
  <si>
    <t>Install/Remove load control device - after regular hours (21)</t>
  </si>
  <si>
    <t>Disconnect/Reconnect at pole - during regular hours  (22)</t>
  </si>
  <si>
    <t>Disconnect/Reconnect at pole - after regular hours  (23)</t>
  </si>
  <si>
    <t>Meter dispute charge plus Measurement Canada fees (if meter found correct) (24)</t>
  </si>
  <si>
    <t>Service call - customer-owned equipment (25)</t>
  </si>
  <si>
    <t>Service call - after regular hours (26)</t>
  </si>
  <si>
    <t>Temporary service install &amp; remove - overhead - no transformer (27)</t>
  </si>
  <si>
    <t>Temporary service install &amp; remove - underground - no transformer (28)</t>
  </si>
  <si>
    <t>Temporary service install &amp; remove - overhead - with transformer (29)</t>
  </si>
  <si>
    <t>Specific Charge for Access to the Power Poles $/pole/year (30)</t>
  </si>
  <si>
    <t>Standard</t>
  </si>
  <si>
    <t>Administrative Billing Charge (31)</t>
  </si>
  <si>
    <t>Loss Factors</t>
  </si>
  <si>
    <t>RATES SCHEDULE (Part 2)</t>
  </si>
  <si>
    <t>Dist. Rev. Before TX Allow.</t>
  </si>
  <si>
    <t>Dist Rev At Existing Rates %</t>
  </si>
  <si>
    <t>Rev Requirement %</t>
  </si>
  <si>
    <t>LV/ Adj.
Rates/kWh</t>
  </si>
  <si>
    <t>LV Adj.
Rates/ kW</t>
  </si>
  <si>
    <t xml:space="preserve">LV Adj.
Allocated </t>
  </si>
  <si>
    <t>Retail Transmission Rate</t>
  </si>
  <si>
    <t>GENERAL SERVICE &lt; 50 kW</t>
  </si>
  <si>
    <t>Connections</t>
  </si>
  <si>
    <t>Billing Determinants</t>
  </si>
  <si>
    <t>Forecast Fixed/Variable Ratios</t>
  </si>
  <si>
    <t>Revenue Requirement</t>
  </si>
  <si>
    <t>Revenue Deficiency</t>
  </si>
  <si>
    <t>Budgeted Revenue Offsets</t>
  </si>
  <si>
    <t>Total Revenue</t>
  </si>
  <si>
    <t>Less Transformer Allowances:</t>
  </si>
  <si>
    <t>Net Revenue At Existing Rates</t>
  </si>
  <si>
    <t>Turn Rounding On</t>
  </si>
  <si>
    <t>First Block</t>
  </si>
  <si>
    <t>Balance Block</t>
  </si>
  <si>
    <t>Total Net Rev. Requirement</t>
  </si>
  <si>
    <t>Gross Distribution Revenue</t>
  </si>
  <si>
    <t>Minimum System with PLCC Adustment (Ceiling Fixed Charge From Cost Allocation Model)</t>
  </si>
  <si>
    <t>Transformer Ownership Credit</t>
  </si>
  <si>
    <t>Rate Class</t>
  </si>
  <si>
    <t>Rate Riders</t>
  </si>
  <si>
    <t>Two Year Rate Rider</t>
  </si>
  <si>
    <t>Three Year Rate Rider</t>
  </si>
  <si>
    <t>LRAM</t>
  </si>
  <si>
    <t>SSM</t>
  </si>
  <si>
    <t>$</t>
  </si>
  <si>
    <t>$/unit (kWh or kW)</t>
  </si>
  <si>
    <t>LRAM &amp; SSM Rider (kWh)</t>
  </si>
  <si>
    <t>LRAM and SSM Rate Rider</t>
  </si>
  <si>
    <t>Number of Years to Use</t>
  </si>
  <si>
    <t>Rate Rider to Use</t>
  </si>
  <si>
    <t>(2 or 3)</t>
  </si>
  <si>
    <t>Rounding is turned on</t>
  </si>
  <si>
    <t>Smart Meter Rate Rider</t>
  </si>
  <si>
    <t>Difference Due to Rate Rounding</t>
  </si>
  <si>
    <t>Debt Retirement Charge</t>
  </si>
  <si>
    <t>Additional Charge</t>
  </si>
  <si>
    <t>Low Voltage Cost Rate Component ($)
per kWh</t>
  </si>
  <si>
    <t>Low Voltage Cost Rate Component ($)
per kW</t>
  </si>
  <si>
    <t>Unit of Measure</t>
  </si>
  <si>
    <t># of Customers</t>
  </si>
  <si>
    <t># of Connections</t>
  </si>
  <si>
    <t xml:space="preserve">Description </t>
  </si>
  <si>
    <t>Transformer Allowance rate</t>
  </si>
  <si>
    <t>Basis for Allocation ($)</t>
  </si>
  <si>
    <t>Metrics</t>
  </si>
  <si>
    <r>
      <t>BILL IMPACTS</t>
    </r>
    <r>
      <rPr>
        <b/>
        <i/>
        <sz val="16"/>
        <rFont val="Arial"/>
        <family val="2"/>
      </rPr>
      <t xml:space="preserve">  (Monthly Consumptions)</t>
    </r>
  </si>
  <si>
    <t>Rate ($)</t>
  </si>
  <si>
    <t>Addback LV Charges</t>
  </si>
  <si>
    <t xml:space="preserve">      Total Base Revenue Requirement</t>
  </si>
  <si>
    <t>Cost Allocation Based Calculations</t>
  </si>
  <si>
    <t>Fixed Charge Analysis</t>
  </si>
  <si>
    <t>Current Volumetric Split</t>
  </si>
  <si>
    <t>Current Fixed Charge Spilt</t>
  </si>
  <si>
    <t>Fixed Rate Based on Current Fixed/Variable Revenue Proportions</t>
  </si>
  <si>
    <t>Adder per Month</t>
  </si>
  <si>
    <t xml:space="preserve">Dist. Rev. Including Transformer </t>
  </si>
  <si>
    <t>Dist. Rev. Excluding Transformer</t>
  </si>
  <si>
    <t xml:space="preserve"> Unmetered Scattered</t>
  </si>
  <si>
    <t>Total Bill Before Taxes</t>
  </si>
  <si>
    <t>GST</t>
  </si>
  <si>
    <t>Deferral and Variance 
Account Rate Riders 
($) per kWh</t>
  </si>
  <si>
    <t>Deferral and Variance 
Account Rate Riders 
($) per kW</t>
  </si>
  <si>
    <t>2010 BILL</t>
  </si>
  <si>
    <t>Check total - should be zero</t>
  </si>
  <si>
    <t xml:space="preserve">Total Revenue </t>
  </si>
  <si>
    <t>Revenue Cost Ratio</t>
  </si>
  <si>
    <t>Proposed Revenue to Cost Ratio</t>
  </si>
  <si>
    <t>Proposed Revenue</t>
  </si>
  <si>
    <t xml:space="preserve">Miscellaneous Revenue </t>
  </si>
  <si>
    <t>Proposed Base Revenue</t>
  </si>
  <si>
    <t>This need to be zero</t>
  </si>
  <si>
    <t>Residential</t>
  </si>
  <si>
    <t>GS &lt; 50 kW</t>
  </si>
  <si>
    <t>GS &gt;50</t>
  </si>
  <si>
    <t>Sentinel Lights</t>
  </si>
  <si>
    <t>Street Lighting</t>
  </si>
  <si>
    <t>USL</t>
  </si>
  <si>
    <t>Total Check</t>
  </si>
  <si>
    <t># of Cust/Con</t>
  </si>
  <si>
    <t>Board Target Low</t>
  </si>
  <si>
    <t>Board Target High</t>
  </si>
  <si>
    <t>Deferral and Variance Account Rider</t>
  </si>
  <si>
    <t>Smart Meter Rate Adder</t>
  </si>
  <si>
    <t>Low Voltage Rider</t>
  </si>
  <si>
    <t>y</t>
  </si>
  <si>
    <t>2011 Rates</t>
  </si>
  <si>
    <t>2011 BILL</t>
  </si>
  <si>
    <t>Deferrral &amp; Variance Acct (kWh)</t>
  </si>
  <si>
    <t>Low Voltage Rider (kWh)</t>
  </si>
  <si>
    <t>Distribution Sub-Total</t>
  </si>
  <si>
    <t>Retail Transmisssion (kWh)</t>
  </si>
  <si>
    <t>Delivery Sub-Total</t>
  </si>
  <si>
    <t>Low Voltage Rider (kW)</t>
  </si>
  <si>
    <t>LRAM &amp; SSM Rider (kW)</t>
  </si>
  <si>
    <t>Deferrral &amp; Variance Acct (kW)</t>
  </si>
  <si>
    <t>Retail Transmisssion (kW)</t>
  </si>
  <si>
    <t>Target Fixed Charge Split</t>
  </si>
  <si>
    <t xml:space="preserve"> Fixed Charge with Target Split</t>
  </si>
  <si>
    <t>Late Payment Charge ($/kWh)</t>
  </si>
  <si>
    <t>=</t>
  </si>
  <si>
    <t>SPC ($/kWh)</t>
  </si>
  <si>
    <t>SPC (kWh)</t>
  </si>
  <si>
    <t>EXISTING 2011 RATE YEAR - DISTRIBUTION REVENUE RATES EXCLUDING SMART METER RATE RIDER</t>
  </si>
  <si>
    <t>Forecast Class Billing Determinants for 2012 Test Year Based on Existing Class Revenue Proportions</t>
  </si>
  <si>
    <t>2012 Test</t>
  </si>
  <si>
    <t>EXISTING 2011 DISTRIBUTION VOLUMETRIC EXCL LV</t>
  </si>
  <si>
    <t>Regulatory Assets Rate Rider For 2011, if applicable</t>
  </si>
  <si>
    <t>Low Voltage Rate Component For 2011</t>
  </si>
  <si>
    <t>Smart Meter Adder - 2011</t>
  </si>
  <si>
    <t>Forecast Data For 2012 Test Year Projection</t>
  </si>
  <si>
    <t>2012 Test Year Normalized</t>
  </si>
  <si>
    <t>2012 Base Revenue Allocated based on Proportion of Revenue at Existing Rates</t>
  </si>
  <si>
    <t>Check Revenue Cost Ratios from 2012 Cost Allocation Model</t>
  </si>
  <si>
    <t>Miscellaneous Revenue Allocated from 2012 Cost Allocation Model</t>
  </si>
  <si>
    <t>Revenue Requirement - 2012 Cost Allocation Model</t>
  </si>
  <si>
    <t>Distribution Rate Allocation Between Fixed &amp; Variable Rates For 2012 Test Year</t>
  </si>
  <si>
    <t>2011 Rates From OEB Approved Tariff</t>
  </si>
  <si>
    <t>Billing Units (2012)</t>
  </si>
  <si>
    <t xml:space="preserve">Amounts </t>
  </si>
  <si>
    <t>2012 Test Year - Rate Rider</t>
  </si>
  <si>
    <t>2012 TEST YEAR - Low Voltage Distribution Rates</t>
  </si>
  <si>
    <t>2012 TEST YEAR - Distribution Rates</t>
  </si>
  <si>
    <t>Rate Schedule - 2012 Test Year Filing</t>
  </si>
  <si>
    <t>2012 TEST YEAR - BASE REVENUE DISTRIBUTION RATES</t>
  </si>
  <si>
    <t>2012 Rates</t>
  </si>
  <si>
    <t>2012 BILL</t>
  </si>
  <si>
    <t>Effective May 1, 2012</t>
  </si>
  <si>
    <t>2012 Test Year Distribution Revenue Reconciliation</t>
  </si>
  <si>
    <t>Forecast Revenue For 2012 Test Year Based on Existing Rates (Less Low Voltage Rate Component)</t>
  </si>
  <si>
    <t xml:space="preserve">Hydro One </t>
  </si>
  <si>
    <t xml:space="preserve">   </t>
  </si>
  <si>
    <t>ED-2003-0015 , EB-2011-099</t>
  </si>
  <si>
    <t xml:space="preserve">E.L.K. Energy Inc., </t>
  </si>
  <si>
    <t>Smart Meter Dispostion Rate Rider ($)
per Metered Cust./Month</t>
  </si>
  <si>
    <t>Stranded Meter Charge ($/month)</t>
  </si>
  <si>
    <t>Late Payment  2011 Existing Rates</t>
  </si>
  <si>
    <t>Stranded Meter Rider ($/Month)</t>
  </si>
  <si>
    <t>Smart Meter Adder/Rider (per month)</t>
  </si>
  <si>
    <t>Late Payment (per month)</t>
  </si>
  <si>
    <t>($) per month</t>
  </si>
  <si>
    <t xml:space="preserve">2012 Test Year - LRAM </t>
  </si>
  <si>
    <t>Table 8-9 Calculation of Low Voltage Rates by Rate Class - Settlement</t>
  </si>
  <si>
    <t>Table 8-8 Low Voltage Costs Allocated by Customer Class - Settlement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</si>
</sst>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_-* #,##0_-;\-* #,##0_-;_-* &quot;-&quot;??_-;_-@_-"/>
    <numFmt numFmtId="169" formatCode="&quot;$&quot;#,##0.00"/>
    <numFmt numFmtId="170" formatCode="_-&quot;$&quot;* #,##0_-;\-&quot;$&quot;* #,##0_-;_-&quot;$&quot;* &quot;-&quot;??_-;_-@_-"/>
    <numFmt numFmtId="171" formatCode="&quot;$&quot;#,##0.0000"/>
    <numFmt numFmtId="172" formatCode="0.0000"/>
    <numFmt numFmtId="173" formatCode="0.000%"/>
    <numFmt numFmtId="174" formatCode="_-&quot;$&quot;* #,##0.0000_-;\-&quot;$&quot;* #,##0.0000_-;_-&quot;$&quot;* &quot;-&quot;??_-;_-@_-"/>
    <numFmt numFmtId="175" formatCode="_-* #,##0.00000000_-;\-* #,##0.00000000_-;_-* &quot;-&quot;??_-;_-@_-"/>
    <numFmt numFmtId="176" formatCode="#,##0.0000_);\(#,##0.0000\)"/>
    <numFmt numFmtId="177" formatCode="#,##0.0000"/>
    <numFmt numFmtId="178" formatCode="0.0%"/>
    <numFmt numFmtId="179" formatCode="0.00000"/>
    <numFmt numFmtId="180" formatCode="0_ ;\-0\ "/>
    <numFmt numFmtId="181" formatCode="#,##0.00;[Red]\(#,##0.00\)"/>
    <numFmt numFmtId="182" formatCode="#,##0.00_ ;\-#,##0.00\ "/>
    <numFmt numFmtId="183" formatCode="&quot;$&quot;#,##0.0000_);[Red]\(#,##0.0000\)"/>
    <numFmt numFmtId="184" formatCode="#,##0.00%;[Red]\(#,##0.00%\)"/>
    <numFmt numFmtId="185" formatCode="&quot;$&quot;#,##0.00;\(&quot;$&quot;###0.00\)"/>
    <numFmt numFmtId="186" formatCode="&quot;$&quot;#,##0;\(&quot;$&quot;#,##0\)"/>
    <numFmt numFmtId="187" formatCode="&quot;$&quot;#,##0.00_);[Red]\(#,##0.00\)"/>
    <numFmt numFmtId="188" formatCode="#,##0.00000;\-#,##0.00000"/>
    <numFmt numFmtId="189" formatCode="_-* #,##0.0_-;\-* #,##0.0_-;_-* &quot;-&quot;??_-;_-@_-"/>
    <numFmt numFmtId="190" formatCode="_-* #,##0.000_-;\-* #,##0.000_-;_-* &quot;-&quot;??_-;_-@_-"/>
    <numFmt numFmtId="191" formatCode="_-* #,##0.0000_-;\-* #,##0.0000_-;_-* &quot;-&quot;??_-;_-@_-"/>
    <numFmt numFmtId="192" formatCode="#,##0.00;\(#,##0.00\)"/>
    <numFmt numFmtId="193" formatCode="#,##0.0"/>
    <numFmt numFmtId="194" formatCode="#,##0.000"/>
    <numFmt numFmtId="195" formatCode="#,##0.000_);\(#,##0.000\)"/>
    <numFmt numFmtId="196" formatCode="#,##0.00_);\(#,##0.00\)"/>
    <numFmt numFmtId="197" formatCode="0.0"/>
    <numFmt numFmtId="198" formatCode="0.000"/>
    <numFmt numFmtId="199" formatCode="&quot;$&quot;#,##0.00;[Red]&quot;$&quot;#,##0.00"/>
  </numFmts>
  <fonts count="57">
    <font>
      <sz val="10"/>
      <name val="Arial"/>
      <family val="0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color indexed="56"/>
      <name val="Arial"/>
      <family val="2"/>
    </font>
    <font>
      <b/>
      <i/>
      <sz val="16"/>
      <name val="Arial"/>
      <family val="2"/>
    </font>
    <font>
      <b/>
      <i/>
      <sz val="20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6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168" fontId="0" fillId="0" borderId="0" xfId="42" applyNumberFormat="1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0" fontId="3" fillId="0" borderId="0" xfId="45" applyNumberFormat="1" applyFont="1" applyFill="1" applyAlignment="1">
      <alignment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0" fillId="0" borderId="0" xfId="0" applyAlignment="1" quotePrefix="1">
      <alignment/>
    </xf>
    <xf numFmtId="37" fontId="5" fillId="0" borderId="0" xfId="0" applyNumberFormat="1" applyFont="1" applyFill="1" applyBorder="1" applyAlignment="1">
      <alignment horizontal="left" vertical="center" wrapText="1"/>
    </xf>
    <xf numFmtId="170" fontId="0" fillId="0" borderId="0" xfId="45" applyNumberFormat="1" applyFont="1" applyFill="1" applyBorder="1" applyAlignment="1">
      <alignment/>
    </xf>
    <xf numFmtId="174" fontId="0" fillId="0" borderId="0" xfId="45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170" fontId="5" fillId="0" borderId="0" xfId="45" applyNumberFormat="1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168" fontId="0" fillId="0" borderId="0" xfId="42" applyNumberFormat="1" applyFont="1" applyFill="1" applyBorder="1" applyAlignment="1">
      <alignment/>
    </xf>
    <xf numFmtId="168" fontId="5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0" fontId="3" fillId="0" borderId="0" xfId="45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176" fontId="0" fillId="0" borderId="0" xfId="0" applyNumberFormat="1" applyFill="1" applyAlignment="1" applyProtection="1">
      <alignment/>
      <protection/>
    </xf>
    <xf numFmtId="172" fontId="0" fillId="0" borderId="0" xfId="0" applyNumberFormat="1" applyAlignment="1">
      <alignment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69" fontId="6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0" fontId="3" fillId="0" borderId="11" xfId="45" applyNumberFormat="1" applyFont="1" applyFill="1" applyBorder="1" applyAlignment="1">
      <alignment/>
    </xf>
    <xf numFmtId="170" fontId="3" fillId="0" borderId="12" xfId="45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vertical="center" indent="5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9" fontId="17" fillId="0" borderId="0" xfId="47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39" fontId="17" fillId="0" borderId="0" xfId="47" applyNumberFormat="1" applyFont="1" applyFill="1" applyBorder="1" applyAlignment="1">
      <alignment horizontal="center" vertical="center"/>
    </xf>
    <xf numFmtId="10" fontId="0" fillId="0" borderId="0" xfId="64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75" fontId="0" fillId="0" borderId="0" xfId="42" applyNumberFormat="1" applyFont="1" applyFill="1" applyBorder="1" applyAlignment="1">
      <alignment/>
    </xf>
    <xf numFmtId="0" fontId="0" fillId="34" borderId="0" xfId="0" applyFill="1" applyAlignment="1">
      <alignment/>
    </xf>
    <xf numFmtId="168" fontId="5" fillId="0" borderId="0" xfId="42" applyNumberFormat="1" applyFont="1" applyAlignment="1">
      <alignment/>
    </xf>
    <xf numFmtId="43" fontId="0" fillId="0" borderId="0" xfId="0" applyNumberFormat="1" applyAlignment="1">
      <alignment/>
    </xf>
    <xf numFmtId="3" fontId="1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5" fillId="0" borderId="13" xfId="0" applyFont="1" applyFill="1" applyBorder="1" applyAlignment="1">
      <alignment/>
    </xf>
    <xf numFmtId="37" fontId="0" fillId="35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37" fontId="0" fillId="35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7" fontId="0" fillId="35" borderId="20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6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176" fontId="5" fillId="36" borderId="23" xfId="0" applyNumberFormat="1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176" fontId="5" fillId="36" borderId="26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36" borderId="23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/>
    </xf>
    <xf numFmtId="37" fontId="5" fillId="0" borderId="29" xfId="0" applyNumberFormat="1" applyFont="1" applyFill="1" applyBorder="1" applyAlignment="1">
      <alignment horizontal="center"/>
    </xf>
    <xf numFmtId="10" fontId="5" fillId="0" borderId="29" xfId="64" applyNumberFormat="1" applyFont="1" applyFill="1" applyBorder="1" applyAlignment="1">
      <alignment horizontal="center"/>
    </xf>
    <xf numFmtId="10" fontId="0" fillId="0" borderId="23" xfId="64" applyNumberFormat="1" applyFon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10" fontId="0" fillId="0" borderId="23" xfId="64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indent="1"/>
    </xf>
    <xf numFmtId="0" fontId="0" fillId="0" borderId="31" xfId="0" applyFill="1" applyBorder="1" applyAlignment="1">
      <alignment/>
    </xf>
    <xf numFmtId="173" fontId="5" fillId="0" borderId="31" xfId="64" applyNumberFormat="1" applyFont="1" applyFill="1" applyBorder="1" applyAlignment="1">
      <alignment/>
    </xf>
    <xf numFmtId="170" fontId="5" fillId="0" borderId="12" xfId="45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171" fontId="5" fillId="0" borderId="12" xfId="0" applyNumberFormat="1" applyFont="1" applyFill="1" applyBorder="1" applyAlignment="1">
      <alignment horizontal="center"/>
    </xf>
    <xf numFmtId="37" fontId="5" fillId="0" borderId="23" xfId="0" applyNumberFormat="1" applyFont="1" applyFill="1" applyBorder="1" applyAlignment="1">
      <alignment/>
    </xf>
    <xf numFmtId="171" fontId="0" fillId="0" borderId="23" xfId="45" applyNumberFormat="1" applyFont="1" applyFill="1" applyBorder="1" applyAlignment="1">
      <alignment horizontal="center"/>
    </xf>
    <xf numFmtId="170" fontId="0" fillId="0" borderId="23" xfId="45" applyNumberFormat="1" applyFont="1" applyFill="1" applyBorder="1" applyAlignment="1">
      <alignment/>
    </xf>
    <xf numFmtId="174" fontId="0" fillId="0" borderId="23" xfId="45" applyNumberFormat="1" applyFont="1" applyFill="1" applyBorder="1" applyAlignment="1">
      <alignment/>
    </xf>
    <xf numFmtId="182" fontId="0" fillId="0" borderId="23" xfId="42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indent="1"/>
    </xf>
    <xf numFmtId="0" fontId="5" fillId="0" borderId="2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 indent="1"/>
    </xf>
    <xf numFmtId="4" fontId="0" fillId="35" borderId="23" xfId="42" applyNumberFormat="1" applyFont="1" applyFill="1" applyBorder="1" applyAlignment="1">
      <alignment horizontal="center"/>
    </xf>
    <xf numFmtId="168" fontId="0" fillId="0" borderId="23" xfId="42" applyNumberFormat="1" applyFont="1" applyFill="1" applyBorder="1" applyAlignment="1">
      <alignment horizontal="center"/>
    </xf>
    <xf numFmtId="3" fontId="0" fillId="0" borderId="23" xfId="42" applyNumberFormat="1" applyFont="1" applyFill="1" applyBorder="1" applyAlignment="1">
      <alignment horizontal="center"/>
    </xf>
    <xf numFmtId="177" fontId="0" fillId="0" borderId="23" xfId="42" applyNumberFormat="1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177" fontId="0" fillId="0" borderId="23" xfId="0" applyNumberFormat="1" applyFont="1" applyFill="1" applyBorder="1" applyAlignment="1">
      <alignment horizontal="center"/>
    </xf>
    <xf numFmtId="183" fontId="0" fillId="0" borderId="26" xfId="0" applyNumberFormat="1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23" fillId="36" borderId="23" xfId="0" applyFont="1" applyFill="1" applyBorder="1" applyAlignment="1">
      <alignment horizontal="center" wrapText="1"/>
    </xf>
    <xf numFmtId="44" fontId="23" fillId="36" borderId="23" xfId="45" applyFont="1" applyFill="1" applyBorder="1" applyAlignment="1">
      <alignment horizontal="center" wrapText="1"/>
    </xf>
    <xf numFmtId="179" fontId="23" fillId="36" borderId="23" xfId="0" applyNumberFormat="1" applyFont="1" applyFill="1" applyBorder="1" applyAlignment="1">
      <alignment horizontal="center" wrapText="1"/>
    </xf>
    <xf numFmtId="180" fontId="23" fillId="36" borderId="23" xfId="0" applyNumberFormat="1" applyFont="1" applyFill="1" applyBorder="1" applyAlignment="1">
      <alignment horizontal="center" wrapText="1"/>
    </xf>
    <xf numFmtId="0" fontId="17" fillId="36" borderId="33" xfId="0" applyFont="1" applyFill="1" applyBorder="1" applyAlignment="1">
      <alignment horizontal="center" wrapText="1"/>
    </xf>
    <xf numFmtId="176" fontId="0" fillId="36" borderId="34" xfId="0" applyNumberFormat="1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172" fontId="0" fillId="36" borderId="23" xfId="0" applyNumberFormat="1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 wrapText="1"/>
    </xf>
    <xf numFmtId="172" fontId="0" fillId="36" borderId="34" xfId="0" applyNumberFormat="1" applyFill="1" applyBorder="1" applyAlignment="1">
      <alignment horizontal="center" vertical="center" wrapText="1"/>
    </xf>
    <xf numFmtId="0" fontId="0" fillId="36" borderId="34" xfId="0" applyFill="1" applyBorder="1" applyAlignment="1" quotePrefix="1">
      <alignment horizontal="center" vertical="center" wrapText="1"/>
    </xf>
    <xf numFmtId="176" fontId="0" fillId="36" borderId="34" xfId="0" applyNumberForma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172" fontId="0" fillId="36" borderId="23" xfId="0" applyNumberFormat="1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172" fontId="0" fillId="36" borderId="34" xfId="0" applyNumberFormat="1" applyFill="1" applyBorder="1" applyAlignment="1">
      <alignment horizontal="center" vertical="center"/>
    </xf>
    <xf numFmtId="0" fontId="0" fillId="36" borderId="34" xfId="0" applyFill="1" applyBorder="1" applyAlignment="1">
      <alignment vertical="center"/>
    </xf>
    <xf numFmtId="176" fontId="0" fillId="35" borderId="34" xfId="0" applyNumberFormat="1" applyFont="1" applyFill="1" applyBorder="1" applyAlignment="1" applyProtection="1">
      <alignment horizontal="center"/>
      <protection/>
    </xf>
    <xf numFmtId="172" fontId="0" fillId="35" borderId="23" xfId="0" applyNumberFormat="1" applyFont="1" applyFill="1" applyBorder="1" applyAlignment="1" applyProtection="1">
      <alignment horizontal="center"/>
      <protection locked="0"/>
    </xf>
    <xf numFmtId="172" fontId="0" fillId="0" borderId="23" xfId="0" applyNumberFormat="1" applyFill="1" applyBorder="1" applyAlignment="1">
      <alignment horizontal="center"/>
    </xf>
    <xf numFmtId="172" fontId="0" fillId="1" borderId="34" xfId="0" applyNumberFormat="1" applyFont="1" applyFill="1" applyBorder="1" applyAlignment="1" applyProtection="1">
      <alignment horizontal="center"/>
      <protection/>
    </xf>
    <xf numFmtId="172" fontId="5" fillId="1" borderId="23" xfId="0" applyNumberFormat="1" applyFont="1" applyFill="1" applyBorder="1" applyAlignment="1" applyProtection="1">
      <alignment horizontal="center"/>
      <protection/>
    </xf>
    <xf numFmtId="172" fontId="0" fillId="1" borderId="23" xfId="0" applyNumberFormat="1" applyFill="1" applyBorder="1" applyAlignment="1" applyProtection="1">
      <alignment horizontal="center"/>
      <protection/>
    </xf>
    <xf numFmtId="172" fontId="0" fillId="1" borderId="34" xfId="0" applyNumberFormat="1" applyFill="1" applyBorder="1" applyAlignment="1" applyProtection="1">
      <alignment horizontal="center"/>
      <protection/>
    </xf>
    <xf numFmtId="172" fontId="0" fillId="35" borderId="34" xfId="0" applyNumberFormat="1" applyFill="1" applyBorder="1" applyAlignment="1" applyProtection="1">
      <alignment horizontal="center"/>
      <protection/>
    </xf>
    <xf numFmtId="172" fontId="0" fillId="35" borderId="34" xfId="0" applyNumberFormat="1" applyFont="1" applyFill="1" applyBorder="1" applyAlignment="1" applyProtection="1">
      <alignment horizontal="center"/>
      <protection locked="0"/>
    </xf>
    <xf numFmtId="0" fontId="0" fillId="0" borderId="35" xfId="0" applyBorder="1" applyAlignment="1">
      <alignment/>
    </xf>
    <xf numFmtId="0" fontId="0" fillId="0" borderId="8" xfId="0" applyBorder="1" applyAlignment="1">
      <alignment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3" fontId="16" fillId="36" borderId="37" xfId="0" applyNumberFormat="1" applyFont="1" applyFill="1" applyBorder="1" applyAlignment="1">
      <alignment horizontal="right" vertical="center"/>
    </xf>
    <xf numFmtId="3" fontId="16" fillId="36" borderId="38" xfId="0" applyNumberFormat="1" applyFont="1" applyFill="1" applyBorder="1" applyAlignment="1">
      <alignment horizontal="left" vertical="center"/>
    </xf>
    <xf numFmtId="3" fontId="16" fillId="36" borderId="36" xfId="0" applyNumberFormat="1" applyFont="1" applyFill="1" applyBorder="1" applyAlignment="1">
      <alignment horizontal="right" vertical="center"/>
    </xf>
    <xf numFmtId="0" fontId="3" fillId="36" borderId="9" xfId="0" applyFont="1" applyFill="1" applyBorder="1" applyAlignment="1">
      <alignment vertical="center"/>
    </xf>
    <xf numFmtId="0" fontId="0" fillId="0" borderId="39" xfId="0" applyBorder="1" applyAlignment="1">
      <alignment/>
    </xf>
    <xf numFmtId="0" fontId="15" fillId="0" borderId="0" xfId="0" applyFont="1" applyFill="1" applyBorder="1" applyAlignment="1">
      <alignment vertical="center"/>
    </xf>
    <xf numFmtId="0" fontId="0" fillId="0" borderId="40" xfId="0" applyBorder="1" applyAlignment="1">
      <alignment/>
    </xf>
    <xf numFmtId="10" fontId="21" fillId="0" borderId="0" xfId="64" applyNumberFormat="1" applyFont="1" applyFill="1" applyBorder="1" applyAlignment="1">
      <alignment horizontal="center" vertical="center"/>
    </xf>
    <xf numFmtId="10" fontId="17" fillId="0" borderId="0" xfId="64" applyNumberFormat="1" applyFont="1" applyFill="1" applyBorder="1" applyAlignment="1">
      <alignment horizontal="center" vertical="center"/>
    </xf>
    <xf numFmtId="39" fontId="5" fillId="0" borderId="0" xfId="47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indent="5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39" fontId="17" fillId="0" borderId="10" xfId="47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39" fontId="17" fillId="0" borderId="10" xfId="47" applyNumberFormat="1" applyFont="1" applyFill="1" applyBorder="1" applyAlignment="1">
      <alignment horizontal="center" vertical="center"/>
    </xf>
    <xf numFmtId="10" fontId="21" fillId="0" borderId="10" xfId="64" applyNumberFormat="1" applyFont="1" applyFill="1" applyBorder="1" applyAlignment="1">
      <alignment horizontal="center" vertical="center"/>
    </xf>
    <xf numFmtId="10" fontId="17" fillId="0" borderId="10" xfId="64" applyNumberFormat="1" applyFont="1" applyFill="1" applyBorder="1" applyAlignment="1">
      <alignment horizontal="center" vertical="center"/>
    </xf>
    <xf numFmtId="39" fontId="5" fillId="0" borderId="10" xfId="47" applyNumberFormat="1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 wrapText="1"/>
    </xf>
    <xf numFmtId="2" fontId="5" fillId="36" borderId="42" xfId="0" applyNumberFormat="1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/>
    </xf>
    <xf numFmtId="0" fontId="5" fillId="36" borderId="37" xfId="0" applyFont="1" applyFill="1" applyBorder="1" applyAlignment="1">
      <alignment horizontal="center" vertical="center" wrapText="1"/>
    </xf>
    <xf numFmtId="2" fontId="5" fillId="36" borderId="43" xfId="0" applyNumberFormat="1" applyFont="1" applyFill="1" applyBorder="1" applyAlignment="1">
      <alignment horizontal="center" vertical="center" wrapText="1"/>
    </xf>
    <xf numFmtId="2" fontId="5" fillId="36" borderId="38" xfId="0" applyNumberFormat="1" applyFont="1" applyFill="1" applyBorder="1" applyAlignment="1">
      <alignment horizontal="center" vertical="center" wrapText="1"/>
    </xf>
    <xf numFmtId="176" fontId="0" fillId="0" borderId="23" xfId="47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39" fontId="0" fillId="0" borderId="49" xfId="47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39" fontId="0" fillId="0" borderId="50" xfId="47" applyNumberFormat="1" applyFont="1" applyFill="1" applyBorder="1" applyAlignment="1">
      <alignment horizontal="center" vertical="center"/>
    </xf>
    <xf numFmtId="0" fontId="0" fillId="1" borderId="51" xfId="0" applyFont="1" applyFill="1" applyBorder="1" applyAlignment="1">
      <alignment horizontal="center" vertical="center"/>
    </xf>
    <xf numFmtId="0" fontId="0" fillId="1" borderId="52" xfId="0" applyFont="1" applyFill="1" applyBorder="1" applyAlignment="1">
      <alignment horizontal="center" vertical="center"/>
    </xf>
    <xf numFmtId="39" fontId="0" fillId="0" borderId="53" xfId="47" applyNumberFormat="1" applyFont="1" applyFill="1" applyBorder="1" applyAlignment="1">
      <alignment horizontal="center" vertical="center"/>
    </xf>
    <xf numFmtId="39" fontId="0" fillId="0" borderId="54" xfId="47" applyNumberFormat="1" applyFont="1" applyFill="1" applyBorder="1" applyAlignment="1">
      <alignment horizontal="center" vertical="center"/>
    </xf>
    <xf numFmtId="3" fontId="0" fillId="0" borderId="55" xfId="0" applyNumberFormat="1" applyFont="1" applyFill="1" applyBorder="1" applyAlignment="1">
      <alignment horizontal="center" vertical="center"/>
    </xf>
    <xf numFmtId="181" fontId="0" fillId="0" borderId="53" xfId="47" applyNumberFormat="1" applyFont="1" applyFill="1" applyBorder="1" applyAlignment="1">
      <alignment horizontal="center" vertical="center"/>
    </xf>
    <xf numFmtId="0" fontId="5" fillId="36" borderId="56" xfId="0" applyFont="1" applyFill="1" applyBorder="1" applyAlignment="1">
      <alignment horizontal="center" vertical="center"/>
    </xf>
    <xf numFmtId="181" fontId="0" fillId="0" borderId="54" xfId="47" applyNumberFormat="1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 wrapText="1"/>
    </xf>
    <xf numFmtId="2" fontId="5" fillId="36" borderId="16" xfId="0" applyNumberFormat="1" applyFont="1" applyFill="1" applyBorder="1" applyAlignment="1">
      <alignment horizontal="center" vertical="center" wrapText="1"/>
    </xf>
    <xf numFmtId="2" fontId="5" fillId="36" borderId="35" xfId="0" applyNumberFormat="1" applyFont="1" applyFill="1" applyBorder="1" applyAlignment="1">
      <alignment horizontal="center" vertical="center" wrapText="1"/>
    </xf>
    <xf numFmtId="184" fontId="0" fillId="0" borderId="23" xfId="64" applyNumberFormat="1" applyFont="1" applyFill="1" applyBorder="1" applyAlignment="1">
      <alignment horizontal="center" vertical="center"/>
    </xf>
    <xf numFmtId="0" fontId="0" fillId="1" borderId="23" xfId="0" applyFont="1" applyFill="1" applyBorder="1" applyAlignment="1">
      <alignment horizontal="center" vertical="center"/>
    </xf>
    <xf numFmtId="0" fontId="0" fillId="1" borderId="34" xfId="0" applyFont="1" applyFill="1" applyBorder="1" applyAlignment="1">
      <alignment horizontal="center" vertical="center"/>
    </xf>
    <xf numFmtId="181" fontId="0" fillId="0" borderId="51" xfId="47" applyNumberFormat="1" applyFont="1" applyFill="1" applyBorder="1" applyAlignment="1">
      <alignment horizontal="center" vertical="center"/>
    </xf>
    <xf numFmtId="184" fontId="0" fillId="0" borderId="52" xfId="64" applyNumberFormat="1" applyFont="1" applyFill="1" applyBorder="1" applyAlignment="1">
      <alignment horizontal="center" vertical="center"/>
    </xf>
    <xf numFmtId="184" fontId="0" fillId="0" borderId="53" xfId="64" applyNumberFormat="1" applyFont="1" applyFill="1" applyBorder="1" applyAlignment="1">
      <alignment horizontal="center" vertical="center"/>
    </xf>
    <xf numFmtId="181" fontId="0" fillId="0" borderId="34" xfId="47" applyNumberFormat="1" applyFont="1" applyFill="1" applyBorder="1" applyAlignment="1">
      <alignment horizontal="center" vertical="center"/>
    </xf>
    <xf numFmtId="184" fontId="0" fillId="0" borderId="54" xfId="64" applyNumberFormat="1" applyFont="1" applyFill="1" applyBorder="1" applyAlignment="1">
      <alignment horizontal="center" vertical="center"/>
    </xf>
    <xf numFmtId="3" fontId="0" fillId="0" borderId="55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Fill="1" applyBorder="1" applyAlignment="1">
      <alignment horizontal="center" vertical="center"/>
    </xf>
    <xf numFmtId="181" fontId="0" fillId="0" borderId="50" xfId="47" applyNumberFormat="1" applyFont="1" applyFill="1" applyBorder="1" applyAlignment="1">
      <alignment horizontal="center" vertical="center"/>
    </xf>
    <xf numFmtId="181" fontId="0" fillId="0" borderId="55" xfId="47" applyNumberFormat="1" applyFont="1" applyFill="1" applyBorder="1" applyAlignment="1">
      <alignment horizontal="center" vertical="center"/>
    </xf>
    <xf numFmtId="184" fontId="0" fillId="0" borderId="21" xfId="64" applyNumberFormat="1" applyFont="1" applyFill="1" applyBorder="1" applyAlignment="1">
      <alignment horizontal="center" vertical="center"/>
    </xf>
    <xf numFmtId="181" fontId="0" fillId="0" borderId="49" xfId="47" applyNumberFormat="1" applyFont="1" applyFill="1" applyBorder="1" applyAlignment="1">
      <alignment horizontal="center" vertical="center"/>
    </xf>
    <xf numFmtId="181" fontId="0" fillId="0" borderId="48" xfId="47" applyNumberFormat="1" applyFont="1" applyFill="1" applyBorder="1" applyAlignment="1">
      <alignment horizontal="center" vertical="center"/>
    </xf>
    <xf numFmtId="184" fontId="0" fillId="0" borderId="27" xfId="64" applyNumberFormat="1" applyFont="1" applyFill="1" applyBorder="1" applyAlignment="1">
      <alignment horizontal="center" vertical="center"/>
    </xf>
    <xf numFmtId="184" fontId="0" fillId="0" borderId="49" xfId="64" applyNumberFormat="1" applyFont="1" applyFill="1" applyBorder="1" applyAlignment="1">
      <alignment horizontal="center" vertical="center"/>
    </xf>
    <xf numFmtId="177" fontId="5" fillId="37" borderId="37" xfId="0" applyNumberFormat="1" applyFont="1" applyFill="1" applyBorder="1" applyAlignment="1">
      <alignment horizontal="center" vertical="center"/>
    </xf>
    <xf numFmtId="0" fontId="17" fillId="37" borderId="37" xfId="0" applyFont="1" applyFill="1" applyBorder="1" applyAlignment="1">
      <alignment horizontal="center" vertical="center"/>
    </xf>
    <xf numFmtId="39" fontId="5" fillId="37" borderId="57" xfId="47" applyNumberFormat="1" applyFont="1" applyFill="1" applyBorder="1" applyAlignment="1">
      <alignment horizontal="center" vertical="center"/>
    </xf>
    <xf numFmtId="39" fontId="17" fillId="37" borderId="57" xfId="47" applyNumberFormat="1" applyFont="1" applyFill="1" applyBorder="1" applyAlignment="1">
      <alignment horizontal="center" vertical="center"/>
    </xf>
    <xf numFmtId="181" fontId="5" fillId="37" borderId="58" xfId="47" applyNumberFormat="1" applyFont="1" applyFill="1" applyBorder="1" applyAlignment="1">
      <alignment horizontal="center" vertical="center"/>
    </xf>
    <xf numFmtId="184" fontId="5" fillId="37" borderId="43" xfId="64" applyNumberFormat="1" applyFont="1" applyFill="1" applyBorder="1" applyAlignment="1">
      <alignment horizontal="center" vertical="center"/>
    </xf>
    <xf numFmtId="0" fontId="17" fillId="37" borderId="26" xfId="0" applyFont="1" applyFill="1" applyBorder="1" applyAlignment="1">
      <alignment horizontal="center" vertical="center"/>
    </xf>
    <xf numFmtId="184" fontId="5" fillId="37" borderId="57" xfId="64" applyNumberFormat="1" applyFont="1" applyFill="1" applyBorder="1" applyAlignment="1">
      <alignment horizontal="center" vertical="center"/>
    </xf>
    <xf numFmtId="184" fontId="0" fillId="0" borderId="59" xfId="64" applyNumberFormat="1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wrapText="1"/>
    </xf>
    <xf numFmtId="39" fontId="6" fillId="0" borderId="8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wrapText="1"/>
    </xf>
    <xf numFmtId="169" fontId="6" fillId="0" borderId="10" xfId="0" applyNumberFormat="1" applyFont="1" applyFill="1" applyBorder="1" applyAlignment="1">
      <alignment/>
    </xf>
    <xf numFmtId="171" fontId="6" fillId="0" borderId="10" xfId="0" applyNumberFormat="1" applyFont="1" applyFill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3" fillId="36" borderId="23" xfId="0" applyFont="1" applyFill="1" applyBorder="1" applyAlignment="1">
      <alignment horizontal="center" vertical="center" wrapText="1"/>
    </xf>
    <xf numFmtId="39" fontId="6" fillId="38" borderId="23" xfId="0" applyNumberFormat="1" applyFont="1" applyFill="1" applyBorder="1" applyAlignment="1">
      <alignment horizontal="left" vertical="center"/>
    </xf>
    <xf numFmtId="172" fontId="6" fillId="0" borderId="23" xfId="0" applyNumberFormat="1" applyFont="1" applyBorder="1" applyAlignment="1">
      <alignment horizontal="center"/>
    </xf>
    <xf numFmtId="0" fontId="15" fillId="33" borderId="23" xfId="0" applyFont="1" applyFill="1" applyBorder="1" applyAlignment="1">
      <alignment horizontal="left" vertical="center" wrapText="1"/>
    </xf>
    <xf numFmtId="0" fontId="15" fillId="38" borderId="23" xfId="0" applyFont="1" applyFill="1" applyBorder="1" applyAlignment="1">
      <alignment horizontal="left" vertical="center" wrapText="1"/>
    </xf>
    <xf numFmtId="171" fontId="26" fillId="38" borderId="23" xfId="0" applyNumberFormat="1" applyFont="1" applyFill="1" applyBorder="1" applyAlignment="1">
      <alignment horizontal="left" vertical="center"/>
    </xf>
    <xf numFmtId="171" fontId="0" fillId="0" borderId="23" xfId="0" applyNumberFormat="1" applyFont="1" applyFill="1" applyBorder="1" applyAlignment="1">
      <alignment horizontal="center" vertical="center"/>
    </xf>
    <xf numFmtId="39" fontId="0" fillId="0" borderId="23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71" fontId="20" fillId="0" borderId="0" xfId="0" applyNumberFormat="1" applyFont="1" applyFill="1" applyBorder="1" applyAlignment="1">
      <alignment horizontal="left" vertical="center"/>
    </xf>
    <xf numFmtId="39" fontId="6" fillId="0" borderId="0" xfId="0" applyNumberFormat="1" applyFont="1" applyFill="1" applyBorder="1" applyAlignment="1">
      <alignment horizontal="left" vertical="center"/>
    </xf>
    <xf numFmtId="170" fontId="0" fillId="39" borderId="0" xfId="0" applyNumberFormat="1" applyFill="1" applyAlignment="1">
      <alignment/>
    </xf>
    <xf numFmtId="0" fontId="0" fillId="39" borderId="0" xfId="0" applyFill="1" applyAlignment="1">
      <alignment/>
    </xf>
    <xf numFmtId="170" fontId="0" fillId="39" borderId="29" xfId="0" applyNumberFormat="1" applyFill="1" applyBorder="1" applyAlignment="1">
      <alignment/>
    </xf>
    <xf numFmtId="170" fontId="5" fillId="0" borderId="12" xfId="45" applyNumberFormat="1" applyFont="1" applyFill="1" applyBorder="1" applyAlignment="1">
      <alignment/>
    </xf>
    <xf numFmtId="38" fontId="0" fillId="0" borderId="23" xfId="0" applyNumberFormat="1" applyFill="1" applyBorder="1" applyAlignment="1">
      <alignment horizontal="center"/>
    </xf>
    <xf numFmtId="38" fontId="5" fillId="0" borderId="12" xfId="0" applyNumberFormat="1" applyFont="1" applyFill="1" applyBorder="1" applyAlignment="1">
      <alignment horizontal="center"/>
    </xf>
    <xf numFmtId="4" fontId="24" fillId="35" borderId="23" xfId="0" applyNumberFormat="1" applyFont="1" applyFill="1" applyBorder="1" applyAlignment="1">
      <alignment horizontal="center" wrapText="1"/>
    </xf>
    <xf numFmtId="3" fontId="24" fillId="35" borderId="23" xfId="0" applyNumberFormat="1" applyFont="1" applyFill="1" applyBorder="1" applyAlignment="1">
      <alignment horizontal="center" wrapText="1"/>
    </xf>
    <xf numFmtId="3" fontId="23" fillId="35" borderId="23" xfId="0" applyNumberFormat="1" applyFont="1" applyFill="1" applyBorder="1" applyAlignment="1">
      <alignment wrapText="1"/>
    </xf>
    <xf numFmtId="172" fontId="24" fillId="0" borderId="23" xfId="0" applyNumberFormat="1" applyFont="1" applyFill="1" applyBorder="1" applyAlignment="1">
      <alignment wrapText="1"/>
    </xf>
    <xf numFmtId="172" fontId="24" fillId="35" borderId="23" xfId="0" applyNumberFormat="1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4" fontId="23" fillId="0" borderId="32" xfId="0" applyNumberFormat="1" applyFont="1" applyFill="1" applyBorder="1" applyAlignment="1">
      <alignment horizontal="center" wrapText="1"/>
    </xf>
    <xf numFmtId="4" fontId="23" fillId="0" borderId="32" xfId="0" applyNumberFormat="1" applyFont="1" applyFill="1" applyBorder="1" applyAlignment="1">
      <alignment wrapText="1"/>
    </xf>
    <xf numFmtId="0" fontId="17" fillId="0" borderId="60" xfId="0" applyFont="1" applyFill="1" applyBorder="1" applyAlignment="1">
      <alignment horizontal="left" vertical="center" indent="5"/>
    </xf>
    <xf numFmtId="0" fontId="17" fillId="0" borderId="60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vertical="center"/>
    </xf>
    <xf numFmtId="39" fontId="17" fillId="0" borderId="60" xfId="47" applyNumberFormat="1" applyFont="1" applyFill="1" applyBorder="1" applyAlignment="1">
      <alignment vertical="center"/>
    </xf>
    <xf numFmtId="0" fontId="17" fillId="0" borderId="60" xfId="0" applyFont="1" applyFill="1" applyBorder="1" applyAlignment="1">
      <alignment horizontal="left" vertical="center"/>
    </xf>
    <xf numFmtId="10" fontId="21" fillId="0" borderId="60" xfId="64" applyNumberFormat="1" applyFont="1" applyFill="1" applyBorder="1" applyAlignment="1">
      <alignment horizontal="center" vertical="center"/>
    </xf>
    <xf numFmtId="10" fontId="17" fillId="0" borderId="60" xfId="64" applyNumberFormat="1" applyFont="1" applyFill="1" applyBorder="1" applyAlignment="1">
      <alignment horizontal="center" vertical="center"/>
    </xf>
    <xf numFmtId="172" fontId="24" fillId="0" borderId="23" xfId="0" applyNumberFormat="1" applyFont="1" applyFill="1" applyBorder="1" applyAlignment="1">
      <alignment horizontal="center" wrapText="1"/>
    </xf>
    <xf numFmtId="170" fontId="3" fillId="35" borderId="0" xfId="45" applyNumberFormat="1" applyFont="1" applyFill="1" applyAlignment="1">
      <alignment/>
    </xf>
    <xf numFmtId="168" fontId="5" fillId="35" borderId="26" xfId="42" applyNumberFormat="1" applyFont="1" applyFill="1" applyBorder="1" applyAlignment="1">
      <alignment horizontal="center"/>
    </xf>
    <xf numFmtId="0" fontId="5" fillId="35" borderId="40" xfId="0" applyFont="1" applyFill="1" applyBorder="1" applyAlignment="1">
      <alignment/>
    </xf>
    <xf numFmtId="37" fontId="23" fillId="0" borderId="23" xfId="0" applyNumberFormat="1" applyFont="1" applyFill="1" applyBorder="1" applyAlignment="1">
      <alignment wrapText="1"/>
    </xf>
    <xf numFmtId="37" fontId="3" fillId="0" borderId="6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" fillId="36" borderId="37" xfId="0" applyFont="1" applyFill="1" applyBorder="1" applyAlignment="1">
      <alignment horizontal="center"/>
    </xf>
    <xf numFmtId="0" fontId="5" fillId="36" borderId="23" xfId="0" applyFont="1" applyFill="1" applyBorder="1" applyAlignment="1">
      <alignment/>
    </xf>
    <xf numFmtId="37" fontId="0" fillId="0" borderId="23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vertical="center" wrapText="1"/>
    </xf>
    <xf numFmtId="3" fontId="0" fillId="0" borderId="56" xfId="0" applyNumberFormat="1" applyFont="1" applyFill="1" applyBorder="1" applyAlignment="1">
      <alignment horizontal="center" vertical="center"/>
    </xf>
    <xf numFmtId="39" fontId="0" fillId="0" borderId="42" xfId="47" applyNumberFormat="1" applyFont="1" applyFill="1" applyBorder="1" applyAlignment="1">
      <alignment horizontal="center" vertical="center"/>
    </xf>
    <xf numFmtId="181" fontId="0" fillId="0" borderId="42" xfId="47" applyNumberFormat="1" applyFont="1" applyFill="1" applyBorder="1" applyAlignment="1">
      <alignment horizontal="center" vertical="center"/>
    </xf>
    <xf numFmtId="184" fontId="0" fillId="0" borderId="62" xfId="64" applyNumberFormat="1" applyFont="1" applyFill="1" applyBorder="1" applyAlignment="1">
      <alignment horizontal="center" vertical="center"/>
    </xf>
    <xf numFmtId="10" fontId="0" fillId="0" borderId="14" xfId="0" applyNumberFormat="1" applyFont="1" applyFill="1" applyBorder="1" applyAlignment="1">
      <alignment horizontal="center" vertical="center"/>
    </xf>
    <xf numFmtId="10" fontId="0" fillId="0" borderId="8" xfId="0" applyNumberFormat="1" applyBorder="1" applyAlignment="1">
      <alignment/>
    </xf>
    <xf numFmtId="3" fontId="6" fillId="35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7" fontId="0" fillId="0" borderId="23" xfId="0" applyNumberFormat="1" applyFont="1" applyFill="1" applyBorder="1" applyAlignment="1">
      <alignment/>
    </xf>
    <xf numFmtId="37" fontId="0" fillId="0" borderId="23" xfId="0" applyNumberFormat="1" applyFill="1" applyBorder="1" applyAlignment="1">
      <alignment/>
    </xf>
    <xf numFmtId="3" fontId="0" fillId="0" borderId="23" xfId="42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center"/>
    </xf>
    <xf numFmtId="165" fontId="0" fillId="0" borderId="23" xfId="45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/>
    </xf>
    <xf numFmtId="185" fontId="0" fillId="35" borderId="26" xfId="0" applyNumberForma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166" fontId="0" fillId="0" borderId="0" xfId="45" applyNumberFormat="1" applyFont="1" applyFill="1" applyBorder="1" applyAlignment="1">
      <alignment/>
    </xf>
    <xf numFmtId="170" fontId="5" fillId="0" borderId="63" xfId="45" applyNumberFormat="1" applyFont="1" applyFill="1" applyBorder="1" applyAlignment="1">
      <alignment/>
    </xf>
    <xf numFmtId="0" fontId="0" fillId="0" borderId="0" xfId="0" applyFill="1" applyAlignment="1">
      <alignment/>
    </xf>
    <xf numFmtId="170" fontId="0" fillId="0" borderId="0" xfId="45" applyNumberFormat="1" applyFont="1" applyFill="1" applyBorder="1" applyAlignment="1">
      <alignment/>
    </xf>
    <xf numFmtId="170" fontId="5" fillId="0" borderId="29" xfId="45" applyNumberFormat="1" applyFont="1" applyFill="1" applyBorder="1" applyAlignment="1">
      <alignment/>
    </xf>
    <xf numFmtId="170" fontId="0" fillId="0" borderId="0" xfId="45" applyNumberFormat="1" applyFont="1" applyFill="1" applyAlignment="1">
      <alignment/>
    </xf>
    <xf numFmtId="170" fontId="5" fillId="0" borderId="12" xfId="45" applyNumberFormat="1" applyFont="1" applyFill="1" applyBorder="1" applyAlignment="1">
      <alignment/>
    </xf>
    <xf numFmtId="173" fontId="5" fillId="0" borderId="0" xfId="64" applyNumberFormat="1" applyFont="1" applyFill="1" applyBorder="1" applyAlignment="1">
      <alignment/>
    </xf>
    <xf numFmtId="186" fontId="0" fillId="0" borderId="23" xfId="45" applyNumberFormat="1" applyFont="1" applyFill="1" applyBorder="1" applyAlignment="1">
      <alignment/>
    </xf>
    <xf numFmtId="186" fontId="5" fillId="0" borderId="12" xfId="45" applyNumberFormat="1" applyFont="1" applyFill="1" applyBorder="1" applyAlignment="1">
      <alignment/>
    </xf>
    <xf numFmtId="37" fontId="0" fillId="35" borderId="21" xfId="0" applyNumberFormat="1" applyFont="1" applyFill="1" applyBorder="1" applyAlignment="1">
      <alignment horizontal="center"/>
    </xf>
    <xf numFmtId="37" fontId="0" fillId="35" borderId="27" xfId="0" applyNumberFormat="1" applyFont="1" applyFill="1" applyBorder="1" applyAlignment="1">
      <alignment horizontal="center"/>
    </xf>
    <xf numFmtId="3" fontId="5" fillId="36" borderId="23" xfId="0" applyNumberFormat="1" applyFont="1" applyFill="1" applyBorder="1" applyAlignment="1">
      <alignment horizontal="center" wrapText="1"/>
    </xf>
    <xf numFmtId="3" fontId="0" fillId="35" borderId="23" xfId="45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3" xfId="64" applyNumberFormat="1" applyFont="1" applyFill="1" applyBorder="1" applyAlignment="1">
      <alignment horizontal="center"/>
    </xf>
    <xf numFmtId="178" fontId="0" fillId="0" borderId="23" xfId="42" applyNumberFormat="1" applyFont="1" applyFill="1" applyBorder="1" applyAlignment="1">
      <alignment horizontal="center"/>
    </xf>
    <xf numFmtId="178" fontId="0" fillId="35" borderId="23" xfId="45" applyNumberFormat="1" applyFont="1" applyFill="1" applyBorder="1" applyAlignment="1">
      <alignment horizontal="center"/>
    </xf>
    <xf numFmtId="178" fontId="5" fillId="0" borderId="2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40" borderId="0" xfId="0" applyNumberFormat="1" applyFill="1" applyAlignment="1">
      <alignment horizontal="center"/>
    </xf>
    <xf numFmtId="178" fontId="0" fillId="35" borderId="23" xfId="64" applyNumberFormat="1" applyFont="1" applyFill="1" applyBorder="1" applyAlignment="1">
      <alignment horizontal="center"/>
    </xf>
    <xf numFmtId="3" fontId="5" fillId="0" borderId="12" xfId="45" applyNumberFormat="1" applyFont="1" applyFill="1" applyBorder="1" applyAlignment="1">
      <alignment horizontal="center"/>
    </xf>
    <xf numFmtId="3" fontId="5" fillId="0" borderId="32" xfId="0" applyNumberFormat="1" applyFont="1" applyFill="1" applyBorder="1" applyAlignment="1">
      <alignment horizontal="left" indent="1"/>
    </xf>
    <xf numFmtId="0" fontId="5" fillId="38" borderId="0" xfId="0" applyFont="1" applyFill="1" applyAlignment="1">
      <alignment/>
    </xf>
    <xf numFmtId="0" fontId="5" fillId="36" borderId="64" xfId="0" applyFont="1" applyFill="1" applyBorder="1" applyAlignment="1">
      <alignment horizontal="center"/>
    </xf>
    <xf numFmtId="172" fontId="7" fillId="36" borderId="45" xfId="0" applyNumberFormat="1" applyFont="1" applyFill="1" applyBorder="1" applyAlignment="1">
      <alignment horizontal="center" vertical="center" wrapText="1"/>
    </xf>
    <xf numFmtId="37" fontId="0" fillId="35" borderId="25" xfId="0" applyNumberFormat="1" applyFont="1" applyFill="1" applyBorder="1" applyAlignment="1">
      <alignment horizontal="center"/>
    </xf>
    <xf numFmtId="37" fontId="0" fillId="35" borderId="65" xfId="0" applyNumberFormat="1" applyFont="1" applyFill="1" applyBorder="1" applyAlignment="1">
      <alignment horizontal="center"/>
    </xf>
    <xf numFmtId="37" fontId="0" fillId="35" borderId="66" xfId="0" applyNumberFormat="1" applyFont="1" applyFill="1" applyBorder="1" applyAlignment="1">
      <alignment horizontal="center"/>
    </xf>
    <xf numFmtId="0" fontId="5" fillId="0" borderId="67" xfId="0" applyFont="1" applyFill="1" applyBorder="1" applyAlignment="1">
      <alignment/>
    </xf>
    <xf numFmtId="0" fontId="5" fillId="0" borderId="68" xfId="0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36" borderId="28" xfId="0" applyFont="1" applyFill="1" applyBorder="1" applyAlignment="1">
      <alignment horizontal="center" wrapText="1"/>
    </xf>
    <xf numFmtId="37" fontId="5" fillId="36" borderId="64" xfId="64" applyNumberFormat="1" applyFont="1" applyFill="1" applyBorder="1" applyAlignment="1">
      <alignment horizontal="center" wrapText="1"/>
    </xf>
    <xf numFmtId="37" fontId="5" fillId="36" borderId="23" xfId="64" applyNumberFormat="1" applyFont="1" applyFill="1" applyBorder="1" applyAlignment="1">
      <alignment horizontal="center" wrapText="1"/>
    </xf>
    <xf numFmtId="9" fontId="0" fillId="0" borderId="23" xfId="64" applyNumberFormat="1" applyFont="1" applyFill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3" fontId="24" fillId="35" borderId="21" xfId="0" applyNumberFormat="1" applyFont="1" applyFill="1" applyBorder="1" applyAlignment="1">
      <alignment horizontal="center" wrapText="1"/>
    </xf>
    <xf numFmtId="172" fontId="24" fillId="0" borderId="21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 horizontal="center"/>
      <protection/>
    </xf>
    <xf numFmtId="3" fontId="16" fillId="36" borderId="0" xfId="0" applyNumberFormat="1" applyFont="1" applyFill="1" applyBorder="1" applyAlignment="1">
      <alignment horizontal="right" vertical="center"/>
    </xf>
    <xf numFmtId="3" fontId="16" fillId="36" borderId="0" xfId="0" applyNumberFormat="1" applyFont="1" applyFill="1" applyBorder="1" applyAlignment="1">
      <alignment horizontal="left" vertical="center"/>
    </xf>
    <xf numFmtId="184" fontId="5" fillId="37" borderId="62" xfId="64" applyNumberFormat="1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81" fontId="0" fillId="0" borderId="58" xfId="47" applyNumberFormat="1" applyFont="1" applyFill="1" applyBorder="1" applyAlignment="1">
      <alignment horizontal="center" vertical="center"/>
    </xf>
    <xf numFmtId="184" fontId="5" fillId="37" borderId="53" xfId="64" applyNumberFormat="1" applyFont="1" applyFill="1" applyBorder="1" applyAlignment="1">
      <alignment horizontal="center" vertical="center"/>
    </xf>
    <xf numFmtId="0" fontId="15" fillId="0" borderId="39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7" fillId="37" borderId="37" xfId="0" applyFont="1" applyFill="1" applyBorder="1" applyAlignment="1">
      <alignment horizontal="center" vertical="center"/>
    </xf>
    <xf numFmtId="39" fontId="17" fillId="37" borderId="57" xfId="47" applyNumberFormat="1" applyFont="1" applyFill="1" applyBorder="1" applyAlignment="1">
      <alignment horizontal="center" vertical="center"/>
    </xf>
    <xf numFmtId="184" fontId="17" fillId="37" borderId="43" xfId="64" applyNumberFormat="1" applyFont="1" applyFill="1" applyBorder="1" applyAlignment="1">
      <alignment horizontal="center" vertical="center"/>
    </xf>
    <xf numFmtId="184" fontId="17" fillId="37" borderId="57" xfId="64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/>
    </xf>
    <xf numFmtId="0" fontId="15" fillId="0" borderId="0" xfId="0" applyFont="1" applyAlignment="1">
      <alignment/>
    </xf>
    <xf numFmtId="0" fontId="0" fillId="0" borderId="70" xfId="0" applyBorder="1" applyAlignment="1">
      <alignment/>
    </xf>
    <xf numFmtId="187" fontId="5" fillId="37" borderId="57" xfId="47" applyNumberFormat="1" applyFont="1" applyFill="1" applyBorder="1" applyAlignment="1">
      <alignment horizontal="center" vertical="center"/>
    </xf>
    <xf numFmtId="166" fontId="17" fillId="37" borderId="57" xfId="47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27" xfId="47" applyNumberFormat="1" applyFont="1" applyFill="1" applyBorder="1" applyAlignment="1">
      <alignment horizontal="center" vertical="center"/>
    </xf>
    <xf numFmtId="0" fontId="5" fillId="36" borderId="58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 wrapText="1"/>
    </xf>
    <xf numFmtId="2" fontId="5" fillId="36" borderId="57" xfId="0" applyNumberFormat="1" applyFont="1" applyFill="1" applyBorder="1" applyAlignment="1">
      <alignment horizontal="center" vertical="center" wrapText="1"/>
    </xf>
    <xf numFmtId="0" fontId="5" fillId="36" borderId="43" xfId="0" applyFont="1" applyFill="1" applyBorder="1" applyAlignment="1">
      <alignment horizontal="center" vertical="center"/>
    </xf>
    <xf numFmtId="3" fontId="0" fillId="0" borderId="71" xfId="0" applyNumberFormat="1" applyFont="1" applyFill="1" applyBorder="1" applyAlignment="1">
      <alignment horizontal="center" vertical="center"/>
    </xf>
    <xf numFmtId="3" fontId="0" fillId="0" borderId="64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23" xfId="0" applyBorder="1" applyAlignment="1">
      <alignment horizontal="center"/>
    </xf>
    <xf numFmtId="172" fontId="0" fillId="36" borderId="73" xfId="0" applyNumberFormat="1" applyFill="1" applyBorder="1" applyAlignment="1">
      <alignment horizontal="center" vertical="center" wrapText="1"/>
    </xf>
    <xf numFmtId="172" fontId="0" fillId="36" borderId="73" xfId="0" applyNumberFormat="1" applyFill="1" applyBorder="1" applyAlignment="1">
      <alignment horizontal="center" vertical="center"/>
    </xf>
    <xf numFmtId="172" fontId="0" fillId="35" borderId="73" xfId="0" applyNumberFormat="1" applyFont="1" applyFill="1" applyBorder="1" applyAlignment="1" applyProtection="1">
      <alignment horizontal="center"/>
      <protection locked="0"/>
    </xf>
    <xf numFmtId="172" fontId="0" fillId="36" borderId="44" xfId="0" applyNumberFormat="1" applyFill="1" applyBorder="1" applyAlignment="1">
      <alignment horizontal="center" vertical="center" wrapText="1"/>
    </xf>
    <xf numFmtId="172" fontId="0" fillId="36" borderId="44" xfId="0" applyNumberFormat="1" applyFill="1" applyBorder="1" applyAlignment="1">
      <alignment horizontal="center" vertical="center"/>
    </xf>
    <xf numFmtId="172" fontId="0" fillId="35" borderId="44" xfId="0" applyNumberFormat="1" applyFont="1" applyFill="1" applyBorder="1" applyAlignment="1" applyProtection="1">
      <alignment horizontal="center"/>
      <protection locked="0"/>
    </xf>
    <xf numFmtId="172" fontId="0" fillId="36" borderId="74" xfId="0" applyNumberForma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/>
    </xf>
    <xf numFmtId="39" fontId="5" fillId="37" borderId="62" xfId="47" applyNumberFormat="1" applyFont="1" applyFill="1" applyBorder="1" applyAlignment="1">
      <alignment horizontal="center" vertical="center"/>
    </xf>
    <xf numFmtId="184" fontId="5" fillId="37" borderId="16" xfId="64" applyNumberFormat="1" applyFont="1" applyFill="1" applyBorder="1" applyAlignment="1">
      <alignment horizontal="center" vertical="center"/>
    </xf>
    <xf numFmtId="39" fontId="17" fillId="0" borderId="60" xfId="47" applyNumberFormat="1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/>
    </xf>
    <xf numFmtId="176" fontId="0" fillId="35" borderId="27" xfId="0" applyNumberFormat="1" applyFont="1" applyFill="1" applyBorder="1" applyAlignment="1">
      <alignment horizontal="center"/>
    </xf>
    <xf numFmtId="37" fontId="0" fillId="35" borderId="23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3" fontId="0" fillId="35" borderId="75" xfId="45" applyNumberFormat="1" applyFont="1" applyFill="1" applyBorder="1" applyAlignment="1">
      <alignment horizontal="center"/>
    </xf>
    <xf numFmtId="37" fontId="0" fillId="35" borderId="75" xfId="0" applyNumberFormat="1" applyFont="1" applyFill="1" applyBorder="1" applyAlignment="1">
      <alignment horizontal="center"/>
    </xf>
    <xf numFmtId="178" fontId="0" fillId="35" borderId="75" xfId="45" applyNumberFormat="1" applyFont="1" applyFill="1" applyBorder="1" applyAlignment="1">
      <alignment horizontal="center"/>
    </xf>
    <xf numFmtId="3" fontId="0" fillId="0" borderId="75" xfId="42" applyNumberFormat="1" applyFont="1" applyFill="1" applyBorder="1" applyAlignment="1">
      <alignment horizontal="center"/>
    </xf>
    <xf numFmtId="39" fontId="0" fillId="35" borderId="27" xfId="0" applyNumberFormat="1" applyFont="1" applyFill="1" applyBorder="1" applyAlignment="1">
      <alignment horizontal="center"/>
    </xf>
    <xf numFmtId="4" fontId="0" fillId="35" borderId="75" xfId="42" applyNumberFormat="1" applyFont="1" applyFill="1" applyBorder="1" applyAlignment="1">
      <alignment horizontal="center"/>
    </xf>
    <xf numFmtId="174" fontId="0" fillId="0" borderId="75" xfId="45" applyNumberFormat="1" applyFont="1" applyFill="1" applyBorder="1" applyAlignment="1">
      <alignment/>
    </xf>
    <xf numFmtId="9" fontId="5" fillId="0" borderId="12" xfId="45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3" fontId="0" fillId="0" borderId="33" xfId="0" applyNumberFormat="1" applyBorder="1" applyAlignment="1">
      <alignment horizontal="center"/>
    </xf>
    <xf numFmtId="3" fontId="0" fillId="0" borderId="70" xfId="0" applyNumberFormat="1" applyBorder="1" applyAlignment="1">
      <alignment horizontal="center"/>
    </xf>
    <xf numFmtId="3" fontId="0" fillId="0" borderId="76" xfId="0" applyNumberFormat="1" applyBorder="1" applyAlignment="1">
      <alignment horizontal="center"/>
    </xf>
    <xf numFmtId="37" fontId="0" fillId="0" borderId="33" xfId="0" applyNumberFormat="1" applyFont="1" applyFill="1" applyBorder="1" applyAlignment="1">
      <alignment horizontal="center"/>
    </xf>
    <xf numFmtId="37" fontId="0" fillId="0" borderId="70" xfId="0" applyNumberFormat="1" applyFont="1" applyFill="1" applyBorder="1" applyAlignment="1">
      <alignment horizontal="center"/>
    </xf>
    <xf numFmtId="37" fontId="0" fillId="0" borderId="76" xfId="0" applyNumberFormat="1" applyFont="1" applyFill="1" applyBorder="1" applyAlignment="1">
      <alignment horizontal="center"/>
    </xf>
    <xf numFmtId="9" fontId="5" fillId="0" borderId="12" xfId="64" applyFont="1" applyFill="1" applyBorder="1" applyAlignment="1">
      <alignment horizontal="center"/>
    </xf>
    <xf numFmtId="170" fontId="0" fillId="0" borderId="75" xfId="45" applyNumberFormat="1" applyFont="1" applyFill="1" applyBorder="1" applyAlignment="1">
      <alignment/>
    </xf>
    <xf numFmtId="170" fontId="5" fillId="0" borderId="0" xfId="45" applyNumberFormat="1" applyFont="1" applyFill="1" applyBorder="1" applyAlignment="1">
      <alignment horizontal="center"/>
    </xf>
    <xf numFmtId="3" fontId="0" fillId="0" borderId="21" xfId="42" applyNumberFormat="1" applyFont="1" applyFill="1" applyBorder="1" applyAlignment="1">
      <alignment horizontal="center"/>
    </xf>
    <xf numFmtId="168" fontId="0" fillId="0" borderId="21" xfId="42" applyNumberFormat="1" applyFont="1" applyFill="1" applyBorder="1" applyAlignment="1">
      <alignment horizontal="center"/>
    </xf>
    <xf numFmtId="177" fontId="0" fillId="0" borderId="21" xfId="42" applyNumberFormat="1" applyFont="1" applyFill="1" applyBorder="1" applyAlignment="1">
      <alignment horizontal="center"/>
    </xf>
    <xf numFmtId="4" fontId="24" fillId="35" borderId="21" xfId="0" applyNumberFormat="1" applyFont="1" applyFill="1" applyBorder="1" applyAlignment="1">
      <alignment horizontal="center" wrapText="1"/>
    </xf>
    <xf numFmtId="10" fontId="0" fillId="35" borderId="23" xfId="64" applyNumberFormat="1" applyFont="1" applyFill="1" applyBorder="1" applyAlignment="1">
      <alignment horizontal="center"/>
    </xf>
    <xf numFmtId="37" fontId="3" fillId="0" borderId="45" xfId="0" applyNumberFormat="1" applyFont="1" applyFill="1" applyBorder="1" applyAlignment="1">
      <alignment/>
    </xf>
    <xf numFmtId="176" fontId="0" fillId="35" borderId="23" xfId="45" applyNumberFormat="1" applyFont="1" applyFill="1" applyBorder="1" applyAlignment="1" applyProtection="1">
      <alignment horizontal="center"/>
      <protection locked="0"/>
    </xf>
    <xf numFmtId="39" fontId="0" fillId="35" borderId="23" xfId="45" applyNumberFormat="1" applyFont="1" applyFill="1" applyBorder="1" applyAlignment="1" applyProtection="1">
      <alignment horizontal="center"/>
      <protection locked="0"/>
    </xf>
    <xf numFmtId="188" fontId="0" fillId="35" borderId="23" xfId="45" applyNumberFormat="1" applyFont="1" applyFill="1" applyBorder="1" applyAlignment="1" applyProtection="1">
      <alignment horizontal="center"/>
      <protection locked="0"/>
    </xf>
    <xf numFmtId="186" fontId="0" fillId="0" borderId="75" xfId="45" applyNumberFormat="1" applyFont="1" applyFill="1" applyBorder="1" applyAlignment="1">
      <alignment/>
    </xf>
    <xf numFmtId="0" fontId="0" fillId="0" borderId="17" xfId="0" applyFont="1" applyFill="1" applyBorder="1" applyAlignment="1">
      <alignment vertical="center" wrapText="1"/>
    </xf>
    <xf numFmtId="176" fontId="0" fillId="0" borderId="21" xfId="47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3" fontId="16" fillId="36" borderId="40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/>
    </xf>
    <xf numFmtId="3" fontId="16" fillId="0" borderId="0" xfId="0" applyNumberFormat="1" applyFont="1" applyFill="1" applyBorder="1" applyAlignment="1">
      <alignment horizontal="left" vertical="center"/>
    </xf>
    <xf numFmtId="168" fontId="6" fillId="35" borderId="23" xfId="42" applyNumberFormat="1" applyFont="1" applyFill="1" applyBorder="1" applyAlignment="1">
      <alignment/>
    </xf>
    <xf numFmtId="3" fontId="0" fillId="41" borderId="23" xfId="0" applyNumberFormat="1" applyFill="1" applyBorder="1" applyAlignment="1">
      <alignment horizontal="center"/>
    </xf>
    <xf numFmtId="44" fontId="0" fillId="0" borderId="0" xfId="45" applyFont="1" applyAlignment="1">
      <alignment/>
    </xf>
    <xf numFmtId="191" fontId="0" fillId="0" borderId="0" xfId="42" applyNumberFormat="1" applyFont="1" applyAlignment="1">
      <alignment/>
    </xf>
    <xf numFmtId="182" fontId="0" fillId="0" borderId="21" xfId="42" applyNumberFormat="1" applyFont="1" applyFill="1" applyBorder="1" applyAlignment="1">
      <alignment horizontal="center"/>
    </xf>
    <xf numFmtId="10" fontId="0" fillId="35" borderId="21" xfId="64" applyNumberFormat="1" applyFont="1" applyFill="1" applyBorder="1" applyAlignment="1">
      <alignment horizontal="center"/>
    </xf>
    <xf numFmtId="192" fontId="0" fillId="35" borderId="23" xfId="45" applyNumberFormat="1" applyFont="1" applyFill="1" applyBorder="1" applyAlignment="1" applyProtection="1">
      <alignment horizontal="center"/>
      <protection locked="0"/>
    </xf>
    <xf numFmtId="4" fontId="0" fillId="0" borderId="64" xfId="0" applyNumberFormat="1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4" fontId="0" fillId="0" borderId="55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1" borderId="34" xfId="0" applyNumberFormat="1" applyFont="1" applyFill="1" applyBorder="1" applyAlignment="1">
      <alignment horizontal="center" vertical="center"/>
    </xf>
    <xf numFmtId="4" fontId="0" fillId="0" borderId="56" xfId="0" applyNumberFormat="1" applyFont="1" applyFill="1" applyBorder="1" applyAlignment="1">
      <alignment horizontal="center" vertical="center" wrapText="1"/>
    </xf>
    <xf numFmtId="4" fontId="0" fillId="0" borderId="48" xfId="0" applyNumberFormat="1" applyFont="1" applyFill="1" applyBorder="1" applyAlignment="1">
      <alignment horizontal="center" vertical="center"/>
    </xf>
    <xf numFmtId="4" fontId="0" fillId="0" borderId="56" xfId="0" applyNumberFormat="1" applyFont="1" applyFill="1" applyBorder="1" applyAlignment="1">
      <alignment horizontal="center" vertical="center"/>
    </xf>
    <xf numFmtId="196" fontId="0" fillId="0" borderId="27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 wrapText="1"/>
    </xf>
    <xf numFmtId="3" fontId="23" fillId="0" borderId="32" xfId="0" applyNumberFormat="1" applyFont="1" applyFill="1" applyBorder="1" applyAlignment="1">
      <alignment horizontal="center" wrapText="1"/>
    </xf>
    <xf numFmtId="171" fontId="0" fillId="0" borderId="0" xfId="0" applyNumberFormat="1" applyAlignment="1">
      <alignment/>
    </xf>
    <xf numFmtId="168" fontId="5" fillId="0" borderId="23" xfId="42" applyNumberFormat="1" applyFont="1" applyFill="1" applyBorder="1" applyAlignment="1">
      <alignment horizontal="center"/>
    </xf>
    <xf numFmtId="10" fontId="5" fillId="0" borderId="23" xfId="64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168" fontId="5" fillId="0" borderId="23" xfId="0" applyNumberFormat="1" applyFont="1" applyFill="1" applyBorder="1" applyAlignment="1">
      <alignment horizontal="left" indent="1"/>
    </xf>
    <xf numFmtId="170" fontId="5" fillId="0" borderId="23" xfId="45" applyNumberFormat="1" applyFont="1" applyFill="1" applyBorder="1" applyAlignment="1">
      <alignment horizontal="left" indent="1"/>
    </xf>
    <xf numFmtId="168" fontId="5" fillId="0" borderId="11" xfId="0" applyNumberFormat="1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left" indent="1"/>
    </xf>
    <xf numFmtId="3" fontId="5" fillId="0" borderId="11" xfId="0" applyNumberFormat="1" applyFont="1" applyFill="1" applyBorder="1" applyAlignment="1">
      <alignment horizontal="center"/>
    </xf>
    <xf numFmtId="9" fontId="5" fillId="0" borderId="11" xfId="64" applyFont="1" applyFill="1" applyBorder="1" applyAlignment="1">
      <alignment horizontal="center"/>
    </xf>
    <xf numFmtId="3" fontId="5" fillId="0" borderId="64" xfId="0" applyNumberFormat="1" applyFont="1" applyFill="1" applyBorder="1" applyAlignment="1">
      <alignment horizontal="center"/>
    </xf>
    <xf numFmtId="184" fontId="0" fillId="0" borderId="14" xfId="64" applyNumberFormat="1" applyFont="1" applyFill="1" applyBorder="1" applyAlignment="1">
      <alignment horizontal="center" vertical="center"/>
    </xf>
    <xf numFmtId="184" fontId="0" fillId="0" borderId="42" xfId="64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39" fontId="17" fillId="37" borderId="10" xfId="47" applyNumberFormat="1" applyFont="1" applyFill="1" applyBorder="1" applyAlignment="1">
      <alignment horizontal="center" vertical="center"/>
    </xf>
    <xf numFmtId="166" fontId="17" fillId="37" borderId="10" xfId="47" applyNumberFormat="1" applyFont="1" applyFill="1" applyBorder="1" applyAlignment="1">
      <alignment horizontal="center" vertical="center"/>
    </xf>
    <xf numFmtId="184" fontId="5" fillId="37" borderId="10" xfId="64" applyNumberFormat="1" applyFont="1" applyFill="1" applyBorder="1" applyAlignment="1">
      <alignment horizontal="center" vertical="center"/>
    </xf>
    <xf numFmtId="9" fontId="17" fillId="0" borderId="10" xfId="0" applyNumberFormat="1" applyFont="1" applyFill="1" applyBorder="1" applyAlignment="1">
      <alignment horizontal="center" vertical="center"/>
    </xf>
    <xf numFmtId="4" fontId="0" fillId="42" borderId="23" xfId="42" applyNumberFormat="1" applyFont="1" applyFill="1" applyBorder="1" applyAlignment="1">
      <alignment horizontal="center"/>
    </xf>
    <xf numFmtId="0" fontId="23" fillId="36" borderId="11" xfId="0" applyFont="1" applyFill="1" applyBorder="1" applyAlignment="1">
      <alignment wrapText="1"/>
    </xf>
    <xf numFmtId="0" fontId="23" fillId="36" borderId="64" xfId="0" applyFont="1" applyFill="1" applyBorder="1" applyAlignment="1">
      <alignment wrapText="1"/>
    </xf>
    <xf numFmtId="0" fontId="8" fillId="0" borderId="77" xfId="0" applyFont="1" applyFill="1" applyBorder="1" applyAlignment="1">
      <alignment/>
    </xf>
    <xf numFmtId="0" fontId="8" fillId="34" borderId="0" xfId="0" applyFont="1" applyFill="1" applyAlignment="1">
      <alignment horizontal="center"/>
    </xf>
    <xf numFmtId="0" fontId="5" fillId="38" borderId="0" xfId="0" applyFont="1" applyFill="1" applyAlignment="1">
      <alignment/>
    </xf>
    <xf numFmtId="0" fontId="22" fillId="0" borderId="0" xfId="0" applyFont="1" applyFill="1" applyAlignment="1">
      <alignment/>
    </xf>
    <xf numFmtId="0" fontId="5" fillId="38" borderId="0" xfId="0" applyFont="1" applyFill="1" applyAlignment="1">
      <alignment/>
    </xf>
    <xf numFmtId="0" fontId="0" fillId="0" borderId="0" xfId="0" applyFill="1" applyAlignment="1">
      <alignment/>
    </xf>
    <xf numFmtId="0" fontId="3" fillId="36" borderId="23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7" xfId="0" applyFont="1" applyBorder="1" applyAlignment="1">
      <alignment horizontal="center"/>
    </xf>
    <xf numFmtId="176" fontId="0" fillId="35" borderId="23" xfId="0" applyNumberFormat="1" applyFont="1" applyFill="1" applyBorder="1" applyAlignment="1">
      <alignment horizontal="center"/>
    </xf>
    <xf numFmtId="176" fontId="0" fillId="0" borderId="2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6" fontId="5" fillId="36" borderId="37" xfId="0" applyNumberFormat="1" applyFont="1" applyFill="1" applyBorder="1" applyAlignment="1">
      <alignment horizontal="center" wrapText="1"/>
    </xf>
    <xf numFmtId="0" fontId="0" fillId="36" borderId="38" xfId="0" applyFill="1" applyBorder="1" applyAlignment="1">
      <alignment/>
    </xf>
    <xf numFmtId="176" fontId="5" fillId="36" borderId="38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0" fillId="35" borderId="23" xfId="0" applyFill="1" applyBorder="1" applyAlignment="1">
      <alignment horizontal="center"/>
    </xf>
    <xf numFmtId="176" fontId="0" fillId="35" borderId="27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25" fillId="38" borderId="0" xfId="0" applyFont="1" applyFill="1" applyAlignment="1">
      <alignment/>
    </xf>
    <xf numFmtId="0" fontId="7" fillId="0" borderId="7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7" fontId="5" fillId="0" borderId="23" xfId="0" applyNumberFormat="1" applyFont="1" applyFill="1" applyBorder="1" applyAlignment="1">
      <alignment horizontal="center" vertical="center" wrapText="1"/>
    </xf>
    <xf numFmtId="37" fontId="17" fillId="0" borderId="45" xfId="0" applyNumberFormat="1" applyFont="1" applyFill="1" applyBorder="1" applyAlignment="1">
      <alignment horizontal="center" vertical="center" wrapText="1"/>
    </xf>
    <xf numFmtId="37" fontId="17" fillId="0" borderId="78" xfId="0" applyNumberFormat="1" applyFont="1" applyFill="1" applyBorder="1" applyAlignment="1">
      <alignment horizontal="center" vertical="center" wrapText="1"/>
    </xf>
    <xf numFmtId="37" fontId="17" fillId="0" borderId="79" xfId="0" applyNumberFormat="1" applyFont="1" applyFill="1" applyBorder="1" applyAlignment="1">
      <alignment horizontal="center" vertical="center" wrapText="1"/>
    </xf>
    <xf numFmtId="37" fontId="5" fillId="0" borderId="23" xfId="0" applyNumberFormat="1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center"/>
    </xf>
    <xf numFmtId="0" fontId="17" fillId="0" borderId="80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23" fillId="36" borderId="23" xfId="0" applyFont="1" applyFill="1" applyBorder="1" applyAlignment="1">
      <alignment horizontal="center" wrapText="1"/>
    </xf>
    <xf numFmtId="0" fontId="23" fillId="36" borderId="21" xfId="0" applyFont="1" applyFill="1" applyBorder="1" applyAlignment="1">
      <alignment horizontal="center" wrapText="1"/>
    </xf>
    <xf numFmtId="0" fontId="23" fillId="36" borderId="14" xfId="0" applyFont="1" applyFill="1" applyBorder="1" applyAlignment="1">
      <alignment horizontal="center" wrapText="1"/>
    </xf>
    <xf numFmtId="0" fontId="23" fillId="36" borderId="27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36" borderId="33" xfId="0" applyFont="1" applyFill="1" applyBorder="1" applyAlignment="1">
      <alignment horizontal="center"/>
    </xf>
    <xf numFmtId="0" fontId="8" fillId="36" borderId="70" xfId="0" applyFont="1" applyFill="1" applyBorder="1" applyAlignment="1">
      <alignment horizontal="center"/>
    </xf>
    <xf numFmtId="0" fontId="8" fillId="36" borderId="76" xfId="0" applyFont="1" applyFill="1" applyBorder="1" applyAlignment="1">
      <alignment horizontal="center"/>
    </xf>
    <xf numFmtId="176" fontId="7" fillId="36" borderId="45" xfId="0" applyNumberFormat="1" applyFont="1" applyFill="1" applyBorder="1" applyAlignment="1">
      <alignment horizontal="center" vertical="center" wrapText="1"/>
    </xf>
    <xf numFmtId="176" fontId="7" fillId="36" borderId="78" xfId="0" applyNumberFormat="1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7" fillId="36" borderId="78" xfId="0" applyFont="1" applyFill="1" applyBorder="1" applyAlignment="1">
      <alignment horizontal="center" vertical="center" wrapText="1"/>
    </xf>
    <xf numFmtId="172" fontId="7" fillId="36" borderId="45" xfId="0" applyNumberFormat="1" applyFont="1" applyFill="1" applyBorder="1" applyAlignment="1">
      <alignment horizontal="center" vertical="center" wrapText="1"/>
    </xf>
    <xf numFmtId="172" fontId="7" fillId="36" borderId="79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/>
    </xf>
    <xf numFmtId="0" fontId="17" fillId="0" borderId="58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2" fillId="39" borderId="8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36" borderId="37" xfId="0" applyFont="1" applyFill="1" applyBorder="1" applyAlignment="1">
      <alignment horizontal="center" vertical="center"/>
    </xf>
    <xf numFmtId="0" fontId="8" fillId="36" borderId="60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left"/>
    </xf>
    <xf numFmtId="0" fontId="2" fillId="39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7" fillId="0" borderId="58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37" fontId="3" fillId="0" borderId="40" xfId="0" applyNumberFormat="1" applyFont="1" applyFill="1" applyBorder="1" applyAlignment="1">
      <alignment horizontal="left" wrapText="1"/>
    </xf>
    <xf numFmtId="0" fontId="3" fillId="0" borderId="80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64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7" fillId="36" borderId="28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6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70" fontId="0" fillId="39" borderId="0" xfId="0" applyNumberFormat="1" applyFill="1" applyAlignment="1">
      <alignment/>
    </xf>
    <xf numFmtId="0" fontId="27" fillId="0" borderId="0" xfId="0" applyFont="1" applyFill="1" applyAlignment="1">
      <alignment/>
    </xf>
    <xf numFmtId="37" fontId="0" fillId="0" borderId="0" xfId="0" applyNumberForma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_Final - 2004 RAM for rate schedule - milton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K_2012_RTSR_Adjustment_Work_Form_June%201%20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LK%202012%20CA_Model_V2_Settlement_Updated%20for%20Depr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bacon\Documents\ELK\2012%20Rate%20Application\Exhibits\Appendix%208-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LK%20Smart%20Meter%20Rate%20Rider%20by%20Cla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LK%20COP%20Forecast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LK%20Energy%202012%20Load%20Forecast%20-%20Board%20Staff%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ables%20for%20Exhibit%2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LK_Stranded_Meter_Rate_Rider_by_Class%20-%20Board%20Staff%2050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LK%20Deferral%20and%20Variance%20Account%20Riders_Settlemen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LK%20Revenue%20Requirement%20Model%20-%202012%20CGAAP_Settlement_Updated%20for%20Depr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fo"/>
      <sheetName val="2. Table of Contents"/>
      <sheetName val="3. Rate Classes"/>
      <sheetName val="4. RRR Data"/>
      <sheetName val="5. UTRs and Sub-Transmission"/>
      <sheetName val="6. Historical Wholesale"/>
      <sheetName val="7. Current Wholesale"/>
      <sheetName val="8. Forecast Wholesale"/>
      <sheetName val="9. Adj Network to Current WS"/>
      <sheetName val="10. Adj Conn. to Current WS"/>
      <sheetName val="11. Adj Network to Forecast WS"/>
      <sheetName val="12. Adj Conn. to Forecast WS"/>
      <sheetName val="13. Final 2012 RTS Rates"/>
      <sheetName val="hidden1"/>
    </sheetNames>
    <sheetDataSet>
      <sheetData sheetId="12">
        <row r="26">
          <cell r="F26">
            <v>0.005788471928524955</v>
          </cell>
          <cell r="H26">
            <v>0.004593717503877448</v>
          </cell>
        </row>
        <row r="27">
          <cell r="F27">
            <v>0.00517915909394338</v>
          </cell>
          <cell r="H27">
            <v>0.004185387059088343</v>
          </cell>
        </row>
        <row r="28">
          <cell r="F28">
            <v>2.1566627780014813</v>
          </cell>
          <cell r="H28">
            <v>1.6581278536773647</v>
          </cell>
        </row>
        <row r="30">
          <cell r="F30">
            <v>0.005179159093943381</v>
          </cell>
          <cell r="H30">
            <v>0.004185387059088343</v>
          </cell>
        </row>
        <row r="31">
          <cell r="F31">
            <v>1.6348878873214605</v>
          </cell>
          <cell r="H31">
            <v>1.309617819049862</v>
          </cell>
        </row>
        <row r="32">
          <cell r="F32">
            <v>1.6265606119155118</v>
          </cell>
          <cell r="H32">
            <v>1.2826680096937813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</sheetNames>
    <sheetDataSet>
      <sheetData sheetId="13">
        <row r="19">
          <cell r="F19">
            <v>74996.89312137137</v>
          </cell>
        </row>
        <row r="24">
          <cell r="D24">
            <v>433230.3774365544</v>
          </cell>
          <cell r="E24">
            <v>82016.57619976738</v>
          </cell>
          <cell r="J24">
            <v>18450.77949952447</v>
          </cell>
          <cell r="K24">
            <v>65.43145991836465</v>
          </cell>
          <cell r="L24">
            <v>574.9631777908872</v>
          </cell>
          <cell r="M24">
            <v>18470.104105073067</v>
          </cell>
        </row>
        <row r="40">
          <cell r="D40">
            <v>2496517.982943015</v>
          </cell>
          <cell r="E40">
            <v>531270.7202816125</v>
          </cell>
          <cell r="F40">
            <v>421995.55514393054</v>
          </cell>
          <cell r="J40">
            <v>143316.97721926565</v>
          </cell>
          <cell r="K40">
            <v>470.04477245160507</v>
          </cell>
          <cell r="L40">
            <v>3839.3326841773132</v>
          </cell>
          <cell r="M40">
            <v>127674.46763773449</v>
          </cell>
        </row>
        <row r="75">
          <cell r="D75">
            <v>0.9796782507549103</v>
          </cell>
          <cell r="E75">
            <v>0.5456630517158121</v>
          </cell>
          <cell r="F75">
            <v>2.128454045896178</v>
          </cell>
          <cell r="J75">
            <v>0.13495967277797305</v>
          </cell>
          <cell r="K75">
            <v>0.23094317141501203</v>
          </cell>
          <cell r="L75">
            <v>0.7623365248794656</v>
          </cell>
          <cell r="M75">
            <v>0.5391080356133813</v>
          </cell>
        </row>
      </sheetData>
      <sheetData sheetId="14">
        <row r="17">
          <cell r="D17">
            <v>14.516585930260378</v>
          </cell>
          <cell r="E17">
            <v>14.95558435017145</v>
          </cell>
          <cell r="F17">
            <v>132.6624243652533</v>
          </cell>
          <cell r="J17">
            <v>4.237118321282804</v>
          </cell>
          <cell r="K17">
            <v>5.561367748357885</v>
          </cell>
          <cell r="L17">
            <v>7.504699613095539</v>
          </cell>
          <cell r="M17">
            <v>64.90203663745446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RAM Analysis"/>
    </sheetNames>
    <sheetDataSet>
      <sheetData sheetId="0">
        <row r="170">
          <cell r="D170">
            <v>63866.43047430033</v>
          </cell>
        </row>
        <row r="171">
          <cell r="D171">
            <v>5210.143199220241</v>
          </cell>
        </row>
        <row r="172">
          <cell r="D172">
            <v>11458.357988294072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DR"/>
    </sheetNames>
    <sheetDataSet>
      <sheetData sheetId="0">
        <row r="26">
          <cell r="F26">
            <v>-0.9439520067604836</v>
          </cell>
          <cell r="G26">
            <v>0.9492644326503402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2 COP Forecast"/>
    </sheetNames>
    <sheetDataSet>
      <sheetData sheetId="0">
        <row r="25">
          <cell r="E25">
            <v>0.07877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Exhibit 3 Tables"/>
      <sheetName val="Summary"/>
      <sheetName val="Purchased Power Model "/>
      <sheetName val="Rate Class Energy Model"/>
      <sheetName val="Rate Class Customer Model"/>
      <sheetName val="Rate Class Load Model"/>
      <sheetName val="Weather Analysis"/>
      <sheetName val="CDM Activity"/>
      <sheetName val="Loss Factor"/>
    </sheetNames>
    <sheetDataSet>
      <sheetData sheetId="2">
        <row r="12">
          <cell r="J12">
            <v>10023.42567868941</v>
          </cell>
        </row>
        <row r="13">
          <cell r="J13">
            <v>95979438.06817514</v>
          </cell>
        </row>
        <row r="16">
          <cell r="J16">
            <v>1214.4801246521154</v>
          </cell>
        </row>
        <row r="17">
          <cell r="J17">
            <v>32594961.595119234</v>
          </cell>
        </row>
        <row r="20">
          <cell r="J20">
            <v>93.4624487473833</v>
          </cell>
        </row>
        <row r="21">
          <cell r="J21">
            <v>66668106.41348041</v>
          </cell>
        </row>
        <row r="22">
          <cell r="J22">
            <v>214066.91291445112</v>
          </cell>
        </row>
        <row r="25">
          <cell r="J25">
            <v>2801.1936395745015</v>
          </cell>
        </row>
        <row r="26">
          <cell r="J26">
            <v>2225083.8466967554</v>
          </cell>
        </row>
        <row r="27">
          <cell r="J27">
            <v>6082.85914889724</v>
          </cell>
        </row>
        <row r="30">
          <cell r="J30">
            <v>32.02858627679273</v>
          </cell>
        </row>
        <row r="31">
          <cell r="J31">
            <v>188991.4155690055</v>
          </cell>
        </row>
        <row r="34">
          <cell r="J34">
            <v>7</v>
          </cell>
        </row>
        <row r="35">
          <cell r="J35">
            <v>5564.296647778189</v>
          </cell>
        </row>
        <row r="36">
          <cell r="J36">
            <v>15.091686685374189</v>
          </cell>
        </row>
        <row r="39">
          <cell r="J39">
            <v>4</v>
          </cell>
        </row>
        <row r="40">
          <cell r="J40">
            <v>42996782.15295344</v>
          </cell>
        </row>
        <row r="41">
          <cell r="J41">
            <v>96048.52418372396</v>
          </cell>
        </row>
        <row r="49">
          <cell r="J49">
            <v>14175.5904779402</v>
          </cell>
        </row>
        <row r="50">
          <cell r="J50">
            <v>240658927.78864178</v>
          </cell>
        </row>
        <row r="51">
          <cell r="J51">
            <v>316213.3879337577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hibit 8 Tables"/>
    </sheetNames>
    <sheetDataSet>
      <sheetData sheetId="0">
        <row r="75">
          <cell r="B75" t="str">
            <v>Residential</v>
          </cell>
        </row>
        <row r="76">
          <cell r="B76" t="str">
            <v>General Service &lt; 50 kW</v>
          </cell>
        </row>
        <row r="77">
          <cell r="B77" t="str">
            <v>General Service 50 to 4,999 kW</v>
          </cell>
        </row>
        <row r="78">
          <cell r="B78" t="str">
            <v>Street Lighting</v>
          </cell>
        </row>
        <row r="79">
          <cell r="B79" t="str">
            <v>Sentinel Lighting</v>
          </cell>
        </row>
        <row r="80">
          <cell r="B80" t="str">
            <v>Unmetered Scattered Load</v>
          </cell>
        </row>
        <row r="81">
          <cell r="B81" t="str">
            <v>Embedded Distributor - Hydro One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randed Meter"/>
    </sheetNames>
    <sheetDataSet>
      <sheetData sheetId="0">
        <row r="10">
          <cell r="F10">
            <v>1.474275192154794</v>
          </cell>
          <cell r="G10">
            <v>5.9887322983164735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c. 31, 2011 DAVAs"/>
      <sheetName val="Rate Riders Calculation"/>
    </sheetNames>
    <sheetDataSet>
      <sheetData sheetId="1">
        <row r="44">
          <cell r="E44">
            <v>-0.007511270561437876</v>
          </cell>
          <cell r="F44">
            <v>-0.008319521209189948</v>
          </cell>
          <cell r="G44">
            <v>-2.9411742327753005</v>
          </cell>
          <cell r="H44">
            <v>-3.7533720185230974</v>
          </cell>
          <cell r="I44">
            <v>-0.005714935384297127</v>
          </cell>
          <cell r="J44">
            <v>26.969825783448226</v>
          </cell>
          <cell r="K44">
            <v>-3.2779748917262803</v>
          </cell>
        </row>
        <row r="48">
          <cell r="E48">
            <v>-0.0008484371142439</v>
          </cell>
          <cell r="F48">
            <v>-0.00025805296268249095</v>
          </cell>
          <cell r="G48">
            <v>-0.1555989985782972</v>
          </cell>
          <cell r="H48">
            <v>-0.021215208600945702</v>
          </cell>
          <cell r="I48">
            <v>-0.000503532098883381</v>
          </cell>
          <cell r="J48">
            <v>-0.11561472566499881</v>
          </cell>
          <cell r="K48">
            <v>-0.005928348772497187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FA Continuity 2010"/>
      <sheetName val="FA Continuity 2011"/>
      <sheetName val="FA Continuity 2012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2010 Balance Sheet"/>
      <sheetName val="2010 Income Statement"/>
      <sheetName val="2011 Balance Sheet"/>
      <sheetName val="2011 Income Statement"/>
      <sheetName val="2012 Balance Sheet"/>
      <sheetName val="2012 Income Statement"/>
      <sheetName val="Trial Balance"/>
      <sheetName val="Return on Capital"/>
      <sheetName val="Debt &amp; Capital Structure"/>
      <sheetName val="Tax rates"/>
      <sheetName val="CCA Continuity 2011"/>
      <sheetName val="CCA Continuity 2012"/>
      <sheetName val="Reserves Continuity"/>
      <sheetName val="Corporation Loss Continuity"/>
      <sheetName val="Tax Adjustments 2011"/>
      <sheetName val="Tax Adjustments 2012"/>
      <sheetName val="2012 Rev Deficiency"/>
      <sheetName val="Capital Tax &amp; Expense Schedules"/>
      <sheetName val="Revenue Requirement"/>
    </sheetNames>
    <sheetDataSet>
      <sheetData sheetId="22">
        <row r="275">
          <cell r="P275">
            <v>287403.78500000003</v>
          </cell>
        </row>
      </sheetData>
      <sheetData sheetId="34">
        <row r="53">
          <cell r="D53">
            <v>3725085.0806821873</v>
          </cell>
        </row>
        <row r="54">
          <cell r="D54">
            <v>-627805.125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75" zoomScaleNormal="75" zoomScalePageLayoutView="0" workbookViewId="0" topLeftCell="A1">
      <selection activeCell="B12" sqref="B12"/>
    </sheetView>
  </sheetViews>
  <sheetFormatPr defaultColWidth="9.140625" defaultRowHeight="12.75"/>
  <cols>
    <col min="1" max="1" width="80.7109375" style="0" bestFit="1" customWidth="1"/>
    <col min="2" max="2" width="25.57421875" style="0" customWidth="1"/>
    <col min="4" max="10" width="9.421875" style="0" customWidth="1"/>
  </cols>
  <sheetData>
    <row r="1" spans="1:2" ht="12.75">
      <c r="A1" s="468" t="s">
        <v>266</v>
      </c>
      <c r="B1" s="468"/>
    </row>
    <row r="2" spans="1:2" ht="12.75">
      <c r="A2" s="468" t="s">
        <v>265</v>
      </c>
      <c r="B2" s="468"/>
    </row>
    <row r="3" spans="1:2" ht="12.75">
      <c r="A3" s="468"/>
      <c r="B3" s="468"/>
    </row>
    <row r="4" spans="1:2" ht="12.75">
      <c r="A4" s="469"/>
      <c r="B4" s="469"/>
    </row>
    <row r="5" spans="1:2" ht="30.75" customHeight="1">
      <c r="A5" s="467" t="s">
        <v>40</v>
      </c>
      <c r="B5" s="467"/>
    </row>
    <row r="6" ht="7.5" customHeight="1">
      <c r="A6" s="6"/>
    </row>
    <row r="7" spans="1:12" ht="18">
      <c r="A7" s="6"/>
      <c r="D7" s="56"/>
      <c r="E7" s="8"/>
      <c r="F7" s="8"/>
      <c r="G7" s="8"/>
      <c r="H7" s="8"/>
      <c r="I7" s="8"/>
      <c r="J7" s="8"/>
      <c r="K7" s="8"/>
      <c r="L7" s="8"/>
    </row>
    <row r="8" spans="1:12" ht="15.75">
      <c r="A8" s="5" t="s">
        <v>39</v>
      </c>
      <c r="B8" s="268">
        <f>'[9]Revenue Requirement'!$D$53</f>
        <v>3725085.0806821873</v>
      </c>
      <c r="E8" s="8"/>
      <c r="F8" s="8"/>
      <c r="G8" s="8"/>
      <c r="H8" s="8"/>
      <c r="I8" s="8"/>
      <c r="J8" s="8"/>
      <c r="K8" s="8"/>
      <c r="L8" s="8"/>
    </row>
    <row r="9" spans="1:12" ht="15.75">
      <c r="A9" s="5" t="s">
        <v>43</v>
      </c>
      <c r="B9" s="268">
        <f>-'[9]Revenue Requirement'!$D$54</f>
        <v>627805.125</v>
      </c>
      <c r="E9" s="8"/>
      <c r="F9" s="8"/>
      <c r="G9" s="8"/>
      <c r="H9" s="8"/>
      <c r="I9" s="8"/>
      <c r="J9" s="8"/>
      <c r="K9" s="8"/>
      <c r="L9" s="8"/>
    </row>
    <row r="10" spans="1:12" ht="15.75">
      <c r="A10" s="5" t="s">
        <v>182</v>
      </c>
      <c r="B10" s="47">
        <f>+B8-B9</f>
        <v>3097279.9556821873</v>
      </c>
      <c r="E10" s="8"/>
      <c r="F10" s="8"/>
      <c r="G10" s="8"/>
      <c r="H10" s="8"/>
      <c r="I10" s="8"/>
      <c r="J10" s="8"/>
      <c r="K10" s="8"/>
      <c r="L10" s="8"/>
    </row>
    <row r="11" spans="5:12" ht="12.75">
      <c r="E11" s="8"/>
      <c r="F11" s="8"/>
      <c r="G11" s="8"/>
      <c r="H11" s="8"/>
      <c r="I11" s="8"/>
      <c r="J11" s="8"/>
      <c r="K11" s="8"/>
      <c r="L11" s="8"/>
    </row>
    <row r="12" spans="1:12" ht="15.75">
      <c r="A12" s="5" t="s">
        <v>181</v>
      </c>
      <c r="B12" s="268">
        <f>'[9]Trial Balance'!$P$275</f>
        <v>287403.78500000003</v>
      </c>
      <c r="E12" s="8"/>
      <c r="F12" s="8"/>
      <c r="G12" s="8"/>
      <c r="H12" s="8"/>
      <c r="I12" s="8"/>
      <c r="J12" s="8"/>
      <c r="K12" s="8"/>
      <c r="L12" s="8"/>
    </row>
    <row r="13" spans="1:2" ht="15.75">
      <c r="A13" s="5" t="s">
        <v>44</v>
      </c>
      <c r="B13" s="7">
        <f>-'Transformer Allowance'!C15</f>
        <v>88617.52415501812</v>
      </c>
    </row>
    <row r="14" spans="1:2" ht="16.5" thickBot="1">
      <c r="A14" s="5" t="s">
        <v>45</v>
      </c>
      <c r="B14" s="48">
        <f>+B10+B12+B13</f>
        <v>3473301.2648372054</v>
      </c>
    </row>
    <row r="15" ht="13.5" thickTop="1"/>
    <row r="16" spans="1:4" s="16" customFormat="1" ht="15.75">
      <c r="A16" s="20"/>
      <c r="D16"/>
    </row>
    <row r="17" spans="1:4" s="16" customFormat="1" ht="15.75">
      <c r="A17" s="20"/>
      <c r="B17" s="21"/>
      <c r="D17"/>
    </row>
    <row r="18" spans="1:2" s="16" customFormat="1" ht="15.75">
      <c r="A18" s="20"/>
      <c r="B18" s="21"/>
    </row>
    <row r="19" spans="1:2" s="16" customFormat="1" ht="15.75">
      <c r="A19" s="20"/>
      <c r="B19" s="21"/>
    </row>
    <row r="20" spans="1:2" ht="15.75">
      <c r="A20" s="5"/>
      <c r="B20" s="7"/>
    </row>
    <row r="22" spans="1:2" ht="15.75">
      <c r="A22" s="5"/>
      <c r="B22" s="7"/>
    </row>
    <row r="23" spans="1:2" ht="15.75">
      <c r="A23" s="5"/>
      <c r="B23" s="7"/>
    </row>
    <row r="24" spans="1:2" ht="15.75">
      <c r="A24" s="5"/>
      <c r="B24" s="7"/>
    </row>
    <row r="25" ht="12.75">
      <c r="B25" s="8"/>
    </row>
  </sheetData>
  <sheetProtection/>
  <mergeCells count="5">
    <mergeCell ref="A5:B5"/>
    <mergeCell ref="A1:B1"/>
    <mergeCell ref="A2:B2"/>
    <mergeCell ref="A3:B3"/>
    <mergeCell ref="A4:B4"/>
  </mergeCells>
  <printOptions/>
  <pageMargins left="0.75" right="0.75" top="1" bottom="1" header="0.5" footer="0.5"/>
  <pageSetup fitToHeight="1" fitToWidth="1" horizontalDpi="355" verticalDpi="355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2">
      <selection activeCell="F11" sqref="F11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1.57421875" style="0" hidden="1" customWidth="1"/>
    <col min="4" max="4" width="15.140625" style="0" customWidth="1"/>
    <col min="5" max="5" width="8.28125" style="0" customWidth="1"/>
    <col min="6" max="6" width="11.7109375" style="0" customWidth="1"/>
    <col min="7" max="7" width="13.57421875" style="0" customWidth="1"/>
    <col min="8" max="8" width="12.421875" style="0" customWidth="1"/>
    <col min="9" max="9" width="13.7109375" style="0" customWidth="1"/>
    <col min="10" max="10" width="13.00390625" style="0" customWidth="1"/>
    <col min="11" max="11" width="15.00390625" style="0" customWidth="1"/>
    <col min="12" max="12" width="13.00390625" style="0" customWidth="1"/>
    <col min="13" max="13" width="2.28125" style="0" customWidth="1"/>
    <col min="14" max="14" width="22.28125" style="0" customWidth="1"/>
  </cols>
  <sheetData>
    <row r="1" spans="1:12" ht="12.75">
      <c r="A1" s="493" t="str">
        <f>+'Revenue Input'!A1</f>
        <v>E.L.K. Energy Inc., 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</row>
    <row r="2" spans="1:12" ht="12.75">
      <c r="A2" s="493" t="str">
        <f>+'Revenue Input'!A2</f>
        <v>ED-2003-0015 , EB-2011-099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12" ht="12.75">
      <c r="A3" s="493">
        <f>+'Revenue Input'!A3</f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ht="13.5" thickBot="1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</row>
    <row r="5" spans="1:15" ht="21" thickBot="1">
      <c r="A5" s="509" t="s">
        <v>274</v>
      </c>
      <c r="B5" s="509"/>
      <c r="C5" s="509"/>
      <c r="D5" s="509"/>
      <c r="E5" s="509"/>
      <c r="F5" s="509"/>
      <c r="G5" s="466"/>
      <c r="H5" s="466"/>
      <c r="I5" s="466"/>
      <c r="J5" s="466"/>
      <c r="K5" s="466"/>
      <c r="L5" s="466"/>
      <c r="N5" s="56" t="s">
        <v>165</v>
      </c>
      <c r="O5" s="119" t="str">
        <f>'Distribution Rate Schedule'!H5</f>
        <v>y</v>
      </c>
    </row>
    <row r="6" spans="1:12" ht="25.5">
      <c r="A6" s="506" t="s">
        <v>152</v>
      </c>
      <c r="B6" s="505" t="s">
        <v>252</v>
      </c>
      <c r="C6" s="505"/>
      <c r="D6" s="120" t="s">
        <v>251</v>
      </c>
      <c r="E6" s="120"/>
      <c r="F6" s="120" t="s">
        <v>153</v>
      </c>
      <c r="G6" s="464"/>
      <c r="H6" s="465"/>
      <c r="I6" s="120" t="s">
        <v>154</v>
      </c>
      <c r="J6" s="120" t="s">
        <v>155</v>
      </c>
      <c r="K6" s="120" t="s">
        <v>162</v>
      </c>
      <c r="L6" s="120" t="s">
        <v>163</v>
      </c>
    </row>
    <row r="7" spans="1:12" ht="12.75">
      <c r="A7" s="507"/>
      <c r="B7" s="120" t="s">
        <v>156</v>
      </c>
      <c r="C7" s="120" t="s">
        <v>157</v>
      </c>
      <c r="D7" s="120"/>
      <c r="E7" s="120"/>
      <c r="F7" s="120" t="s">
        <v>156</v>
      </c>
      <c r="G7" s="120" t="s">
        <v>157</v>
      </c>
      <c r="H7" s="120" t="s">
        <v>41</v>
      </c>
      <c r="I7" s="120" t="s">
        <v>41</v>
      </c>
      <c r="J7" s="120" t="s">
        <v>41</v>
      </c>
      <c r="K7" s="120" t="s">
        <v>164</v>
      </c>
      <c r="L7" s="120" t="s">
        <v>41</v>
      </c>
    </row>
    <row r="8" spans="1:12" ht="24.75" customHeight="1">
      <c r="A8" s="508"/>
      <c r="B8" s="121" t="s">
        <v>158</v>
      </c>
      <c r="C8" s="121" t="s">
        <v>158</v>
      </c>
      <c r="D8" s="121"/>
      <c r="E8" s="121" t="s">
        <v>178</v>
      </c>
      <c r="F8" s="120" t="s">
        <v>159</v>
      </c>
      <c r="G8" s="120" t="s">
        <v>159</v>
      </c>
      <c r="H8" s="122" t="s">
        <v>159</v>
      </c>
      <c r="I8" s="122" t="s">
        <v>159</v>
      </c>
      <c r="J8" s="122" t="s">
        <v>159</v>
      </c>
      <c r="K8" s="123"/>
      <c r="L8" s="122" t="s">
        <v>159</v>
      </c>
    </row>
    <row r="9" spans="1:12" ht="19.5" customHeight="1">
      <c r="A9" s="271" t="str">
        <f>'Low Voltage Rates'!A7</f>
        <v>Residential</v>
      </c>
      <c r="B9" s="253">
        <f>'[2]LRAM Analysis'!$D$170</f>
        <v>63866.43047430033</v>
      </c>
      <c r="C9" s="252"/>
      <c r="D9" s="253">
        <f>'Low Voltage Rates'!C7</f>
        <v>95979438.06817514</v>
      </c>
      <c r="E9" s="254" t="str">
        <f>'Low Voltage Rates'!E7</f>
        <v>kWh</v>
      </c>
      <c r="F9" s="256">
        <f>B9/D9</f>
        <v>0.0006654178411519286</v>
      </c>
      <c r="G9" s="256">
        <f>C9/D9</f>
        <v>0</v>
      </c>
      <c r="H9" s="256">
        <f>F9+G9</f>
        <v>0.0006654178411519286</v>
      </c>
      <c r="I9" s="256">
        <f>H9/2</f>
        <v>0.0003327089205759643</v>
      </c>
      <c r="J9" s="256">
        <f>H9/3</f>
        <v>0.00022180594705064284</v>
      </c>
      <c r="K9" s="255"/>
      <c r="L9" s="267">
        <f>IF($O$5="Y",ROUND(IF($K$8=2,I9,IF($K$8=3,J9,H9)),4),IF($K$8=2,I9,IF($K$8=3,J9,0)))</f>
        <v>0.0007</v>
      </c>
    </row>
    <row r="10" spans="1:15" ht="19.5" customHeight="1">
      <c r="A10" s="271" t="str">
        <f>'Low Voltage Rates'!A8</f>
        <v>General Service &lt; 50 kW</v>
      </c>
      <c r="B10" s="253">
        <f>'[2]LRAM Analysis'!$D$171</f>
        <v>5210.143199220241</v>
      </c>
      <c r="C10" s="252"/>
      <c r="D10" s="253">
        <f>'Low Voltage Rates'!C8</f>
        <v>32594961.595119234</v>
      </c>
      <c r="E10" s="254" t="str">
        <f>'Low Voltage Rates'!E8</f>
        <v>kWh</v>
      </c>
      <c r="F10" s="256">
        <f aca="true" t="shared" si="0" ref="F10:F17">B10/D10</f>
        <v>0.00015984504795368148</v>
      </c>
      <c r="G10" s="256">
        <f aca="true" t="shared" si="1" ref="G10:G17">C10/D10</f>
        <v>0</v>
      </c>
      <c r="H10" s="256">
        <f aca="true" t="shared" si="2" ref="H10:H17">F10+G10</f>
        <v>0.00015984504795368148</v>
      </c>
      <c r="I10" s="256">
        <f aca="true" t="shared" si="3" ref="I10:I17">H10/2</f>
        <v>7.992252397684074E-05</v>
      </c>
      <c r="J10" s="256">
        <f aca="true" t="shared" si="4" ref="J10:J17">H10/3</f>
        <v>5.328168265122716E-05</v>
      </c>
      <c r="K10" s="255"/>
      <c r="L10" s="267">
        <f aca="true" t="shared" si="5" ref="L10:L17">IF($O$5="Y",ROUND(IF($K$8=2,I10,IF($K$8=3,J10,H10)),4),IF($K$8=2,I10,IF($K$8=3,J10,0)))</f>
        <v>0.0002</v>
      </c>
      <c r="M10" s="56"/>
      <c r="N10" s="8"/>
      <c r="O10" s="8"/>
    </row>
    <row r="11" spans="1:12" ht="25.5">
      <c r="A11" s="271" t="str">
        <f>'Low Voltage Rates'!A9</f>
        <v>General Service 50 to 4,999 kW</v>
      </c>
      <c r="B11" s="253">
        <f>'[2]LRAM Analysis'!$D$172</f>
        <v>11458.357988294072</v>
      </c>
      <c r="C11" s="252"/>
      <c r="D11" s="253">
        <f>'Low Voltage Rates'!D9</f>
        <v>214066.91291445112</v>
      </c>
      <c r="E11" s="254" t="str">
        <f>'Low Voltage Rates'!E9</f>
        <v>kW</v>
      </c>
      <c r="F11" s="256">
        <f t="shared" si="0"/>
        <v>0.05352699224878926</v>
      </c>
      <c r="G11" s="256">
        <f t="shared" si="1"/>
        <v>0</v>
      </c>
      <c r="H11" s="256">
        <f t="shared" si="2"/>
        <v>0.05352699224878926</v>
      </c>
      <c r="I11" s="256">
        <f t="shared" si="3"/>
        <v>0.02676349612439463</v>
      </c>
      <c r="J11" s="256">
        <f t="shared" si="4"/>
        <v>0.01784233074959642</v>
      </c>
      <c r="K11" s="255"/>
      <c r="L11" s="267">
        <f t="shared" si="5"/>
        <v>0.0535</v>
      </c>
    </row>
    <row r="12" spans="1:12" ht="19.5" customHeight="1" hidden="1">
      <c r="A12" s="271"/>
      <c r="B12" s="253"/>
      <c r="C12" s="252"/>
      <c r="D12" s="253"/>
      <c r="E12" s="254"/>
      <c r="F12" s="256"/>
      <c r="G12" s="256"/>
      <c r="H12" s="256"/>
      <c r="I12" s="256"/>
      <c r="J12" s="256"/>
      <c r="K12" s="255"/>
      <c r="L12" s="267">
        <f t="shared" si="5"/>
        <v>0</v>
      </c>
    </row>
    <row r="13" spans="1:12" ht="19.5" customHeight="1" hidden="1">
      <c r="A13" s="271" t="str">
        <f>'Low Voltage Rates'!A11</f>
        <v>Sentinel Lighting</v>
      </c>
      <c r="B13" s="253"/>
      <c r="C13" s="252"/>
      <c r="D13" s="337">
        <f>'Low Voltage Rates'!D11</f>
        <v>15.091686685374189</v>
      </c>
      <c r="E13" s="254" t="str">
        <f>'Low Voltage Rates'!E11</f>
        <v>kW</v>
      </c>
      <c r="F13" s="256">
        <f t="shared" si="0"/>
        <v>0</v>
      </c>
      <c r="G13" s="256">
        <f t="shared" si="1"/>
        <v>0</v>
      </c>
      <c r="H13" s="256">
        <f t="shared" si="2"/>
        <v>0</v>
      </c>
      <c r="I13" s="256">
        <f t="shared" si="3"/>
        <v>0</v>
      </c>
      <c r="J13" s="256">
        <f t="shared" si="4"/>
        <v>0</v>
      </c>
      <c r="K13" s="338"/>
      <c r="L13" s="267">
        <f t="shared" si="5"/>
        <v>0</v>
      </c>
    </row>
    <row r="14" spans="1:12" ht="19.5" customHeight="1" hidden="1">
      <c r="A14" s="271" t="str">
        <f>'Low Voltage Rates'!A10</f>
        <v>Street Lighting</v>
      </c>
      <c r="B14" s="253"/>
      <c r="C14" s="252"/>
      <c r="D14" s="337">
        <f>'Low Voltage Rates'!D10</f>
        <v>6082.85914889724</v>
      </c>
      <c r="E14" s="254" t="str">
        <f>'Low Voltage Rates'!E10</f>
        <v>kW</v>
      </c>
      <c r="F14" s="256">
        <f t="shared" si="0"/>
        <v>0</v>
      </c>
      <c r="G14" s="256">
        <f t="shared" si="1"/>
        <v>0</v>
      </c>
      <c r="H14" s="256">
        <f t="shared" si="2"/>
        <v>0</v>
      </c>
      <c r="I14" s="256">
        <f t="shared" si="3"/>
        <v>0</v>
      </c>
      <c r="J14" s="256">
        <f t="shared" si="4"/>
        <v>0</v>
      </c>
      <c r="K14" s="338"/>
      <c r="L14" s="267">
        <f t="shared" si="5"/>
        <v>0</v>
      </c>
    </row>
    <row r="15" spans="1:12" ht="25.5" hidden="1">
      <c r="A15" s="271" t="str">
        <f>'Allocation Low Voltage Costs'!A13</f>
        <v>Unmetered Scattered Load</v>
      </c>
      <c r="B15" s="253"/>
      <c r="C15" s="252"/>
      <c r="D15" s="337">
        <f>'Low Voltage Rates'!C12</f>
        <v>188991.4155690055</v>
      </c>
      <c r="E15" s="254" t="str">
        <f>'Low Voltage Rates'!E12</f>
        <v>kWh</v>
      </c>
      <c r="F15" s="256">
        <f t="shared" si="0"/>
        <v>0</v>
      </c>
      <c r="G15" s="256">
        <f t="shared" si="1"/>
        <v>0</v>
      </c>
      <c r="H15" s="256">
        <f t="shared" si="2"/>
        <v>0</v>
      </c>
      <c r="I15" s="256">
        <f t="shared" si="3"/>
        <v>0</v>
      </c>
      <c r="J15" s="256">
        <f t="shared" si="4"/>
        <v>0</v>
      </c>
      <c r="K15" s="338"/>
      <c r="L15" s="267">
        <f t="shared" si="5"/>
        <v>0</v>
      </c>
    </row>
    <row r="16" spans="1:12" ht="19.5" customHeight="1" hidden="1">
      <c r="A16" s="271"/>
      <c r="B16" s="337"/>
      <c r="C16" s="412"/>
      <c r="D16" s="337"/>
      <c r="E16" s="254"/>
      <c r="F16" s="256"/>
      <c r="G16" s="256"/>
      <c r="H16" s="256"/>
      <c r="I16" s="256"/>
      <c r="J16" s="256"/>
      <c r="K16" s="338"/>
      <c r="L16" s="267"/>
    </row>
    <row r="17" spans="1:12" ht="19.5" customHeight="1" hidden="1">
      <c r="A17" s="271" t="str">
        <f>'Low Voltage Rates'!A15</f>
        <v>Hydro One </v>
      </c>
      <c r="B17" s="337"/>
      <c r="C17" s="412"/>
      <c r="D17" s="337">
        <f>'Forecast Data For 2012'!C28</f>
        <v>96048.52418372396</v>
      </c>
      <c r="E17" s="254" t="str">
        <f>'Low Voltage Rates'!E13</f>
        <v>kW</v>
      </c>
      <c r="F17" s="256">
        <f t="shared" si="0"/>
        <v>0</v>
      </c>
      <c r="G17" s="256">
        <f t="shared" si="1"/>
        <v>0</v>
      </c>
      <c r="H17" s="256">
        <f t="shared" si="2"/>
        <v>0</v>
      </c>
      <c r="I17" s="256">
        <f t="shared" si="3"/>
        <v>0</v>
      </c>
      <c r="J17" s="256">
        <f t="shared" si="4"/>
        <v>0</v>
      </c>
      <c r="K17" s="338"/>
      <c r="L17" s="267">
        <f t="shared" si="5"/>
        <v>0</v>
      </c>
    </row>
    <row r="18" spans="1:12" ht="19.5" customHeight="1" thickBot="1">
      <c r="A18" s="257" t="s">
        <v>41</v>
      </c>
      <c r="B18" s="442">
        <f>SUM(B9:B12)</f>
        <v>80534.93166181464</v>
      </c>
      <c r="C18" s="258">
        <f>SUM(C9:C12)</f>
        <v>0</v>
      </c>
      <c r="D18" s="258"/>
      <c r="E18" s="259"/>
      <c r="F18" s="258"/>
      <c r="G18" s="258"/>
      <c r="H18" s="258"/>
      <c r="I18" s="258"/>
      <c r="J18" s="258"/>
      <c r="K18" s="258"/>
      <c r="L18" s="258"/>
    </row>
    <row r="19" ht="13.5" thickTop="1"/>
  </sheetData>
  <sheetProtection/>
  <mergeCells count="7">
    <mergeCell ref="B6:C6"/>
    <mergeCell ref="A1:L1"/>
    <mergeCell ref="A2:L2"/>
    <mergeCell ref="A3:L3"/>
    <mergeCell ref="A4:L4"/>
    <mergeCell ref="A6:A8"/>
    <mergeCell ref="A5:F5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9.57421875" style="0" bestFit="1" customWidth="1"/>
    <col min="2" max="2" width="38.421875" style="0" customWidth="1"/>
    <col min="3" max="3" width="35.57421875" style="0" customWidth="1"/>
    <col min="4" max="4" width="30.140625" style="0" customWidth="1"/>
    <col min="5" max="5" width="22.00390625" style="0" customWidth="1"/>
    <col min="6" max="6" width="22.28125" style="0" customWidth="1"/>
    <col min="7" max="7" width="20.421875" style="0" customWidth="1"/>
    <col min="8" max="9" width="10.00390625" style="0" customWidth="1"/>
  </cols>
  <sheetData>
    <row r="1" spans="1:4" ht="12.75">
      <c r="A1" s="493" t="str">
        <f>+'Revenue Input'!A1</f>
        <v>E.L.K. Energy Inc., </v>
      </c>
      <c r="B1" s="493"/>
      <c r="C1" s="493"/>
      <c r="D1" s="493"/>
    </row>
    <row r="2" spans="1:4" ht="12.75">
      <c r="A2" s="493" t="str">
        <f>+'Revenue Input'!A2</f>
        <v>ED-2003-0015 , EB-2011-099</v>
      </c>
      <c r="B2" s="493"/>
      <c r="C2" s="493"/>
      <c r="D2" s="493"/>
    </row>
    <row r="3" spans="1:4" ht="12.75">
      <c r="A3" s="493">
        <f>+'Revenue Input'!A3</f>
        <v>0</v>
      </c>
      <c r="B3" s="493"/>
      <c r="C3" s="493"/>
      <c r="D3" s="493"/>
    </row>
    <row r="4" spans="1:4" ht="13.5" thickBot="1">
      <c r="A4" s="471"/>
      <c r="B4" s="471"/>
      <c r="C4" s="471"/>
      <c r="D4" s="471"/>
    </row>
    <row r="5" spans="1:6" ht="21" thickBot="1">
      <c r="A5" s="510" t="s">
        <v>253</v>
      </c>
      <c r="B5" s="510"/>
      <c r="C5" s="510"/>
      <c r="D5" s="510"/>
      <c r="E5" s="56" t="s">
        <v>165</v>
      </c>
      <c r="F5" s="119" t="str">
        <f>'Distribution Rate Schedule'!H5</f>
        <v>y</v>
      </c>
    </row>
    <row r="6" spans="1:7" ht="45.75" thickBot="1">
      <c r="A6" s="124" t="s">
        <v>0</v>
      </c>
      <c r="B6" s="124" t="s">
        <v>194</v>
      </c>
      <c r="C6" s="124" t="s">
        <v>195</v>
      </c>
      <c r="D6" s="124" t="s">
        <v>267</v>
      </c>
      <c r="E6" s="124" t="s">
        <v>268</v>
      </c>
      <c r="F6" s="124" t="s">
        <v>232</v>
      </c>
      <c r="G6" s="124" t="s">
        <v>234</v>
      </c>
    </row>
    <row r="7" spans="1:9" ht="16.5" thickBot="1">
      <c r="A7" s="414" t="str">
        <f>'Rates By Rate Class'!A8</f>
        <v>Residential</v>
      </c>
      <c r="B7" s="415">
        <f>'[8]Rate Riders Calculation'!$E$44+'[8]Rate Riders Calculation'!$E$48</f>
        <v>-0.008359707675681775</v>
      </c>
      <c r="C7" s="415"/>
      <c r="D7" s="431">
        <f>'[3]SMDR'!$F$26</f>
        <v>-0.9439520067604836</v>
      </c>
      <c r="E7" s="431">
        <f>'[7]Stranded Meter'!$F$10</f>
        <v>1.474275192154794</v>
      </c>
      <c r="F7" s="417"/>
      <c r="G7" s="417"/>
      <c r="H7" s="56"/>
      <c r="I7" s="56"/>
    </row>
    <row r="8" spans="1:7" ht="16.5" thickBot="1">
      <c r="A8" s="414" t="str">
        <f>'Rates By Rate Class'!A9</f>
        <v>GS &lt; 50 kW</v>
      </c>
      <c r="B8" s="415">
        <f>'[8]Rate Riders Calculation'!$F$44+'[8]Rate Riders Calculation'!$F$48</f>
        <v>-0.00857757417187244</v>
      </c>
      <c r="C8" s="415"/>
      <c r="D8" s="431">
        <f>'[3]SMDR'!$G$26</f>
        <v>0.9492644326503402</v>
      </c>
      <c r="E8" s="431">
        <f>'[7]Stranded Meter'!$G$10</f>
        <v>5.9887322983164735</v>
      </c>
      <c r="F8" s="417"/>
      <c r="G8" s="417"/>
    </row>
    <row r="9" spans="1:7" ht="16.5" thickBot="1">
      <c r="A9" s="414" t="str">
        <f>'Rates By Rate Class'!A10</f>
        <v>GS &gt;50</v>
      </c>
      <c r="B9" s="415"/>
      <c r="C9" s="415">
        <f>'[8]Rate Riders Calculation'!$G$44+'[8]Rate Riders Calculation'!$G$48</f>
        <v>-3.096773231353598</v>
      </c>
      <c r="D9" s="416"/>
      <c r="E9" s="416"/>
      <c r="F9" s="417"/>
      <c r="G9" s="417"/>
    </row>
    <row r="10" spans="1:7" ht="16.5" hidden="1" thickBot="1">
      <c r="A10" s="414" t="str">
        <f>'Rates By Rate Class'!A11</f>
        <v>   </v>
      </c>
      <c r="B10" s="415"/>
      <c r="C10" s="415"/>
      <c r="D10" s="416"/>
      <c r="E10" s="416"/>
      <c r="F10" s="417"/>
      <c r="G10" s="417"/>
    </row>
    <row r="11" spans="1:7" ht="16.5" thickBot="1">
      <c r="A11" s="414" t="str">
        <f>'Rates By Rate Class'!A12</f>
        <v>Sentinel Lights</v>
      </c>
      <c r="B11" s="415"/>
      <c r="C11" s="415">
        <f>+'[8]Rate Riders Calculation'!$J$44+'[8]Rate Riders Calculation'!$J$48</f>
        <v>26.85421105778323</v>
      </c>
      <c r="D11" s="416"/>
      <c r="E11" s="416"/>
      <c r="F11" s="417"/>
      <c r="G11" s="417"/>
    </row>
    <row r="12" spans="1:7" ht="16.5" thickBot="1">
      <c r="A12" s="414" t="str">
        <f>'Rates By Rate Class'!A13</f>
        <v>Street Lighting</v>
      </c>
      <c r="B12" s="415"/>
      <c r="C12" s="415">
        <f>'[8]Rate Riders Calculation'!$K$44+'[8]Rate Riders Calculation'!$K$48</f>
        <v>-3.2839032404987774</v>
      </c>
      <c r="D12" s="416"/>
      <c r="E12" s="416"/>
      <c r="F12" s="417"/>
      <c r="G12" s="417"/>
    </row>
    <row r="13" spans="1:7" ht="16.5" thickBot="1">
      <c r="A13" s="414" t="str">
        <f>'Rates By Rate Class'!A14</f>
        <v>USL</v>
      </c>
      <c r="B13" s="415">
        <f>+'[8]Rate Riders Calculation'!$I$44+'[8]Rate Riders Calculation'!$I$48</f>
        <v>-0.006218467483180508</v>
      </c>
      <c r="C13" s="415"/>
      <c r="D13" s="416"/>
      <c r="E13" s="416"/>
      <c r="F13" s="417"/>
      <c r="G13" s="417"/>
    </row>
    <row r="14" spans="1:7" ht="16.5" hidden="1" thickBot="1">
      <c r="A14" s="414" t="str">
        <f>'Rates By Rate Class'!A15</f>
        <v>   </v>
      </c>
      <c r="B14" s="415"/>
      <c r="C14" s="415"/>
      <c r="D14" s="416"/>
      <c r="E14" s="416"/>
      <c r="F14" s="417"/>
      <c r="G14" s="417"/>
    </row>
    <row r="15" spans="1:7" ht="15.75">
      <c r="A15" s="414" t="str">
        <f>'Rates By Rate Class'!A16</f>
        <v>Hydro One </v>
      </c>
      <c r="B15" s="415"/>
      <c r="C15" s="415">
        <f>'[8]Rate Riders Calculation'!$H$44+'[8]Rate Riders Calculation'!$H$48</f>
        <v>-3.774587227124043</v>
      </c>
      <c r="D15" s="416"/>
      <c r="E15" s="416"/>
      <c r="F15" s="417"/>
      <c r="G15" s="417"/>
    </row>
  </sheetData>
  <sheetProtection/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fitToHeight="1" fitToWidth="1" horizontalDpi="355" verticalDpi="355" orientation="landscape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32.7109375" style="0" bestFit="1" customWidth="1"/>
    <col min="2" max="2" width="13.421875" style="0" customWidth="1"/>
    <col min="3" max="3" width="13.57421875" style="0" customWidth="1"/>
    <col min="4" max="4" width="12.421875" style="0" customWidth="1"/>
    <col min="5" max="5" width="14.00390625" style="0" customWidth="1"/>
    <col min="6" max="6" width="2.7109375" style="0" customWidth="1"/>
    <col min="7" max="7" width="19.00390625" style="1" bestFit="1" customWidth="1"/>
    <col min="8" max="8" width="13.8515625" style="1" bestFit="1" customWidth="1"/>
    <col min="9" max="9" width="10.28125" style="1" bestFit="1" customWidth="1"/>
    <col min="10" max="11" width="14.00390625" style="1" bestFit="1" customWidth="1"/>
    <col min="12" max="12" width="13.7109375" style="1" customWidth="1"/>
  </cols>
  <sheetData>
    <row r="1" spans="1:5" ht="12.75">
      <c r="A1" s="493" t="str">
        <f>+'Revenue Input'!A1</f>
        <v>E.L.K. Energy Inc., </v>
      </c>
      <c r="B1" s="493"/>
      <c r="C1" s="493"/>
      <c r="D1" s="493"/>
      <c r="E1" s="493"/>
    </row>
    <row r="2" spans="1:5" ht="12.75">
      <c r="A2" s="493" t="str">
        <f>+'Revenue Input'!A2</f>
        <v>ED-2003-0015 , EB-2011-099</v>
      </c>
      <c r="B2" s="493"/>
      <c r="C2" s="493"/>
      <c r="D2" s="493"/>
      <c r="E2" s="493"/>
    </row>
    <row r="3" spans="1:5" ht="12.75">
      <c r="A3" s="493">
        <f>+'Revenue Input'!A3</f>
        <v>0</v>
      </c>
      <c r="B3" s="493"/>
      <c r="C3" s="493"/>
      <c r="D3" s="493"/>
      <c r="E3" s="493"/>
    </row>
    <row r="4" spans="1:5" ht="13.5" thickBot="1">
      <c r="A4" s="471"/>
      <c r="B4" s="471"/>
      <c r="C4" s="471"/>
      <c r="D4" s="471"/>
      <c r="E4" s="471"/>
    </row>
    <row r="5" spans="1:8" ht="21" thickBot="1">
      <c r="A5" s="511" t="s">
        <v>256</v>
      </c>
      <c r="B5" s="511"/>
      <c r="C5" s="511"/>
      <c r="D5" s="511"/>
      <c r="E5" s="511"/>
      <c r="G5" s="61" t="s">
        <v>145</v>
      </c>
      <c r="H5" s="269" t="s">
        <v>218</v>
      </c>
    </row>
    <row r="6" spans="1:5" ht="15.75">
      <c r="A6" s="513"/>
      <c r="B6" s="513"/>
      <c r="C6" s="513"/>
      <c r="D6" s="513"/>
      <c r="E6" s="513"/>
    </row>
    <row r="7" spans="1:11" ht="12.75">
      <c r="A7" s="512"/>
      <c r="B7" s="512"/>
      <c r="C7" s="512"/>
      <c r="D7" s="512"/>
      <c r="E7" s="512"/>
      <c r="F7" s="57"/>
      <c r="G7" s="57"/>
      <c r="H7" s="57"/>
      <c r="I7" s="57"/>
      <c r="J7" s="57"/>
      <c r="K7" s="57"/>
    </row>
    <row r="8" spans="1:5" ht="15.75">
      <c r="A8" s="513"/>
      <c r="B8" s="513"/>
      <c r="C8" s="513"/>
      <c r="D8" s="513"/>
      <c r="E8" s="513"/>
    </row>
    <row r="9" spans="1:12" s="8" customFormat="1" ht="18">
      <c r="A9" s="479" t="s">
        <v>257</v>
      </c>
      <c r="B9" s="479"/>
      <c r="C9" s="479"/>
      <c r="D9" s="479"/>
      <c r="E9" s="479"/>
      <c r="G9" s="18"/>
      <c r="H9" s="18"/>
      <c r="I9" s="18"/>
      <c r="J9" s="18"/>
      <c r="K9" s="18"/>
      <c r="L9" s="18"/>
    </row>
    <row r="10" spans="1:12" s="8" customFormat="1" ht="12.75">
      <c r="A10" s="86" t="s">
        <v>0</v>
      </c>
      <c r="B10" s="85" t="s">
        <v>25</v>
      </c>
      <c r="C10" s="85" t="s">
        <v>26</v>
      </c>
      <c r="D10" s="85" t="s">
        <v>17</v>
      </c>
      <c r="E10" s="85" t="s">
        <v>16</v>
      </c>
      <c r="G10" s="19"/>
      <c r="H10" s="19"/>
      <c r="I10" s="19"/>
      <c r="J10" s="19"/>
      <c r="K10" s="19"/>
      <c r="L10" s="19"/>
    </row>
    <row r="11" spans="1:12" s="8" customFormat="1" ht="18" customHeight="1">
      <c r="A11" s="104" t="str">
        <f>'Rates By Rate Class'!A8</f>
        <v>Residential</v>
      </c>
      <c r="B11" s="290">
        <v>0</v>
      </c>
      <c r="C11" s="290">
        <f>IF(+$H$5="Y",+ROUND(+'Rates By Rate Class'!D8,2),+'Rates By Rate Class'!D8)</f>
        <v>10.68</v>
      </c>
      <c r="D11" s="117">
        <v>0</v>
      </c>
      <c r="E11" s="117">
        <f>IF(+$H$5="Y",ROUND(+'Rates By Rate Class'!E8,4),+'Rates By Rate Class'!E8)</f>
        <v>0.0076</v>
      </c>
      <c r="G11" s="59"/>
      <c r="H11" s="59"/>
      <c r="I11" s="18"/>
      <c r="J11" s="18"/>
      <c r="K11" s="18"/>
      <c r="L11" s="18"/>
    </row>
    <row r="12" spans="1:12" s="8" customFormat="1" ht="18" customHeight="1">
      <c r="A12" s="104" t="str">
        <f>'Rates By Rate Class'!A9</f>
        <v>GS &lt; 50 kW</v>
      </c>
      <c r="B12" s="290">
        <v>0</v>
      </c>
      <c r="C12" s="290">
        <f>IF(+$H$5="Y",+ROUND(+'Rates By Rate Class'!D9,2),+'Rates By Rate Class'!D9)</f>
        <v>14.96</v>
      </c>
      <c r="D12" s="117">
        <v>0</v>
      </c>
      <c r="E12" s="117">
        <f>IF(+$H$5="Y",ROUND(+'Rates By Rate Class'!E9,4),+'Rates By Rate Class'!E9)</f>
        <v>0.0063</v>
      </c>
      <c r="G12" s="59"/>
      <c r="H12" s="59"/>
      <c r="I12" s="18"/>
      <c r="J12" s="18"/>
      <c r="K12" s="18"/>
      <c r="L12" s="18"/>
    </row>
    <row r="13" spans="1:12" s="8" customFormat="1" ht="18" customHeight="1">
      <c r="A13" s="104" t="str">
        <f>'Rates By Rate Class'!A10</f>
        <v>GS &gt;50</v>
      </c>
      <c r="B13" s="290">
        <v>0</v>
      </c>
      <c r="C13" s="290">
        <f>IF(+$H$5="Y",+ROUND(+'Rates By Rate Class'!D10,2),+'Rates By Rate Class'!D10)</f>
        <v>177.32</v>
      </c>
      <c r="D13" s="117">
        <f>IF(+$H$5="Y",ROUND(+'Rates By Rate Class'!E10,4),+'Rates By Rate Class'!E10)</f>
        <v>1.5002</v>
      </c>
      <c r="E13" s="117">
        <v>0</v>
      </c>
      <c r="G13" s="59"/>
      <c r="H13" s="59"/>
      <c r="I13" s="18"/>
      <c r="J13" s="18"/>
      <c r="K13" s="18"/>
      <c r="L13" s="18"/>
    </row>
    <row r="14" spans="1:12" s="8" customFormat="1" ht="18" customHeight="1">
      <c r="A14" s="104" t="str">
        <f>'Rates By Rate Class'!A11</f>
        <v>   </v>
      </c>
      <c r="B14" s="290">
        <v>0</v>
      </c>
      <c r="C14" s="290">
        <f>IF(+$H$5="Y",+ROUND(+'Rates By Rate Class'!D11,2),+'Rates By Rate Class'!D11)</f>
        <v>0</v>
      </c>
      <c r="D14" s="117" t="e">
        <f>IF(+$H$5="Y",ROUND(+'Rates By Rate Class'!E11,4),+'Rates By Rate Class'!E11)</f>
        <v>#DIV/0!</v>
      </c>
      <c r="E14" s="117">
        <v>0</v>
      </c>
      <c r="G14" s="59"/>
      <c r="H14" s="59"/>
      <c r="I14" s="18"/>
      <c r="J14" s="18"/>
      <c r="K14" s="18"/>
      <c r="L14" s="18"/>
    </row>
    <row r="15" spans="1:12" s="8" customFormat="1" ht="18" customHeight="1">
      <c r="A15" s="104" t="str">
        <f>'Rates By Rate Class'!A12</f>
        <v>Sentinel Lights</v>
      </c>
      <c r="B15" s="290">
        <f>IF(+$H$5="Y",+ROUND(+'Rates By Rate Class'!D12,4),+'Rates By Rate Class'!D12)</f>
        <v>3.3946</v>
      </c>
      <c r="C15" s="290">
        <v>0</v>
      </c>
      <c r="D15" s="117">
        <f>IF(+$H$5="Y",ROUND(+'Rates By Rate Class'!E12,4),+'Rates By Rate Class'!E12)</f>
        <v>6.3717</v>
      </c>
      <c r="E15" s="117">
        <v>0</v>
      </c>
      <c r="G15" s="59"/>
      <c r="H15" s="59"/>
      <c r="I15" s="18"/>
      <c r="J15" s="18"/>
      <c r="K15" s="18"/>
      <c r="L15" s="18"/>
    </row>
    <row r="16" spans="1:12" s="8" customFormat="1" ht="18" customHeight="1">
      <c r="A16" s="104" t="str">
        <f>'Rates By Rate Class'!A13</f>
        <v>Street Lighting</v>
      </c>
      <c r="B16" s="290">
        <f>IF(+$H$5="Y",+ROUND(+'Rates By Rate Class'!D13,4),+'Rates By Rate Class'!D13)</f>
        <v>1.2681</v>
      </c>
      <c r="C16" s="290">
        <v>0</v>
      </c>
      <c r="D16" s="117">
        <f>IF(+$H$5="Y",ROUND(+'Rates By Rate Class'!E13,4),+'Rates By Rate Class'!E13)</f>
        <v>12.3515</v>
      </c>
      <c r="E16" s="117">
        <v>0</v>
      </c>
      <c r="G16" s="59"/>
      <c r="H16" s="59"/>
      <c r="I16" s="18"/>
      <c r="J16" s="18"/>
      <c r="K16" s="18"/>
      <c r="L16" s="18"/>
    </row>
    <row r="17" spans="1:12" s="8" customFormat="1" ht="18" customHeight="1">
      <c r="A17" s="104" t="str">
        <f>'Rates By Rate Class'!A14</f>
        <v>USL</v>
      </c>
      <c r="B17" s="290">
        <f>IF(+$H$5="Y",+ROUND(+'Rates By Rate Class'!D14,4),+'Rates By Rate Class'!D14)</f>
        <v>6.9494</v>
      </c>
      <c r="C17" s="290">
        <v>0</v>
      </c>
      <c r="D17" s="117">
        <v>0</v>
      </c>
      <c r="E17" s="117">
        <f>IF(+$H$5="Y",ROUND(+'Rates By Rate Class'!E14,4),+'Rates By Rate Class'!E14)</f>
        <v>0.0021</v>
      </c>
      <c r="G17" s="59"/>
      <c r="H17" s="59"/>
      <c r="I17" s="18"/>
      <c r="J17" s="18"/>
      <c r="K17" s="18"/>
      <c r="L17" s="18"/>
    </row>
    <row r="18" spans="1:12" s="8" customFormat="1" ht="18" customHeight="1">
      <c r="A18" s="104" t="str">
        <f>'Rates By Rate Class'!A15</f>
        <v>   </v>
      </c>
      <c r="B18" s="290">
        <f>IF(+$H$5="Y",+ROUND(+'Rates By Rate Class'!D15,4),+'Rates By Rate Class'!D15)</f>
        <v>0</v>
      </c>
      <c r="C18" s="290">
        <v>0</v>
      </c>
      <c r="D18" s="117" t="e">
        <f>IF(+$H$5="Y",ROUND(+'Rates By Rate Class'!E15,4),+'Rates By Rate Class'!E15)</f>
        <v>#DIV/0!</v>
      </c>
      <c r="E18" s="117">
        <v>0</v>
      </c>
      <c r="G18" s="59"/>
      <c r="H18" s="59"/>
      <c r="I18" s="18"/>
      <c r="J18" s="18"/>
      <c r="K18" s="18"/>
      <c r="L18" s="18"/>
    </row>
    <row r="19" spans="1:12" s="8" customFormat="1" ht="18" customHeight="1">
      <c r="A19" s="104" t="str">
        <f>'Rates By Rate Class'!A16</f>
        <v>Hydro One </v>
      </c>
      <c r="B19" s="290">
        <v>0</v>
      </c>
      <c r="C19" s="290">
        <f>IF(+$H$5="Y",+ROUND(+'Rates By Rate Class'!D16,2),+'Rates By Rate Class'!D16)</f>
        <v>1753.29</v>
      </c>
      <c r="D19" s="117">
        <f>IF(+$H$5="Y",ROUND(+'Rates By Rate Class'!E16,4),+'Rates By Rate Class'!E16)</f>
        <v>0.2608</v>
      </c>
      <c r="E19" s="117">
        <v>0</v>
      </c>
      <c r="G19" s="59"/>
      <c r="H19" s="59"/>
      <c r="I19" s="18"/>
      <c r="J19" s="18"/>
      <c r="K19" s="18"/>
      <c r="L19" s="18"/>
    </row>
    <row r="20" spans="1:12" ht="18.75" customHeight="1">
      <c r="A20" s="513"/>
      <c r="B20" s="513"/>
      <c r="C20" s="513"/>
      <c r="D20" s="513"/>
      <c r="E20" s="513"/>
      <c r="G20" s="18"/>
      <c r="H20" s="18"/>
      <c r="I20" s="18"/>
      <c r="J20" s="18"/>
      <c r="K20" s="18"/>
      <c r="L20" s="18"/>
    </row>
    <row r="21" spans="1:12" s="8" customFormat="1" ht="18">
      <c r="A21" s="479" t="s">
        <v>254</v>
      </c>
      <c r="B21" s="479"/>
      <c r="C21" s="479"/>
      <c r="D21" s="479"/>
      <c r="E21" s="479"/>
      <c r="G21" s="18"/>
      <c r="H21" s="18"/>
      <c r="I21" s="18"/>
      <c r="J21" s="18"/>
      <c r="K21" s="18"/>
      <c r="L21" s="18"/>
    </row>
    <row r="22" spans="1:12" s="8" customFormat="1" ht="12.75">
      <c r="A22" s="86" t="s">
        <v>0</v>
      </c>
      <c r="B22" s="85" t="s">
        <v>25</v>
      </c>
      <c r="C22" s="85" t="s">
        <v>26</v>
      </c>
      <c r="D22" s="85" t="s">
        <v>17</v>
      </c>
      <c r="E22" s="85" t="s">
        <v>16</v>
      </c>
      <c r="G22" s="18"/>
      <c r="H22" s="18"/>
      <c r="I22" s="18"/>
      <c r="J22" s="18"/>
      <c r="K22" s="18"/>
      <c r="L22" s="18"/>
    </row>
    <row r="23" spans="1:12" s="8" customFormat="1" ht="18" customHeight="1">
      <c r="A23" s="104" t="str">
        <f aca="true" t="shared" si="0" ref="A23:A31">A11</f>
        <v>Residential</v>
      </c>
      <c r="B23" s="117"/>
      <c r="C23" s="117"/>
      <c r="D23" s="117"/>
      <c r="E23" s="117">
        <f>IF(+$H$5="Y",+ROUND(+'Low Voltage Rates'!F7,4),+'Low Voltage Rates'!F7)</f>
        <v>0.0012</v>
      </c>
      <c r="G23" s="59"/>
      <c r="H23" s="59"/>
      <c r="I23" s="18"/>
      <c r="J23" s="18"/>
      <c r="K23" s="18"/>
      <c r="L23" s="18"/>
    </row>
    <row r="24" spans="1:12" s="8" customFormat="1" ht="18" customHeight="1">
      <c r="A24" s="104" t="str">
        <f t="shared" si="0"/>
        <v>GS &lt; 50 kW</v>
      </c>
      <c r="B24" s="117"/>
      <c r="C24" s="117"/>
      <c r="D24" s="117"/>
      <c r="E24" s="117">
        <f>IF(+$H$5="Y",+ROUND(+'Low Voltage Rates'!F8,4),+'Low Voltage Rates'!F8)</f>
        <v>0.0011</v>
      </c>
      <c r="G24" s="59"/>
      <c r="H24" s="59"/>
      <c r="I24" s="18"/>
      <c r="J24" s="18"/>
      <c r="K24" s="18"/>
      <c r="L24" s="18"/>
    </row>
    <row r="25" spans="1:12" s="8" customFormat="1" ht="18" customHeight="1">
      <c r="A25" s="104" t="str">
        <f t="shared" si="0"/>
        <v>GS &gt;50</v>
      </c>
      <c r="B25" s="117"/>
      <c r="C25" s="117"/>
      <c r="D25" s="117">
        <f>IF(+$H$5="Y",+ROUND(+'Low Voltage Rates'!G9,4),+'Low Voltage Rates'!G9)</f>
        <v>0.4332</v>
      </c>
      <c r="E25" s="117"/>
      <c r="G25" s="59"/>
      <c r="H25" s="59"/>
      <c r="I25" s="18"/>
      <c r="J25" s="18"/>
      <c r="K25" s="18"/>
      <c r="L25" s="18"/>
    </row>
    <row r="26" spans="1:12" s="8" customFormat="1" ht="18" customHeight="1">
      <c r="A26" s="104" t="str">
        <f t="shared" si="0"/>
        <v>   </v>
      </c>
      <c r="B26" s="117"/>
      <c r="C26" s="117"/>
      <c r="D26" s="117" t="e">
        <f>IF(+$H$5="Y",+ROUND(+'Low Voltage Rates'!#REF!,4),+'Low Voltage Rates'!#REF!)</f>
        <v>#REF!</v>
      </c>
      <c r="E26" s="117"/>
      <c r="G26" s="59"/>
      <c r="H26" s="59"/>
      <c r="I26" s="18"/>
      <c r="J26" s="18"/>
      <c r="K26" s="18"/>
      <c r="L26" s="18"/>
    </row>
    <row r="27" spans="1:12" s="8" customFormat="1" ht="18" customHeight="1">
      <c r="A27" s="104" t="str">
        <f t="shared" si="0"/>
        <v>Sentinel Lights</v>
      </c>
      <c r="B27" s="117"/>
      <c r="C27" s="117"/>
      <c r="D27" s="117">
        <f>IF(+$H$5="Y",+ROUND(+'Low Voltage Rates'!G11,4),+'Low Voltage Rates'!G11)</f>
        <v>0.3421</v>
      </c>
      <c r="E27" s="117"/>
      <c r="G27" s="59"/>
      <c r="H27" s="59"/>
      <c r="I27" s="18"/>
      <c r="J27" s="18"/>
      <c r="K27" s="18"/>
      <c r="L27" s="18"/>
    </row>
    <row r="28" spans="1:12" s="8" customFormat="1" ht="18" customHeight="1">
      <c r="A28" s="104" t="str">
        <f t="shared" si="0"/>
        <v>Street Lighting</v>
      </c>
      <c r="B28" s="117"/>
      <c r="C28" s="117"/>
      <c r="D28" s="117">
        <f>IF(+$H$5="Y",+ROUND(+'Low Voltage Rates'!G10,4),+'Low Voltage Rates'!G10)</f>
        <v>0.3351</v>
      </c>
      <c r="E28" s="117"/>
      <c r="G28" s="59"/>
      <c r="H28" s="59"/>
      <c r="I28" s="18"/>
      <c r="J28" s="18"/>
      <c r="K28" s="18"/>
      <c r="L28" s="18"/>
    </row>
    <row r="29" spans="1:12" s="8" customFormat="1" ht="18" customHeight="1">
      <c r="A29" s="104" t="str">
        <f t="shared" si="0"/>
        <v>USL</v>
      </c>
      <c r="B29" s="117"/>
      <c r="C29" s="117"/>
      <c r="D29" s="117"/>
      <c r="E29" s="117">
        <f>IF(+$H$5="Y",+ROUND(+'Low Voltage Rates'!F12,4),+'Low Voltage Rates'!F12)</f>
        <v>0.0011</v>
      </c>
      <c r="G29" s="59"/>
      <c r="H29" s="59"/>
      <c r="I29" s="18"/>
      <c r="J29" s="18"/>
      <c r="K29" s="18"/>
      <c r="L29" s="18"/>
    </row>
    <row r="30" spans="1:12" s="8" customFormat="1" ht="18" customHeight="1">
      <c r="A30" s="104" t="str">
        <f t="shared" si="0"/>
        <v>   </v>
      </c>
      <c r="B30" s="117"/>
      <c r="C30" s="117"/>
      <c r="D30" s="117"/>
      <c r="E30" s="117">
        <f>IF(+$H$5="Y",+ROUND(+'Low Voltage Rates'!F16,4),+'Low Voltage Rates'!F16)</f>
        <v>0</v>
      </c>
      <c r="G30" s="59"/>
      <c r="H30" s="59"/>
      <c r="I30" s="18"/>
      <c r="J30" s="18"/>
      <c r="K30" s="18"/>
      <c r="L30" s="18"/>
    </row>
    <row r="31" spans="1:12" s="8" customFormat="1" ht="18" customHeight="1">
      <c r="A31" s="104" t="str">
        <f t="shared" si="0"/>
        <v>Hydro One </v>
      </c>
      <c r="B31" s="117"/>
      <c r="C31" s="117"/>
      <c r="D31" s="117">
        <f>IF(+$H$5="Y",+ROUND(+'Low Voltage Rates'!G13,4),+'Low Voltage Rates'!G13)</f>
        <v>0.4332</v>
      </c>
      <c r="E31" s="117"/>
      <c r="G31" s="59"/>
      <c r="H31" s="59"/>
      <c r="I31" s="18"/>
      <c r="J31" s="18"/>
      <c r="K31" s="18"/>
      <c r="L31" s="18"/>
    </row>
    <row r="32" spans="1:12" s="8" customFormat="1" ht="15.75">
      <c r="A32" s="513"/>
      <c r="B32" s="513"/>
      <c r="C32" s="513"/>
      <c r="D32" s="513"/>
      <c r="E32" s="513"/>
      <c r="G32" s="18"/>
      <c r="H32" s="18"/>
      <c r="I32" s="18"/>
      <c r="J32" s="18"/>
      <c r="K32" s="18"/>
      <c r="L32" s="18"/>
    </row>
    <row r="33" spans="1:12" s="8" customFormat="1" ht="18">
      <c r="A33" s="479" t="s">
        <v>255</v>
      </c>
      <c r="B33" s="479"/>
      <c r="C33" s="479"/>
      <c r="D33" s="479"/>
      <c r="E33" s="479"/>
      <c r="G33" s="18"/>
      <c r="H33" s="18"/>
      <c r="I33" s="18"/>
      <c r="J33" s="18"/>
      <c r="K33" s="18"/>
      <c r="L33" s="18"/>
    </row>
    <row r="34" spans="1:12" s="8" customFormat="1" ht="12.75">
      <c r="A34" s="86" t="s">
        <v>0</v>
      </c>
      <c r="B34" s="85" t="s">
        <v>25</v>
      </c>
      <c r="C34" s="85" t="s">
        <v>26</v>
      </c>
      <c r="D34" s="85" t="s">
        <v>17</v>
      </c>
      <c r="E34" s="85" t="s">
        <v>16</v>
      </c>
      <c r="G34" s="19"/>
      <c r="H34" s="19"/>
      <c r="I34" s="19"/>
      <c r="J34" s="19"/>
      <c r="K34" s="19"/>
      <c r="L34" s="19"/>
    </row>
    <row r="35" spans="1:13" s="8" customFormat="1" ht="18" customHeight="1">
      <c r="A35" s="104" t="str">
        <f aca="true" t="shared" si="1" ref="A35:A43">A23</f>
        <v>Residential</v>
      </c>
      <c r="B35" s="290">
        <f>B11</f>
        <v>0</v>
      </c>
      <c r="C35" s="290">
        <f>C11</f>
        <v>10.68</v>
      </c>
      <c r="D35" s="117">
        <f>D11</f>
        <v>0</v>
      </c>
      <c r="E35" s="117">
        <f>E11</f>
        <v>0.0076</v>
      </c>
      <c r="G35" s="59"/>
      <c r="H35" s="59"/>
      <c r="I35" s="18"/>
      <c r="J35" s="18"/>
      <c r="K35" s="18"/>
      <c r="L35" s="18"/>
      <c r="M35" s="116"/>
    </row>
    <row r="36" spans="1:13" s="8" customFormat="1" ht="18" customHeight="1">
      <c r="A36" s="104" t="str">
        <f t="shared" si="1"/>
        <v>GS &lt; 50 kW</v>
      </c>
      <c r="B36" s="290">
        <f aca="true" t="shared" si="2" ref="B36:E43">B12</f>
        <v>0</v>
      </c>
      <c r="C36" s="290">
        <f t="shared" si="2"/>
        <v>14.96</v>
      </c>
      <c r="D36" s="117">
        <f t="shared" si="2"/>
        <v>0</v>
      </c>
      <c r="E36" s="117">
        <f t="shared" si="2"/>
        <v>0.0063</v>
      </c>
      <c r="G36" s="59"/>
      <c r="H36" s="59"/>
      <c r="I36" s="18"/>
      <c r="J36" s="18"/>
      <c r="K36" s="18"/>
      <c r="L36" s="18"/>
      <c r="M36" s="116"/>
    </row>
    <row r="37" spans="1:13" s="8" customFormat="1" ht="18" customHeight="1">
      <c r="A37" s="104" t="str">
        <f t="shared" si="1"/>
        <v>GS &gt;50</v>
      </c>
      <c r="B37" s="290">
        <f t="shared" si="2"/>
        <v>0</v>
      </c>
      <c r="C37" s="290">
        <f t="shared" si="2"/>
        <v>177.32</v>
      </c>
      <c r="D37" s="117">
        <f t="shared" si="2"/>
        <v>1.5002</v>
      </c>
      <c r="E37" s="117">
        <f t="shared" si="2"/>
        <v>0</v>
      </c>
      <c r="G37" s="59"/>
      <c r="H37" s="59"/>
      <c r="I37" s="18"/>
      <c r="J37" s="18"/>
      <c r="K37" s="18"/>
      <c r="L37" s="18"/>
      <c r="M37" s="116"/>
    </row>
    <row r="38" spans="1:13" s="8" customFormat="1" ht="18" customHeight="1">
      <c r="A38" s="104" t="str">
        <f t="shared" si="1"/>
        <v>   </v>
      </c>
      <c r="B38" s="290">
        <f t="shared" si="2"/>
        <v>0</v>
      </c>
      <c r="C38" s="290">
        <f t="shared" si="2"/>
        <v>0</v>
      </c>
      <c r="D38" s="117" t="e">
        <f t="shared" si="2"/>
        <v>#DIV/0!</v>
      </c>
      <c r="E38" s="117">
        <f t="shared" si="2"/>
        <v>0</v>
      </c>
      <c r="G38" s="59"/>
      <c r="H38" s="59"/>
      <c r="I38" s="18"/>
      <c r="J38" s="18"/>
      <c r="K38" s="18"/>
      <c r="L38" s="18"/>
      <c r="M38" s="116"/>
    </row>
    <row r="39" spans="1:13" s="8" customFormat="1" ht="18" customHeight="1">
      <c r="A39" s="104" t="str">
        <f t="shared" si="1"/>
        <v>Sentinel Lights</v>
      </c>
      <c r="B39" s="290">
        <f t="shared" si="2"/>
        <v>3.3946</v>
      </c>
      <c r="C39" s="290">
        <f t="shared" si="2"/>
        <v>0</v>
      </c>
      <c r="D39" s="117">
        <f t="shared" si="2"/>
        <v>6.3717</v>
      </c>
      <c r="E39" s="117">
        <f t="shared" si="2"/>
        <v>0</v>
      </c>
      <c r="G39" s="59"/>
      <c r="H39" s="59"/>
      <c r="I39" s="18"/>
      <c r="J39" s="18"/>
      <c r="K39" s="18"/>
      <c r="L39" s="18"/>
      <c r="M39" s="116"/>
    </row>
    <row r="40" spans="1:13" s="8" customFormat="1" ht="18" customHeight="1">
      <c r="A40" s="104" t="str">
        <f t="shared" si="1"/>
        <v>Street Lighting</v>
      </c>
      <c r="B40" s="290">
        <f t="shared" si="2"/>
        <v>1.2681</v>
      </c>
      <c r="C40" s="290">
        <f t="shared" si="2"/>
        <v>0</v>
      </c>
      <c r="D40" s="117">
        <f t="shared" si="2"/>
        <v>12.3515</v>
      </c>
      <c r="E40" s="117">
        <f t="shared" si="2"/>
        <v>0</v>
      </c>
      <c r="G40" s="59"/>
      <c r="H40" s="59"/>
      <c r="I40" s="18"/>
      <c r="J40" s="18"/>
      <c r="K40" s="18"/>
      <c r="L40" s="18"/>
      <c r="M40" s="116"/>
    </row>
    <row r="41" spans="1:13" s="8" customFormat="1" ht="18" customHeight="1">
      <c r="A41" s="104" t="str">
        <f t="shared" si="1"/>
        <v>USL</v>
      </c>
      <c r="B41" s="290">
        <f t="shared" si="2"/>
        <v>6.9494</v>
      </c>
      <c r="C41" s="290">
        <f t="shared" si="2"/>
        <v>0</v>
      </c>
      <c r="D41" s="117">
        <f t="shared" si="2"/>
        <v>0</v>
      </c>
      <c r="E41" s="117">
        <f t="shared" si="2"/>
        <v>0.0021</v>
      </c>
      <c r="G41" s="59"/>
      <c r="H41" s="59"/>
      <c r="I41" s="18"/>
      <c r="J41" s="18"/>
      <c r="K41" s="18"/>
      <c r="L41" s="18"/>
      <c r="M41" s="116"/>
    </row>
    <row r="42" spans="1:13" s="8" customFormat="1" ht="18" customHeight="1">
      <c r="A42" s="104" t="str">
        <f t="shared" si="1"/>
        <v>   </v>
      </c>
      <c r="B42" s="290">
        <f t="shared" si="2"/>
        <v>0</v>
      </c>
      <c r="C42" s="290">
        <f t="shared" si="2"/>
        <v>0</v>
      </c>
      <c r="D42" s="117" t="e">
        <f t="shared" si="2"/>
        <v>#DIV/0!</v>
      </c>
      <c r="E42" s="117">
        <f t="shared" si="2"/>
        <v>0</v>
      </c>
      <c r="G42" s="59"/>
      <c r="H42" s="59"/>
      <c r="I42" s="18"/>
      <c r="J42" s="18"/>
      <c r="K42" s="18"/>
      <c r="L42" s="18"/>
      <c r="M42" s="116"/>
    </row>
    <row r="43" spans="1:13" s="8" customFormat="1" ht="18" customHeight="1">
      <c r="A43" s="104" t="str">
        <f t="shared" si="1"/>
        <v>Hydro One </v>
      </c>
      <c r="B43" s="290">
        <f t="shared" si="2"/>
        <v>0</v>
      </c>
      <c r="C43" s="290">
        <f t="shared" si="2"/>
        <v>1753.29</v>
      </c>
      <c r="D43" s="117">
        <f t="shared" si="2"/>
        <v>0.2608</v>
      </c>
      <c r="E43" s="117">
        <f t="shared" si="2"/>
        <v>0</v>
      </c>
      <c r="G43" s="59"/>
      <c r="H43" s="59"/>
      <c r="I43" s="18"/>
      <c r="J43" s="18"/>
      <c r="K43" s="18"/>
      <c r="L43" s="18"/>
      <c r="M43" s="116"/>
    </row>
    <row r="44" spans="1:12" s="8" customFormat="1" ht="16.5" thickBot="1">
      <c r="A44" s="513"/>
      <c r="B44" s="513"/>
      <c r="C44" s="513"/>
      <c r="D44" s="513"/>
      <c r="E44" s="513"/>
      <c r="G44" s="18"/>
      <c r="H44" s="18"/>
      <c r="I44" s="18"/>
      <c r="J44" s="18"/>
      <c r="K44" s="18"/>
      <c r="L44" s="18"/>
    </row>
    <row r="45" spans="1:12" s="8" customFormat="1" ht="18" customHeight="1" thickBot="1">
      <c r="A45" s="56" t="s">
        <v>151</v>
      </c>
      <c r="B45" s="66"/>
      <c r="C45" s="66"/>
      <c r="D45" s="118">
        <f>'Transformer Allowance'!B17</f>
        <v>-0.6</v>
      </c>
      <c r="E45" s="66"/>
      <c r="G45" s="18"/>
      <c r="H45" s="18"/>
      <c r="I45" s="18"/>
      <c r="J45" s="18"/>
      <c r="K45" s="18"/>
      <c r="L45" s="18"/>
    </row>
  </sheetData>
  <sheetProtection/>
  <mergeCells count="14">
    <mergeCell ref="A44:E44"/>
    <mergeCell ref="A21:E21"/>
    <mergeCell ref="A33:E33"/>
    <mergeCell ref="A1:E1"/>
    <mergeCell ref="A2:E2"/>
    <mergeCell ref="A3:E3"/>
    <mergeCell ref="A4:E4"/>
    <mergeCell ref="A9:E9"/>
    <mergeCell ref="A5:E5"/>
    <mergeCell ref="A7:E7"/>
    <mergeCell ref="A6:E6"/>
    <mergeCell ref="A8:E8"/>
    <mergeCell ref="A20:E20"/>
    <mergeCell ref="A32:E32"/>
  </mergeCells>
  <printOptions/>
  <pageMargins left="0.75" right="0.75" top="1" bottom="1" header="0.5" footer="0.5"/>
  <pageSetup fitToHeight="1" fitToWidth="1" horizontalDpi="355" verticalDpi="355" orientation="portrait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85" zoomScaleNormal="85" zoomScalePageLayoutView="0" workbookViewId="0" topLeftCell="A16">
      <selection activeCell="B25" sqref="B25"/>
    </sheetView>
  </sheetViews>
  <sheetFormatPr defaultColWidth="9.140625" defaultRowHeight="12.75"/>
  <cols>
    <col min="1" max="1" width="42.8515625" style="0" bestFit="1" customWidth="1"/>
    <col min="2" max="5" width="11.7109375" style="0" customWidth="1"/>
    <col min="6" max="6" width="13.7109375" style="0" customWidth="1"/>
    <col min="7" max="7" width="13.421875" style="0" bestFit="1" customWidth="1"/>
    <col min="8" max="8" width="10.8515625" style="0" customWidth="1"/>
    <col min="9" max="9" width="7.28125" style="0" bestFit="1" customWidth="1"/>
    <col min="10" max="11" width="13.00390625" style="0" customWidth="1"/>
    <col min="12" max="12" width="15.7109375" style="0" customWidth="1"/>
    <col min="13" max="13" width="1.57421875" style="0" customWidth="1"/>
  </cols>
  <sheetData>
    <row r="1" spans="1:12" ht="12.75">
      <c r="A1" s="470" t="str">
        <f>+'Revenue Input'!A1</f>
        <v>E.L.K. Energy Inc., 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</row>
    <row r="2" spans="1:12" ht="12.75">
      <c r="A2" s="470" t="str">
        <f>+'Revenue Input'!A2</f>
        <v>ED-2003-0015 , EB-2011-099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1:12" ht="12.75">
      <c r="A3" s="470">
        <f>+'Revenue Input'!A3</f>
        <v>0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</row>
    <row r="4" spans="1:12" ht="12.75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</row>
    <row r="5" spans="1:12" ht="20.25">
      <c r="A5" s="514" t="s">
        <v>66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</row>
    <row r="6" spans="1:12" ht="21" thickBot="1">
      <c r="A6" s="524" t="s">
        <v>219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</row>
    <row r="7" spans="1:12" ht="54">
      <c r="A7" s="515" t="s">
        <v>0</v>
      </c>
      <c r="B7" s="518" t="s">
        <v>49</v>
      </c>
      <c r="C7" s="519"/>
      <c r="D7" s="519"/>
      <c r="E7" s="519"/>
      <c r="F7" s="520" t="s">
        <v>50</v>
      </c>
      <c r="G7" s="521"/>
      <c r="H7" s="521"/>
      <c r="I7" s="521"/>
      <c r="J7" s="522" t="s">
        <v>51</v>
      </c>
      <c r="K7" s="523"/>
      <c r="L7" s="322" t="s">
        <v>52</v>
      </c>
    </row>
    <row r="8" spans="1:12" ht="51.75" customHeight="1">
      <c r="A8" s="516"/>
      <c r="B8" s="125" t="s">
        <v>134</v>
      </c>
      <c r="C8" s="126" t="s">
        <v>54</v>
      </c>
      <c r="D8" s="126" t="s">
        <v>168</v>
      </c>
      <c r="E8" s="127" t="s">
        <v>41</v>
      </c>
      <c r="F8" s="128" t="s">
        <v>53</v>
      </c>
      <c r="G8" s="126" t="s">
        <v>54</v>
      </c>
      <c r="H8" s="126" t="s">
        <v>168</v>
      </c>
      <c r="I8" s="127" t="s">
        <v>41</v>
      </c>
      <c r="J8" s="378" t="s">
        <v>146</v>
      </c>
      <c r="K8" s="375" t="s">
        <v>147</v>
      </c>
      <c r="L8" s="130">
        <v>2011</v>
      </c>
    </row>
    <row r="9" spans="1:12" ht="13.5" thickBot="1">
      <c r="A9" s="517"/>
      <c r="B9" s="131" t="s">
        <v>22</v>
      </c>
      <c r="C9" s="132" t="s">
        <v>22</v>
      </c>
      <c r="D9" s="132" t="s">
        <v>22</v>
      </c>
      <c r="E9" s="133" t="s">
        <v>22</v>
      </c>
      <c r="F9" s="134" t="s">
        <v>55</v>
      </c>
      <c r="G9" s="132" t="s">
        <v>55</v>
      </c>
      <c r="H9" s="132" t="s">
        <v>55</v>
      </c>
      <c r="I9" s="133" t="s">
        <v>55</v>
      </c>
      <c r="J9" s="379" t="s">
        <v>56</v>
      </c>
      <c r="K9" s="376" t="s">
        <v>56</v>
      </c>
      <c r="L9" s="136"/>
    </row>
    <row r="10" spans="1:12" ht="18" customHeight="1">
      <c r="A10" s="272" t="str">
        <f>'2012 Rate Rider'!A7</f>
        <v>Residential</v>
      </c>
      <c r="B10" s="137">
        <f>0.0057+0.0045</f>
        <v>0.0102</v>
      </c>
      <c r="C10" s="138">
        <f>0.0052+0.0013</f>
        <v>0.0065</v>
      </c>
      <c r="D10" s="138">
        <f>0.007/L10</f>
        <v>0.006486887220832176</v>
      </c>
      <c r="E10" s="139">
        <f>SUM(B10:D10)</f>
        <v>0.023186887220832175</v>
      </c>
      <c r="F10" s="140">
        <v>0</v>
      </c>
      <c r="G10" s="141"/>
      <c r="H10" s="141"/>
      <c r="I10" s="142"/>
      <c r="J10" s="380">
        <v>0.075</v>
      </c>
      <c r="K10" s="380">
        <v>0.088</v>
      </c>
      <c r="L10" s="145">
        <v>1.0791</v>
      </c>
    </row>
    <row r="11" spans="1:12" ht="18" customHeight="1">
      <c r="A11" s="272" t="str">
        <f>'2012 Rate Rider'!A8</f>
        <v>GS &lt; 50 kW</v>
      </c>
      <c r="B11" s="137">
        <f>0.0051+0.0041</f>
        <v>0.0092</v>
      </c>
      <c r="C11" s="138">
        <f>0.0052+0.0013</f>
        <v>0.0065</v>
      </c>
      <c r="D11" s="138">
        <f>0.007/L11</f>
        <v>0.006486887220832176</v>
      </c>
      <c r="E11" s="139">
        <f aca="true" t="shared" si="0" ref="E11:E16">SUM(B11:D11)</f>
        <v>0.022186887220832174</v>
      </c>
      <c r="F11" s="143">
        <v>0</v>
      </c>
      <c r="G11" s="142"/>
      <c r="H11" s="142"/>
      <c r="I11" s="142"/>
      <c r="J11" s="380">
        <v>0.075</v>
      </c>
      <c r="K11" s="380">
        <v>0.088</v>
      </c>
      <c r="L11" s="145">
        <v>1.0791</v>
      </c>
    </row>
    <row r="12" spans="1:12" ht="18" customHeight="1">
      <c r="A12" s="272" t="str">
        <f>'2012 Rate Rider'!A9</f>
        <v>GS &gt;50</v>
      </c>
      <c r="B12" s="142"/>
      <c r="C12" s="138">
        <f>0.0052+0.0013</f>
        <v>0.0065</v>
      </c>
      <c r="D12" s="138">
        <f>0.007/L12</f>
        <v>0.006486887220832176</v>
      </c>
      <c r="E12" s="139">
        <f t="shared" si="0"/>
        <v>0.012986887220832175</v>
      </c>
      <c r="F12" s="144">
        <f>2.1237+1.6243</f>
        <v>3.748</v>
      </c>
      <c r="G12" s="142"/>
      <c r="H12" s="142"/>
      <c r="I12" s="139">
        <f>SUM(F12:H12)</f>
        <v>3.748</v>
      </c>
      <c r="J12" s="380">
        <f>'[4]2012 COP Forecast'!$E$25</f>
        <v>0.07877</v>
      </c>
      <c r="K12" s="377">
        <f>J12</f>
        <v>0.07877</v>
      </c>
      <c r="L12" s="145">
        <v>1.0791</v>
      </c>
    </row>
    <row r="13" spans="1:12" ht="18" customHeight="1">
      <c r="A13" s="272" t="str">
        <f>'2012 Rate Rider'!A10</f>
        <v>   </v>
      </c>
      <c r="B13" s="142"/>
      <c r="C13" s="138"/>
      <c r="D13" s="138"/>
      <c r="E13" s="139">
        <f>SUM(B13:D13)</f>
        <v>0</v>
      </c>
      <c r="F13" s="144"/>
      <c r="G13" s="142"/>
      <c r="H13" s="142"/>
      <c r="I13" s="139">
        <f>SUM(F13:H13)</f>
        <v>0</v>
      </c>
      <c r="J13" s="380"/>
      <c r="K13" s="377"/>
      <c r="L13" s="145">
        <v>1.0791</v>
      </c>
    </row>
    <row r="14" spans="1:12" ht="18" customHeight="1">
      <c r="A14" s="272" t="str">
        <f>'2012 Rate Rider'!A11</f>
        <v>Sentinel Lights</v>
      </c>
      <c r="B14" s="142"/>
      <c r="C14" s="138">
        <f>0.0052+0.0013</f>
        <v>0.0065</v>
      </c>
      <c r="D14" s="138">
        <f>0.007/L14</f>
        <v>0.006486887220832176</v>
      </c>
      <c r="E14" s="139">
        <f t="shared" si="0"/>
        <v>0.012986887220832175</v>
      </c>
      <c r="F14" s="144">
        <f>1.6099+1.2829</f>
        <v>2.8928000000000003</v>
      </c>
      <c r="G14" s="142"/>
      <c r="H14" s="142"/>
      <c r="I14" s="139">
        <f>SUM(F14:H14)</f>
        <v>2.8928000000000003</v>
      </c>
      <c r="J14" s="380">
        <f>J12</f>
        <v>0.07877</v>
      </c>
      <c r="K14" s="380">
        <f>K12</f>
        <v>0.07877</v>
      </c>
      <c r="L14" s="145">
        <v>1.0791</v>
      </c>
    </row>
    <row r="15" spans="1:12" ht="18" customHeight="1">
      <c r="A15" s="272" t="str">
        <f>'2012 Rate Rider'!A12</f>
        <v>Street Lighting</v>
      </c>
      <c r="B15" s="142"/>
      <c r="C15" s="138">
        <f>0.0052+0.0013</f>
        <v>0.0065</v>
      </c>
      <c r="D15" s="138">
        <f>0.007/L15</f>
        <v>0.006486887220832176</v>
      </c>
      <c r="E15" s="139">
        <f t="shared" si="0"/>
        <v>0.012986887220832175</v>
      </c>
      <c r="F15" s="144">
        <f>1.6017+1.2565</f>
        <v>2.8582</v>
      </c>
      <c r="G15" s="142"/>
      <c r="H15" s="142"/>
      <c r="I15" s="139">
        <f>SUM(F15:H15)</f>
        <v>2.8582</v>
      </c>
      <c r="J15" s="380">
        <f>J12</f>
        <v>0.07877</v>
      </c>
      <c r="K15" s="380">
        <f>K12</f>
        <v>0.07877</v>
      </c>
      <c r="L15" s="145">
        <v>1.0791</v>
      </c>
    </row>
    <row r="16" spans="1:12" ht="18" customHeight="1">
      <c r="A16" s="272" t="str">
        <f>'2012 Rate Rider'!A13</f>
        <v>USL</v>
      </c>
      <c r="B16" s="137">
        <f>0.0051+0.0041</f>
        <v>0.0092</v>
      </c>
      <c r="C16" s="138">
        <f>0.0052+0.0013</f>
        <v>0.0065</v>
      </c>
      <c r="D16" s="138">
        <f>0.007/L16</f>
        <v>0.006486887220832176</v>
      </c>
      <c r="E16" s="139">
        <f t="shared" si="0"/>
        <v>0.022186887220832174</v>
      </c>
      <c r="F16" s="143">
        <v>0</v>
      </c>
      <c r="G16" s="142"/>
      <c r="H16" s="142"/>
      <c r="I16" s="142"/>
      <c r="J16" s="380">
        <f>J15</f>
        <v>0.07877</v>
      </c>
      <c r="K16" s="380">
        <f>K15</f>
        <v>0.07877</v>
      </c>
      <c r="L16" s="145">
        <v>1.0791</v>
      </c>
    </row>
    <row r="17" spans="1:12" ht="18" customHeight="1">
      <c r="A17" s="272" t="str">
        <f>'2012 Rate Rider'!A14</f>
        <v>   </v>
      </c>
      <c r="B17" s="142"/>
      <c r="C17" s="138"/>
      <c r="D17" s="138"/>
      <c r="E17" s="139">
        <f>SUM(B17:D17)</f>
        <v>0</v>
      </c>
      <c r="F17" s="142"/>
      <c r="G17" s="142"/>
      <c r="H17" s="142"/>
      <c r="I17" s="139">
        <f>SUM(F17:H17)</f>
        <v>0</v>
      </c>
      <c r="J17" s="380"/>
      <c r="K17" s="377"/>
      <c r="L17" s="145">
        <v>1.0791</v>
      </c>
    </row>
    <row r="18" spans="1:12" ht="18" customHeight="1">
      <c r="A18" s="272" t="str">
        <f>'2012 Rate Rider'!A15</f>
        <v>Hydro One </v>
      </c>
      <c r="B18" s="142"/>
      <c r="C18" s="138">
        <f>0.0052+0.0013</f>
        <v>0.0065</v>
      </c>
      <c r="D18" s="138">
        <f>0.007/L18</f>
        <v>0.006486887220832176</v>
      </c>
      <c r="E18" s="139">
        <f>SUM(B18:D18)</f>
        <v>0.012986887220832175</v>
      </c>
      <c r="F18" s="144">
        <f>F13</f>
        <v>0</v>
      </c>
      <c r="G18" s="142"/>
      <c r="H18" s="142"/>
      <c r="I18" s="139">
        <f>SUM(F18:H18)</f>
        <v>0</v>
      </c>
      <c r="J18" s="380">
        <f>J16</f>
        <v>0.07877</v>
      </c>
      <c r="K18" s="377">
        <f>K16</f>
        <v>0.07877</v>
      </c>
      <c r="L18" s="145">
        <v>1.0791</v>
      </c>
    </row>
    <row r="19" spans="1:12" ht="18" customHeight="1">
      <c r="A19" s="339"/>
      <c r="B19" s="341"/>
      <c r="C19" s="342"/>
      <c r="D19" s="343"/>
      <c r="E19" s="340"/>
      <c r="F19" s="344"/>
      <c r="G19" s="344"/>
      <c r="H19" s="344"/>
      <c r="I19" s="344"/>
      <c r="J19" s="342"/>
      <c r="K19" s="342"/>
      <c r="L19" s="342"/>
    </row>
    <row r="20" spans="1:12" ht="15">
      <c r="A20" s="26"/>
      <c r="B20" s="27"/>
      <c r="E20" s="28"/>
      <c r="I20" s="28"/>
      <c r="J20" s="28"/>
      <c r="K20" s="28"/>
      <c r="L20" s="25"/>
    </row>
    <row r="21" spans="1:12" ht="21" thickBot="1">
      <c r="A21" s="524" t="s">
        <v>258</v>
      </c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</row>
    <row r="22" spans="1:12" ht="54">
      <c r="A22" s="515" t="s">
        <v>0</v>
      </c>
      <c r="B22" s="518" t="s">
        <v>49</v>
      </c>
      <c r="C22" s="519"/>
      <c r="D22" s="519"/>
      <c r="E22" s="519"/>
      <c r="F22" s="520" t="s">
        <v>50</v>
      </c>
      <c r="G22" s="521"/>
      <c r="H22" s="521"/>
      <c r="I22" s="521"/>
      <c r="J22" s="522" t="s">
        <v>51</v>
      </c>
      <c r="K22" s="523"/>
      <c r="L22" s="322" t="s">
        <v>52</v>
      </c>
    </row>
    <row r="23" spans="1:12" ht="51">
      <c r="A23" s="516"/>
      <c r="B23" s="125" t="s">
        <v>134</v>
      </c>
      <c r="C23" s="126" t="s">
        <v>54</v>
      </c>
      <c r="D23" s="126" t="s">
        <v>168</v>
      </c>
      <c r="E23" s="127" t="s">
        <v>41</v>
      </c>
      <c r="F23" s="128" t="s">
        <v>53</v>
      </c>
      <c r="G23" s="126" t="s">
        <v>54</v>
      </c>
      <c r="H23" s="126" t="s">
        <v>168</v>
      </c>
      <c r="I23" s="127" t="s">
        <v>41</v>
      </c>
      <c r="J23" s="129" t="s">
        <v>146</v>
      </c>
      <c r="K23" s="381" t="s">
        <v>147</v>
      </c>
      <c r="L23" s="130">
        <v>2012</v>
      </c>
    </row>
    <row r="24" spans="1:12" ht="13.5" thickBot="1">
      <c r="A24" s="517"/>
      <c r="B24" s="131" t="s">
        <v>22</v>
      </c>
      <c r="C24" s="132" t="s">
        <v>22</v>
      </c>
      <c r="D24" s="132" t="s">
        <v>22</v>
      </c>
      <c r="E24" s="133" t="s">
        <v>22</v>
      </c>
      <c r="F24" s="134" t="s">
        <v>55</v>
      </c>
      <c r="G24" s="132" t="s">
        <v>55</v>
      </c>
      <c r="H24" s="132" t="s">
        <v>55</v>
      </c>
      <c r="I24" s="133" t="s">
        <v>55</v>
      </c>
      <c r="J24" s="135" t="s">
        <v>56</v>
      </c>
      <c r="K24" s="376" t="s">
        <v>56</v>
      </c>
      <c r="L24" s="136"/>
    </row>
    <row r="25" spans="1:12" ht="15.75">
      <c r="A25" s="272" t="str">
        <f>A10</f>
        <v>Residential</v>
      </c>
      <c r="B25" s="137">
        <f>'[1]13. Final 2012 RTS Rates'!$F$26+'[1]13. Final 2012 RTS Rates'!$H$26</f>
        <v>0.010382189432402402</v>
      </c>
      <c r="C25" s="138">
        <f>0.0052+0.0011</f>
        <v>0.0063</v>
      </c>
      <c r="D25" s="138">
        <f>0.007/L25</f>
        <v>0.006481481481481481</v>
      </c>
      <c r="E25" s="139">
        <f aca="true" t="shared" si="1" ref="E25:E32">SUM(B25:D25)</f>
        <v>0.023163670913883883</v>
      </c>
      <c r="F25" s="140">
        <v>0</v>
      </c>
      <c r="G25" s="141"/>
      <c r="H25" s="141"/>
      <c r="I25" s="142"/>
      <c r="J25" s="380">
        <v>0.075</v>
      </c>
      <c r="K25" s="380">
        <v>0.088</v>
      </c>
      <c r="L25" s="145">
        <v>1.08</v>
      </c>
    </row>
    <row r="26" spans="1:12" ht="15.75">
      <c r="A26" s="272" t="str">
        <f aca="true" t="shared" si="2" ref="A26:A33">A11</f>
        <v>GS &lt; 50 kW</v>
      </c>
      <c r="B26" s="137">
        <f>'[1]13. Final 2012 RTS Rates'!$F$27+'[1]13. Final 2012 RTS Rates'!$H$27</f>
        <v>0.009364546153031724</v>
      </c>
      <c r="C26" s="138">
        <f>0.0052+0.0011</f>
        <v>0.0063</v>
      </c>
      <c r="D26" s="138">
        <f>0.007/L26</f>
        <v>0.006481481481481481</v>
      </c>
      <c r="E26" s="139">
        <f t="shared" si="1"/>
        <v>0.022146027634513205</v>
      </c>
      <c r="F26" s="143">
        <v>0</v>
      </c>
      <c r="G26" s="142"/>
      <c r="H26" s="142"/>
      <c r="I26" s="142"/>
      <c r="J26" s="380">
        <v>0.075</v>
      </c>
      <c r="K26" s="380">
        <v>0.088</v>
      </c>
      <c r="L26" s="145">
        <v>1.08</v>
      </c>
    </row>
    <row r="27" spans="1:12" ht="15.75">
      <c r="A27" s="272" t="str">
        <f t="shared" si="2"/>
        <v>GS &gt;50</v>
      </c>
      <c r="B27" s="142"/>
      <c r="C27" s="138">
        <f aca="true" t="shared" si="3" ref="C27:C33">0.0052+0.0011</f>
        <v>0.0063</v>
      </c>
      <c r="D27" s="138">
        <f aca="true" t="shared" si="4" ref="D27:D33">0.007/L27</f>
        <v>0.006481481481481481</v>
      </c>
      <c r="E27" s="139">
        <f t="shared" si="1"/>
        <v>0.01278148148148148</v>
      </c>
      <c r="F27" s="137">
        <f>'[1]13. Final 2012 RTS Rates'!$F$28+'[1]13. Final 2012 RTS Rates'!$H$28</f>
        <v>3.814790631678846</v>
      </c>
      <c r="G27" s="142"/>
      <c r="H27" s="142"/>
      <c r="I27" s="139">
        <f>SUM(F27:H27)</f>
        <v>3.814790631678846</v>
      </c>
      <c r="J27" s="380">
        <f>J12</f>
        <v>0.07877</v>
      </c>
      <c r="K27" s="377">
        <f>K12</f>
        <v>0.07877</v>
      </c>
      <c r="L27" s="145">
        <v>1.08</v>
      </c>
    </row>
    <row r="28" spans="1:15" ht="15.75">
      <c r="A28" s="272" t="str">
        <f t="shared" si="2"/>
        <v>   </v>
      </c>
      <c r="B28" s="142"/>
      <c r="C28" s="138"/>
      <c r="D28" s="138"/>
      <c r="E28" s="139">
        <f t="shared" si="1"/>
        <v>0</v>
      </c>
      <c r="F28" s="137"/>
      <c r="G28" s="142"/>
      <c r="H28" s="142"/>
      <c r="I28" s="139">
        <f>SUM(F28:H28)</f>
        <v>0</v>
      </c>
      <c r="J28" s="137"/>
      <c r="K28" s="377"/>
      <c r="L28" s="145">
        <v>1.08</v>
      </c>
      <c r="O28" s="25"/>
    </row>
    <row r="29" spans="1:12" ht="15.75">
      <c r="A29" s="272" t="str">
        <f t="shared" si="2"/>
        <v>Sentinel Lights</v>
      </c>
      <c r="B29" s="142"/>
      <c r="C29" s="138">
        <f t="shared" si="3"/>
        <v>0.0063</v>
      </c>
      <c r="D29" s="138">
        <f t="shared" si="4"/>
        <v>0.006481481481481481</v>
      </c>
      <c r="E29" s="139">
        <f t="shared" si="1"/>
        <v>0.01278148148148148</v>
      </c>
      <c r="F29" s="137">
        <f>'[1]13. Final 2012 RTS Rates'!$F$31+'[1]13. Final 2012 RTS Rates'!$H$31</f>
        <v>2.9445057063713227</v>
      </c>
      <c r="G29" s="142"/>
      <c r="H29" s="142"/>
      <c r="I29" s="139">
        <f>SUM(F29:H29)</f>
        <v>2.9445057063713227</v>
      </c>
      <c r="J29" s="380">
        <f>J27</f>
        <v>0.07877</v>
      </c>
      <c r="K29" s="380">
        <f>K27</f>
        <v>0.07877</v>
      </c>
      <c r="L29" s="145">
        <v>1.08</v>
      </c>
    </row>
    <row r="30" spans="1:12" ht="15.75">
      <c r="A30" s="272" t="str">
        <f t="shared" si="2"/>
        <v>Street Lighting</v>
      </c>
      <c r="B30" s="142"/>
      <c r="C30" s="138">
        <f t="shared" si="3"/>
        <v>0.0063</v>
      </c>
      <c r="D30" s="138">
        <f t="shared" si="4"/>
        <v>0.006481481481481481</v>
      </c>
      <c r="E30" s="139">
        <f t="shared" si="1"/>
        <v>0.01278148148148148</v>
      </c>
      <c r="F30" s="137">
        <f>'[1]13. Final 2012 RTS Rates'!$F$32+'[1]13. Final 2012 RTS Rates'!$H$32</f>
        <v>2.909228621609293</v>
      </c>
      <c r="G30" s="142"/>
      <c r="H30" s="142"/>
      <c r="I30" s="139">
        <f>SUM(F30:H30)</f>
        <v>2.909228621609293</v>
      </c>
      <c r="J30" s="380">
        <f>J27</f>
        <v>0.07877</v>
      </c>
      <c r="K30" s="380">
        <f>K27</f>
        <v>0.07877</v>
      </c>
      <c r="L30" s="145">
        <v>1.08</v>
      </c>
    </row>
    <row r="31" spans="1:12" ht="15.75">
      <c r="A31" s="272" t="str">
        <f t="shared" si="2"/>
        <v>USL</v>
      </c>
      <c r="B31" s="137">
        <f>'[1]13. Final 2012 RTS Rates'!$F$30+'[1]13. Final 2012 RTS Rates'!$H$30</f>
        <v>0.009364546153031724</v>
      </c>
      <c r="C31" s="138">
        <f t="shared" si="3"/>
        <v>0.0063</v>
      </c>
      <c r="D31" s="138">
        <f>0.007/L31</f>
        <v>0.006481481481481481</v>
      </c>
      <c r="E31" s="139">
        <f t="shared" si="1"/>
        <v>0.022146027634513205</v>
      </c>
      <c r="F31" s="143">
        <v>0</v>
      </c>
      <c r="G31" s="142"/>
      <c r="H31" s="142"/>
      <c r="I31" s="142"/>
      <c r="J31" s="380">
        <f>J30</f>
        <v>0.07877</v>
      </c>
      <c r="K31" s="380">
        <f>K30</f>
        <v>0.07877</v>
      </c>
      <c r="L31" s="145">
        <v>1.08</v>
      </c>
    </row>
    <row r="32" spans="1:12" ht="15.75">
      <c r="A32" s="272" t="str">
        <f>A17</f>
        <v>   </v>
      </c>
      <c r="B32" s="142"/>
      <c r="C32" s="138"/>
      <c r="D32" s="138"/>
      <c r="E32" s="139">
        <f t="shared" si="1"/>
        <v>0</v>
      </c>
      <c r="F32" s="137"/>
      <c r="G32" s="142"/>
      <c r="H32" s="142"/>
      <c r="I32" s="139">
        <f>SUM(F32:H32)</f>
        <v>0</v>
      </c>
      <c r="J32" s="137"/>
      <c r="K32" s="377"/>
      <c r="L32" s="145">
        <v>1.08</v>
      </c>
    </row>
    <row r="33" spans="1:12" ht="15.75">
      <c r="A33" s="272" t="str">
        <f t="shared" si="2"/>
        <v>Hydro One </v>
      </c>
      <c r="B33" s="142"/>
      <c r="C33" s="138">
        <f t="shared" si="3"/>
        <v>0.0063</v>
      </c>
      <c r="D33" s="138">
        <f t="shared" si="4"/>
        <v>0.006481481481481481</v>
      </c>
      <c r="E33" s="139">
        <f>SUM(B33:D33)</f>
        <v>0.01278148148148148</v>
      </c>
      <c r="F33" s="137">
        <f>'[1]13. Final 2012 RTS Rates'!$F$28+'[1]13. Final 2012 RTS Rates'!$H$28</f>
        <v>3.814790631678846</v>
      </c>
      <c r="G33" s="142"/>
      <c r="H33" s="142"/>
      <c r="I33" s="139">
        <f>SUM(F33:H33)</f>
        <v>3.814790631678846</v>
      </c>
      <c r="J33" s="380">
        <f>J31</f>
        <v>0.07877</v>
      </c>
      <c r="K33" s="377">
        <f>K31</f>
        <v>0.07877</v>
      </c>
      <c r="L33" s="145">
        <v>1.08</v>
      </c>
    </row>
  </sheetData>
  <sheetProtection/>
  <mergeCells count="15">
    <mergeCell ref="A21:L21"/>
    <mergeCell ref="A22:A24"/>
    <mergeCell ref="B22:E22"/>
    <mergeCell ref="F22:I22"/>
    <mergeCell ref="J22:K22"/>
    <mergeCell ref="A1:L1"/>
    <mergeCell ref="A2:L2"/>
    <mergeCell ref="A3:L3"/>
    <mergeCell ref="A4:L4"/>
    <mergeCell ref="A5:L5"/>
    <mergeCell ref="A7:A9"/>
    <mergeCell ref="B7:E7"/>
    <mergeCell ref="F7:I7"/>
    <mergeCell ref="J7:K7"/>
    <mergeCell ref="A6:L6"/>
  </mergeCells>
  <printOptions/>
  <pageMargins left="0.75" right="0.75" top="1" bottom="1" header="0.5" footer="0.5"/>
  <pageSetup fitToHeight="1" fitToWidth="1" horizontalDpi="355" verticalDpi="355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5"/>
  <sheetViews>
    <sheetView zoomScale="80" zoomScaleNormal="80" zoomScalePageLayoutView="0" workbookViewId="0" topLeftCell="A186">
      <selection activeCell="T201" sqref="T201"/>
    </sheetView>
  </sheetViews>
  <sheetFormatPr defaultColWidth="9.140625" defaultRowHeight="12.75"/>
  <cols>
    <col min="2" max="2" width="1.57421875" style="0" customWidth="1"/>
    <col min="3" max="3" width="18.57421875" style="0" customWidth="1"/>
    <col min="4" max="4" width="15.8515625" style="0" customWidth="1"/>
    <col min="5" max="5" width="1.28515625" style="0" customWidth="1"/>
    <col min="6" max="6" width="34.00390625" style="0" customWidth="1"/>
    <col min="7" max="7" width="12.28125" style="0" customWidth="1"/>
    <col min="8" max="8" width="9.57421875" style="0" bestFit="1" customWidth="1"/>
    <col min="9" max="9" width="13.7109375" style="0" bestFit="1" customWidth="1"/>
    <col min="10" max="10" width="12.28125" style="0" customWidth="1"/>
    <col min="11" max="11" width="9.57421875" style="0" bestFit="1" customWidth="1"/>
    <col min="12" max="12" width="14.7109375" style="0" bestFit="1" customWidth="1"/>
    <col min="13" max="13" width="13.421875" style="0" bestFit="1" customWidth="1"/>
    <col min="14" max="14" width="14.57421875" style="0" customWidth="1"/>
    <col min="15" max="15" width="13.8515625" style="0" bestFit="1" customWidth="1"/>
    <col min="16" max="16" width="1.57421875" style="0" customWidth="1"/>
  </cols>
  <sheetData>
    <row r="1" spans="1:15" ht="12.75">
      <c r="A1" s="60"/>
      <c r="B1" s="470" t="str">
        <f>+'Revenue Input'!A1</f>
        <v>E.L.K. Energy Inc., </v>
      </c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</row>
    <row r="2" spans="1:15" ht="12.75">
      <c r="A2" s="60"/>
      <c r="B2" s="470" t="str">
        <f>+'Revenue Input'!A2</f>
        <v>ED-2003-0015 , EB-2011-099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</row>
    <row r="3" spans="1:15" ht="12.75">
      <c r="A3" s="60"/>
      <c r="B3" s="470">
        <f>+'Revenue Input'!A3</f>
        <v>0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</row>
    <row r="4" spans="1:15" ht="12.75">
      <c r="A4" s="60"/>
      <c r="B4" s="8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</row>
    <row r="5" spans="1:15" ht="20.25">
      <c r="A5" s="60"/>
      <c r="B5" s="8"/>
      <c r="C5" s="514" t="s">
        <v>179</v>
      </c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</row>
    <row r="6" spans="1:15" ht="18">
      <c r="A6" s="60"/>
      <c r="B6" s="8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</row>
    <row r="7" spans="1:15" ht="18" customHeight="1" thickBot="1">
      <c r="A7" s="60"/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</row>
    <row r="8" spans="2:16" ht="21.75" customHeight="1">
      <c r="B8" s="156"/>
      <c r="C8" s="532" t="s">
        <v>48</v>
      </c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146"/>
    </row>
    <row r="9" spans="2:16" ht="21.75" customHeight="1" thickBot="1">
      <c r="B9" s="154"/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147"/>
    </row>
    <row r="10" spans="2:16" ht="21.75" customHeight="1" thickBot="1">
      <c r="B10" s="154"/>
      <c r="C10" s="155"/>
      <c r="D10" s="155"/>
      <c r="E10" s="31"/>
      <c r="F10" s="37"/>
      <c r="G10" s="534" t="s">
        <v>220</v>
      </c>
      <c r="H10" s="535"/>
      <c r="I10" s="536"/>
      <c r="J10" s="534" t="s">
        <v>259</v>
      </c>
      <c r="K10" s="535"/>
      <c r="L10" s="536"/>
      <c r="M10" s="534" t="s">
        <v>73</v>
      </c>
      <c r="N10" s="535"/>
      <c r="O10" s="536"/>
      <c r="P10" s="147"/>
    </row>
    <row r="11" spans="2:16" ht="39" thickBot="1">
      <c r="B11" s="154"/>
      <c r="C11" s="31"/>
      <c r="D11" s="31"/>
      <c r="E11" s="33"/>
      <c r="F11" s="38"/>
      <c r="G11" s="196" t="s">
        <v>67</v>
      </c>
      <c r="H11" s="171" t="s">
        <v>68</v>
      </c>
      <c r="I11" s="172" t="s">
        <v>69</v>
      </c>
      <c r="J11" s="196" t="s">
        <v>67</v>
      </c>
      <c r="K11" s="171" t="s">
        <v>68</v>
      </c>
      <c r="L11" s="172" t="s">
        <v>69</v>
      </c>
      <c r="M11" s="198" t="s">
        <v>74</v>
      </c>
      <c r="N11" s="199" t="s">
        <v>75</v>
      </c>
      <c r="O11" s="200" t="s">
        <v>76</v>
      </c>
      <c r="P11" s="147"/>
    </row>
    <row r="12" spans="2:16" ht="21.75" customHeight="1" thickBot="1">
      <c r="B12" s="154"/>
      <c r="C12" s="528" t="s">
        <v>70</v>
      </c>
      <c r="D12" s="529"/>
      <c r="E12" s="31"/>
      <c r="F12" s="180" t="s">
        <v>71</v>
      </c>
      <c r="G12" s="190"/>
      <c r="H12" s="191"/>
      <c r="I12" s="192">
        <f>+'2011 Existing Rates'!$C$8</f>
        <v>11.13</v>
      </c>
      <c r="J12" s="190"/>
      <c r="K12" s="191"/>
      <c r="L12" s="195">
        <f>'Rate Schedule (Part 1)'!$E$12</f>
        <v>10.68</v>
      </c>
      <c r="M12" s="204">
        <f aca="true" t="shared" si="0" ref="M12:M19">+L12-I12</f>
        <v>-0.45000000000000107</v>
      </c>
      <c r="N12" s="205">
        <f aca="true" t="shared" si="1" ref="N12:N28">+M12/I12</f>
        <v>-0.04043126684636128</v>
      </c>
      <c r="O12" s="206">
        <f>L12/L28</f>
        <v>0.43105513938947154</v>
      </c>
      <c r="P12" s="147"/>
    </row>
    <row r="13" spans="2:16" ht="21.75" customHeight="1" thickBot="1">
      <c r="B13" s="154"/>
      <c r="C13" s="150">
        <v>100</v>
      </c>
      <c r="D13" s="151" t="s">
        <v>16</v>
      </c>
      <c r="E13" s="31"/>
      <c r="F13" s="181" t="s">
        <v>72</v>
      </c>
      <c r="G13" s="184">
        <f>+C13</f>
        <v>100</v>
      </c>
      <c r="H13" s="178">
        <f>'2011 Existing Rates'!$B$60</f>
        <v>0.0079</v>
      </c>
      <c r="I13" s="193">
        <f>+G13*H13</f>
        <v>0.79</v>
      </c>
      <c r="J13" s="184">
        <f>+C13</f>
        <v>100</v>
      </c>
      <c r="K13" s="177">
        <f>'Distribution Rate Schedule'!E35</f>
        <v>0.0076</v>
      </c>
      <c r="L13" s="197">
        <f>+J13*K13</f>
        <v>0.76</v>
      </c>
      <c r="M13" s="207">
        <f t="shared" si="0"/>
        <v>-0.030000000000000027</v>
      </c>
      <c r="N13" s="201">
        <f t="shared" si="1"/>
        <v>-0.037974683544303826</v>
      </c>
      <c r="O13" s="208">
        <f>L13/L28</f>
        <v>0.030674335761797605</v>
      </c>
      <c r="P13" s="147"/>
    </row>
    <row r="14" spans="2:16" ht="21.75" customHeight="1">
      <c r="B14" s="154"/>
      <c r="C14" s="345"/>
      <c r="D14" s="346"/>
      <c r="E14" s="31"/>
      <c r="F14" s="181" t="s">
        <v>222</v>
      </c>
      <c r="G14" s="184">
        <f>G13</f>
        <v>100</v>
      </c>
      <c r="H14" s="178">
        <f>'2011 Existing Rates'!B34</f>
        <v>0.0016</v>
      </c>
      <c r="I14" s="193">
        <f>+G14*H14</f>
        <v>0.16</v>
      </c>
      <c r="J14" s="184">
        <f>J13</f>
        <v>100</v>
      </c>
      <c r="K14" s="177">
        <f>'Distribution Rate Schedule'!E23</f>
        <v>0.0012</v>
      </c>
      <c r="L14" s="197">
        <f>+J14*K14</f>
        <v>0.12</v>
      </c>
      <c r="M14" s="207">
        <f t="shared" si="0"/>
        <v>-0.04000000000000001</v>
      </c>
      <c r="N14" s="201">
        <f t="shared" si="1"/>
        <v>-0.25000000000000006</v>
      </c>
      <c r="O14" s="208">
        <f>L14/L28</f>
        <v>0.004843316172915411</v>
      </c>
      <c r="P14" s="147"/>
    </row>
    <row r="15" spans="2:16" ht="21.75" customHeight="1">
      <c r="B15" s="154"/>
      <c r="C15" s="63"/>
      <c r="D15" s="64"/>
      <c r="E15" s="31"/>
      <c r="F15" s="181" t="s">
        <v>271</v>
      </c>
      <c r="G15" s="203"/>
      <c r="H15" s="202"/>
      <c r="I15" s="193">
        <f>'2011 Existing Rates'!$B$47</f>
        <v>1.45</v>
      </c>
      <c r="J15" s="203"/>
      <c r="K15" s="202"/>
      <c r="L15" s="197">
        <f>'Rate Schedule (Part 1)'!$E$16</f>
        <v>-0.9439520067604836</v>
      </c>
      <c r="M15" s="207">
        <f t="shared" si="0"/>
        <v>-2.3939520067604834</v>
      </c>
      <c r="N15" s="201">
        <f t="shared" si="1"/>
        <v>-1.651001383972747</v>
      </c>
      <c r="O15" s="208">
        <f>L15/L28</f>
        <v>-0.03809881683999173</v>
      </c>
      <c r="P15" s="147"/>
    </row>
    <row r="16" spans="2:16" ht="21.75" customHeight="1">
      <c r="B16" s="154"/>
      <c r="C16" s="63"/>
      <c r="D16" s="64"/>
      <c r="E16" s="31"/>
      <c r="F16" s="181" t="s">
        <v>160</v>
      </c>
      <c r="G16" s="184">
        <f>C13</f>
        <v>100</v>
      </c>
      <c r="H16" s="178"/>
      <c r="I16" s="189">
        <f>+G16*H16</f>
        <v>0</v>
      </c>
      <c r="J16" s="184">
        <f>C13</f>
        <v>100</v>
      </c>
      <c r="K16" s="177">
        <f>'LRAM and SSM Rate Rider'!L9</f>
        <v>0.0007</v>
      </c>
      <c r="L16" s="197">
        <f>J16*K16</f>
        <v>0.06999999999999999</v>
      </c>
      <c r="M16" s="207">
        <f t="shared" si="0"/>
        <v>0.06999999999999999</v>
      </c>
      <c r="N16" s="201" t="e">
        <f t="shared" si="1"/>
        <v>#DIV/0!</v>
      </c>
      <c r="O16" s="208">
        <f>L16/L28</f>
        <v>0.0028252677675339893</v>
      </c>
      <c r="P16" s="147"/>
    </row>
    <row r="17" spans="2:16" ht="21.75" customHeight="1">
      <c r="B17" s="154"/>
      <c r="C17" s="63"/>
      <c r="D17" s="64"/>
      <c r="E17" s="31"/>
      <c r="F17" s="419" t="s">
        <v>270</v>
      </c>
      <c r="G17" s="203"/>
      <c r="H17" s="202"/>
      <c r="I17" s="189"/>
      <c r="J17" s="203"/>
      <c r="K17" s="202"/>
      <c r="L17" s="211">
        <f>'2012 Rate Rider'!E7</f>
        <v>1.474275192154794</v>
      </c>
      <c r="M17" s="207">
        <f t="shared" si="0"/>
        <v>1.474275192154794</v>
      </c>
      <c r="N17" s="201" t="e">
        <f t="shared" si="1"/>
        <v>#DIV/0!</v>
      </c>
      <c r="O17" s="208">
        <f>L17/L28</f>
        <v>0.05950317401242741</v>
      </c>
      <c r="P17" s="147"/>
    </row>
    <row r="18" spans="2:16" ht="21.75" customHeight="1">
      <c r="B18" s="154"/>
      <c r="C18" s="63"/>
      <c r="D18" s="64"/>
      <c r="E18" s="31"/>
      <c r="F18" s="419" t="s">
        <v>272</v>
      </c>
      <c r="G18" s="203"/>
      <c r="H18" s="202"/>
      <c r="I18" s="193">
        <f>'2011 Existing Rates'!B74</f>
        <v>0.13</v>
      </c>
      <c r="J18" s="194">
        <f>G18</f>
        <v>0</v>
      </c>
      <c r="K18" s="420">
        <f>'2012 Rate Rider'!F7</f>
        <v>0</v>
      </c>
      <c r="L18" s="193">
        <f>+J18*K18</f>
        <v>0</v>
      </c>
      <c r="M18" s="207">
        <f t="shared" si="0"/>
        <v>-0.13</v>
      </c>
      <c r="N18" s="201">
        <f t="shared" si="1"/>
        <v>-1</v>
      </c>
      <c r="O18" s="208">
        <f>L18/L28</f>
        <v>0</v>
      </c>
      <c r="P18" s="147"/>
    </row>
    <row r="19" spans="2:18" ht="21.75" customHeight="1" thickBot="1">
      <c r="B19" s="154"/>
      <c r="C19" s="31"/>
      <c r="D19" s="31"/>
      <c r="E19" s="31"/>
      <c r="F19" s="182" t="s">
        <v>221</v>
      </c>
      <c r="G19" s="209">
        <f>+C13</f>
        <v>100</v>
      </c>
      <c r="H19" s="210">
        <f>+'2011 Existing Rates'!$B$21</f>
        <v>0.0086</v>
      </c>
      <c r="I19" s="211">
        <f>+G19*H19</f>
        <v>0.86</v>
      </c>
      <c r="J19" s="209">
        <f>+C13</f>
        <v>100</v>
      </c>
      <c r="K19" s="210">
        <f>'2012 Rate Rider'!B7</f>
        <v>-0.008359707675681775</v>
      </c>
      <c r="L19" s="211">
        <f>+J19*K19</f>
        <v>-0.8359707675681776</v>
      </c>
      <c r="M19" s="207">
        <f t="shared" si="0"/>
        <v>-1.6959707675681774</v>
      </c>
      <c r="N19" s="201">
        <f t="shared" si="1"/>
        <v>-1.9720590320560203</v>
      </c>
      <c r="O19" s="208">
        <f>L19/L28</f>
        <v>-0.03374058948872887</v>
      </c>
      <c r="P19" s="147"/>
      <c r="R19" t="s">
        <v>233</v>
      </c>
    </row>
    <row r="20" spans="2:16" ht="21.75" customHeight="1" thickBot="1">
      <c r="B20" s="154"/>
      <c r="C20" s="31"/>
      <c r="D20" s="31"/>
      <c r="E20" s="31"/>
      <c r="F20" s="218" t="s">
        <v>223</v>
      </c>
      <c r="G20" s="530"/>
      <c r="H20" s="531"/>
      <c r="I20" s="220">
        <f>SUM(I12:I19)</f>
        <v>14.520000000000001</v>
      </c>
      <c r="J20" s="530"/>
      <c r="K20" s="531"/>
      <c r="L20" s="220">
        <f>SUM(L12:L19)</f>
        <v>11.324352417826132</v>
      </c>
      <c r="M20" s="222">
        <f>SUM(M12:M19)</f>
        <v>-3.1956475821738684</v>
      </c>
      <c r="N20" s="223">
        <f t="shared" si="1"/>
        <v>-0.22008592163731874</v>
      </c>
      <c r="O20" s="225">
        <f>L20/L28</f>
        <v>0.45706182677542534</v>
      </c>
      <c r="P20" s="147"/>
    </row>
    <row r="21" spans="2:16" ht="21.75" customHeight="1" thickBot="1">
      <c r="B21" s="154"/>
      <c r="C21" s="31"/>
      <c r="D21" s="31"/>
      <c r="E21" s="31"/>
      <c r="F21" s="181" t="s">
        <v>224</v>
      </c>
      <c r="G21" s="348">
        <f>C13*'Other Electriciy Rates'!$L$10</f>
        <v>107.91</v>
      </c>
      <c r="H21" s="349">
        <f>'Other Electriciy Rates'!$B$10</f>
        <v>0.0102</v>
      </c>
      <c r="I21" s="193">
        <f>+G21*H21</f>
        <v>1.100682</v>
      </c>
      <c r="J21" s="348">
        <f>'BILL IMPACTS '!C13*'Other Electriciy Rates'!$L$25</f>
        <v>108</v>
      </c>
      <c r="K21" s="177">
        <f>'Other Electriciy Rates'!$B$25</f>
        <v>0.010382189432402402</v>
      </c>
      <c r="L21" s="193">
        <f>+J21*K21</f>
        <v>1.1212764586994595</v>
      </c>
      <c r="M21" s="350">
        <f>+L21-I21</f>
        <v>0.020594458699459528</v>
      </c>
      <c r="N21" s="205">
        <f t="shared" si="1"/>
        <v>0.018710634587882358</v>
      </c>
      <c r="O21" s="206">
        <f>L21/L28</f>
        <v>0.04525580338940342</v>
      </c>
      <c r="P21" s="147"/>
    </row>
    <row r="22" spans="2:16" ht="21.75" customHeight="1" thickBot="1">
      <c r="B22" s="154"/>
      <c r="C22" s="31"/>
      <c r="D22" s="31"/>
      <c r="E22" s="31"/>
      <c r="F22" s="218" t="s">
        <v>225</v>
      </c>
      <c r="G22" s="530"/>
      <c r="H22" s="531"/>
      <c r="I22" s="220">
        <f>I20+I21</f>
        <v>15.620682000000002</v>
      </c>
      <c r="J22" s="530"/>
      <c r="K22" s="531"/>
      <c r="L22" s="220">
        <f>L20+L21</f>
        <v>12.445628876525591</v>
      </c>
      <c r="M22" s="220">
        <f>M20+M21</f>
        <v>-3.1750531234744086</v>
      </c>
      <c r="N22" s="223">
        <f t="shared" si="1"/>
        <v>-0.20325957109135237</v>
      </c>
      <c r="O22" s="351">
        <f>L22/L28</f>
        <v>0.5023176301648288</v>
      </c>
      <c r="P22" s="147"/>
    </row>
    <row r="23" spans="2:16" ht="21.75" customHeight="1">
      <c r="B23" s="154"/>
      <c r="C23" s="31"/>
      <c r="D23" s="31"/>
      <c r="E23" s="31"/>
      <c r="F23" s="183" t="s">
        <v>77</v>
      </c>
      <c r="G23" s="185">
        <f>+'Other Electriciy Rates'!$L$10*C13</f>
        <v>107.91</v>
      </c>
      <c r="H23" s="186">
        <f>'Other Electriciy Rates'!$C$10+'Other Electriciy Rates'!$D$10</f>
        <v>0.012986887220832175</v>
      </c>
      <c r="I23" s="187">
        <f>+G23*H23</f>
        <v>1.4014149999999999</v>
      </c>
      <c r="J23" s="185">
        <f>J21</f>
        <v>108</v>
      </c>
      <c r="K23" s="186">
        <f>'Other Electriciy Rates'!$C$25+'Other Electriciy Rates'!$D$25</f>
        <v>0.01278148148148148</v>
      </c>
      <c r="L23" s="214">
        <f>+J23*K23</f>
        <v>1.3803999999999998</v>
      </c>
      <c r="M23" s="215">
        <f>+L23-I23</f>
        <v>-0.021015000000000006</v>
      </c>
      <c r="N23" s="216">
        <f t="shared" si="1"/>
        <v>-0.014995558060959821</v>
      </c>
      <c r="O23" s="282">
        <f>L23/L28</f>
        <v>0.055714280375770274</v>
      </c>
      <c r="P23" s="147"/>
    </row>
    <row r="24" spans="2:16" ht="21.75" customHeight="1" thickBot="1">
      <c r="B24" s="154"/>
      <c r="C24" s="31"/>
      <c r="D24" s="31"/>
      <c r="E24" s="31"/>
      <c r="F24" s="181" t="s">
        <v>78</v>
      </c>
      <c r="G24" s="194">
        <f>+'Other Electriciy Rates'!$L$10*C13</f>
        <v>107.91</v>
      </c>
      <c r="H24" s="188">
        <f>'Other Electriciy Rates'!$J$10</f>
        <v>0.075</v>
      </c>
      <c r="I24" s="189">
        <f>+G24*H24</f>
        <v>8.09325</v>
      </c>
      <c r="J24" s="194">
        <f>J23</f>
        <v>108</v>
      </c>
      <c r="K24" s="188">
        <f>'Other Electriciy Rates'!$J$25</f>
        <v>0.075</v>
      </c>
      <c r="L24" s="211">
        <f>+J24*K24</f>
        <v>8.1</v>
      </c>
      <c r="M24" s="212">
        <f>+L24-I24</f>
        <v>0.006750000000000256</v>
      </c>
      <c r="N24" s="213">
        <f t="shared" si="1"/>
        <v>0.0008340283569641684</v>
      </c>
      <c r="O24" s="226">
        <f>L24/L28</f>
        <v>0.3269238416717902</v>
      </c>
      <c r="P24" s="147"/>
    </row>
    <row r="25" spans="2:16" ht="21.75" customHeight="1" thickBot="1">
      <c r="B25" s="154"/>
      <c r="C25" s="31"/>
      <c r="D25" s="31"/>
      <c r="E25" s="31"/>
      <c r="F25" s="181" t="s">
        <v>235</v>
      </c>
      <c r="G25" s="279">
        <f>G24</f>
        <v>107.91</v>
      </c>
      <c r="H25" s="421">
        <f>'2012 Rate Rider'!G7</f>
        <v>0</v>
      </c>
      <c r="I25" s="189">
        <f>+G25*H25</f>
        <v>0</v>
      </c>
      <c r="J25" s="279">
        <f>G25</f>
        <v>107.91</v>
      </c>
      <c r="K25" s="421">
        <f>'2012 Rate Rider'!G7</f>
        <v>0</v>
      </c>
      <c r="L25" s="211">
        <f>+J25*K25</f>
        <v>0</v>
      </c>
      <c r="M25" s="212">
        <f>+L25-I25</f>
        <v>0</v>
      </c>
      <c r="N25" s="213" t="e">
        <f>+M25/I25</f>
        <v>#DIV/0!</v>
      </c>
      <c r="O25" s="226">
        <f>L25/L28</f>
        <v>0</v>
      </c>
      <c r="P25" s="147"/>
    </row>
    <row r="26" spans="2:16" ht="21.75" customHeight="1" thickBot="1">
      <c r="B26" s="154"/>
      <c r="C26" s="31"/>
      <c r="D26" s="31"/>
      <c r="E26" s="31"/>
      <c r="F26" s="218" t="s">
        <v>192</v>
      </c>
      <c r="G26" s="530"/>
      <c r="H26" s="531"/>
      <c r="I26" s="220">
        <f>SUM(I22:I25)</f>
        <v>25.115347</v>
      </c>
      <c r="J26" s="530"/>
      <c r="K26" s="531"/>
      <c r="L26" s="220">
        <f>SUM(L22:L25)</f>
        <v>21.926028876525592</v>
      </c>
      <c r="M26" s="220">
        <f>M20+M23+M24</f>
        <v>-3.2099125821738683</v>
      </c>
      <c r="N26" s="223">
        <f t="shared" si="1"/>
        <v>-0.12780681796567925</v>
      </c>
      <c r="O26" s="351">
        <f>L26/L28</f>
        <v>0.8849557522123893</v>
      </c>
      <c r="P26" s="284"/>
    </row>
    <row r="27" spans="2:16" ht="21.75" customHeight="1" thickBot="1">
      <c r="B27" s="154"/>
      <c r="C27" s="31"/>
      <c r="D27" s="31"/>
      <c r="E27" s="31"/>
      <c r="F27" s="278" t="s">
        <v>193</v>
      </c>
      <c r="G27" s="279"/>
      <c r="H27" s="283">
        <v>0.13</v>
      </c>
      <c r="I27" s="280">
        <f>I26*H27</f>
        <v>3.26499511</v>
      </c>
      <c r="J27" s="279"/>
      <c r="K27" s="283">
        <v>0.13</v>
      </c>
      <c r="L27" s="281">
        <f>L26*K27</f>
        <v>2.850383753948327</v>
      </c>
      <c r="M27" s="212">
        <f>+L27-I27</f>
        <v>-0.4146113560516729</v>
      </c>
      <c r="N27" s="216">
        <f t="shared" si="1"/>
        <v>-0.1269868229761829</v>
      </c>
      <c r="O27" s="226">
        <f>L27/L28</f>
        <v>0.11504424778761062</v>
      </c>
      <c r="P27" s="147"/>
    </row>
    <row r="28" spans="2:16" s="360" customFormat="1" ht="21.75" customHeight="1" thickBot="1">
      <c r="B28" s="352"/>
      <c r="C28" s="353"/>
      <c r="D28" s="353"/>
      <c r="E28" s="354"/>
      <c r="F28" s="355" t="s">
        <v>79</v>
      </c>
      <c r="G28" s="525"/>
      <c r="H28" s="526"/>
      <c r="I28" s="356">
        <f>I26+I27</f>
        <v>28.38034211</v>
      </c>
      <c r="J28" s="525"/>
      <c r="K28" s="526"/>
      <c r="L28" s="356">
        <f>L26+L27</f>
        <v>24.77641263047392</v>
      </c>
      <c r="M28" s="356">
        <f>M26+M27</f>
        <v>-3.624523938225541</v>
      </c>
      <c r="N28" s="357">
        <f t="shared" si="1"/>
        <v>-0.12771248225892304</v>
      </c>
      <c r="O28" s="358">
        <f>O26+O27</f>
        <v>0.9999999999999999</v>
      </c>
      <c r="P28" s="359"/>
    </row>
    <row r="29" spans="2:16" ht="9.75" customHeight="1" thickBot="1">
      <c r="B29" s="148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149"/>
    </row>
    <row r="30" ht="18" customHeight="1" thickBot="1"/>
    <row r="31" spans="2:16" ht="21.75" customHeight="1">
      <c r="B31" s="156"/>
      <c r="C31" s="532" t="s">
        <v>48</v>
      </c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146"/>
    </row>
    <row r="32" spans="2:16" ht="21.75" customHeight="1" thickBot="1">
      <c r="B32" s="154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3"/>
      <c r="O32" s="533"/>
      <c r="P32" s="147"/>
    </row>
    <row r="33" spans="2:16" ht="21.75" customHeight="1" thickBot="1">
      <c r="B33" s="154"/>
      <c r="C33" s="155"/>
      <c r="D33" s="155"/>
      <c r="E33" s="31"/>
      <c r="F33" s="37"/>
      <c r="G33" s="534" t="str">
        <f>$G$10</f>
        <v>2011 BILL</v>
      </c>
      <c r="H33" s="535"/>
      <c r="I33" s="536"/>
      <c r="J33" s="534" t="str">
        <f>$J$10</f>
        <v>2012 BILL</v>
      </c>
      <c r="K33" s="535"/>
      <c r="L33" s="536"/>
      <c r="M33" s="534" t="s">
        <v>73</v>
      </c>
      <c r="N33" s="535"/>
      <c r="O33" s="536"/>
      <c r="P33" s="147"/>
    </row>
    <row r="34" spans="2:16" ht="39" thickBot="1">
      <c r="B34" s="154"/>
      <c r="C34" s="31"/>
      <c r="D34" s="31"/>
      <c r="E34" s="33"/>
      <c r="F34" s="38"/>
      <c r="G34" s="196" t="s">
        <v>67</v>
      </c>
      <c r="H34" s="171" t="s">
        <v>68</v>
      </c>
      <c r="I34" s="172" t="s">
        <v>69</v>
      </c>
      <c r="J34" s="196" t="s">
        <v>67</v>
      </c>
      <c r="K34" s="171" t="s">
        <v>68</v>
      </c>
      <c r="L34" s="172" t="s">
        <v>69</v>
      </c>
      <c r="M34" s="198" t="s">
        <v>74</v>
      </c>
      <c r="N34" s="199" t="s">
        <v>75</v>
      </c>
      <c r="O34" s="200" t="s">
        <v>76</v>
      </c>
      <c r="P34" s="147"/>
    </row>
    <row r="35" spans="2:16" ht="21.75" customHeight="1" thickBot="1">
      <c r="B35" s="154"/>
      <c r="C35" s="528" t="s">
        <v>70</v>
      </c>
      <c r="D35" s="529"/>
      <c r="E35" s="31"/>
      <c r="F35" s="180" t="s">
        <v>71</v>
      </c>
      <c r="G35" s="190"/>
      <c r="H35" s="191"/>
      <c r="I35" s="192">
        <f>+'2011 Existing Rates'!$C$8</f>
        <v>11.13</v>
      </c>
      <c r="J35" s="190"/>
      <c r="K35" s="191"/>
      <c r="L35" s="195">
        <f>'Rate Schedule (Part 1)'!$E$12</f>
        <v>10.68</v>
      </c>
      <c r="M35" s="204">
        <f aca="true" t="shared" si="2" ref="M35:M42">+L35-I35</f>
        <v>-0.45000000000000107</v>
      </c>
      <c r="N35" s="205">
        <f aca="true" t="shared" si="3" ref="N35:N51">+M35/I35</f>
        <v>-0.04043126684636128</v>
      </c>
      <c r="O35" s="206">
        <f>L35/L51</f>
        <v>0.2487218434992689</v>
      </c>
      <c r="P35" s="147"/>
    </row>
    <row r="36" spans="2:16" ht="21.75" customHeight="1" thickBot="1">
      <c r="B36" s="154"/>
      <c r="C36" s="150">
        <v>250</v>
      </c>
      <c r="D36" s="151" t="s">
        <v>16</v>
      </c>
      <c r="E36" s="31"/>
      <c r="F36" s="181" t="s">
        <v>72</v>
      </c>
      <c r="G36" s="184">
        <f>+C36</f>
        <v>250</v>
      </c>
      <c r="H36" s="178">
        <f>H13</f>
        <v>0.0079</v>
      </c>
      <c r="I36" s="193">
        <f>+G36*H36</f>
        <v>1.975</v>
      </c>
      <c r="J36" s="184">
        <f>+C36</f>
        <v>250</v>
      </c>
      <c r="K36" s="177">
        <f>K13</f>
        <v>0.0076</v>
      </c>
      <c r="L36" s="197">
        <f>+J36*K36</f>
        <v>1.9</v>
      </c>
      <c r="M36" s="207">
        <f t="shared" si="2"/>
        <v>-0.07500000000000018</v>
      </c>
      <c r="N36" s="201">
        <f t="shared" si="3"/>
        <v>-0.03797468354430389</v>
      </c>
      <c r="O36" s="208">
        <f>L36/L51</f>
        <v>0.04424826803825945</v>
      </c>
      <c r="P36" s="147"/>
    </row>
    <row r="37" spans="2:16" ht="21.75" customHeight="1">
      <c r="B37" s="154"/>
      <c r="C37" s="345"/>
      <c r="D37" s="346"/>
      <c r="E37" s="31"/>
      <c r="F37" s="181" t="s">
        <v>222</v>
      </c>
      <c r="G37" s="184">
        <f>G36</f>
        <v>250</v>
      </c>
      <c r="H37" s="178">
        <f>H14</f>
        <v>0.0016</v>
      </c>
      <c r="I37" s="193">
        <f>+G37*H37</f>
        <v>0.4</v>
      </c>
      <c r="J37" s="184">
        <f>J36</f>
        <v>250</v>
      </c>
      <c r="K37" s="177">
        <f>K14</f>
        <v>0.0012</v>
      </c>
      <c r="L37" s="197">
        <f>+J37*K37</f>
        <v>0.3</v>
      </c>
      <c r="M37" s="207">
        <f t="shared" si="2"/>
        <v>-0.10000000000000003</v>
      </c>
      <c r="N37" s="201">
        <f t="shared" si="3"/>
        <v>-0.25000000000000006</v>
      </c>
      <c r="O37" s="208">
        <f>L37/L51</f>
        <v>0.006986568637619913</v>
      </c>
      <c r="P37" s="147"/>
    </row>
    <row r="38" spans="2:16" ht="21.75" customHeight="1">
      <c r="B38" s="154"/>
      <c r="C38" s="63"/>
      <c r="D38" s="64"/>
      <c r="E38" s="31"/>
      <c r="F38" s="181" t="s">
        <v>271</v>
      </c>
      <c r="G38" s="203"/>
      <c r="H38" s="202"/>
      <c r="I38" s="193">
        <f>'2011 Existing Rates'!$B$47</f>
        <v>1.45</v>
      </c>
      <c r="J38" s="203"/>
      <c r="K38" s="202"/>
      <c r="L38" s="197">
        <f>'Rate Schedule (Part 1)'!$E$16</f>
        <v>-0.9439520067604836</v>
      </c>
      <c r="M38" s="207">
        <f t="shared" si="2"/>
        <v>-2.3939520067604834</v>
      </c>
      <c r="N38" s="201">
        <f t="shared" si="3"/>
        <v>-1.651001383972747</v>
      </c>
      <c r="O38" s="208">
        <f>L38/L51</f>
        <v>-0.021983284952837252</v>
      </c>
      <c r="P38" s="147"/>
    </row>
    <row r="39" spans="2:16" ht="21.75" customHeight="1">
      <c r="B39" s="154"/>
      <c r="C39" s="63"/>
      <c r="D39" s="64"/>
      <c r="E39" s="31"/>
      <c r="F39" s="181" t="s">
        <v>160</v>
      </c>
      <c r="G39" s="184">
        <f>C36</f>
        <v>250</v>
      </c>
      <c r="H39" s="178">
        <f>H16</f>
        <v>0</v>
      </c>
      <c r="I39" s="189">
        <f>+G39*H39</f>
        <v>0</v>
      </c>
      <c r="J39" s="184">
        <f>C36</f>
        <v>250</v>
      </c>
      <c r="K39" s="177">
        <f>K16</f>
        <v>0.0007</v>
      </c>
      <c r="L39" s="197">
        <f>J39*K39</f>
        <v>0.175</v>
      </c>
      <c r="M39" s="207">
        <f t="shared" si="2"/>
        <v>0.175</v>
      </c>
      <c r="N39" s="201" t="e">
        <f t="shared" si="3"/>
        <v>#DIV/0!</v>
      </c>
      <c r="O39" s="208">
        <f>L39/L51</f>
        <v>0.004075498371944949</v>
      </c>
      <c r="P39" s="147"/>
    </row>
    <row r="40" spans="2:16" ht="21.75" customHeight="1">
      <c r="B40" s="154"/>
      <c r="C40" s="63"/>
      <c r="D40" s="64"/>
      <c r="E40" s="31"/>
      <c r="F40" s="419" t="s">
        <v>270</v>
      </c>
      <c r="G40" s="203"/>
      <c r="H40" s="202"/>
      <c r="I40" s="189"/>
      <c r="J40" s="203"/>
      <c r="K40" s="202"/>
      <c r="L40" s="211">
        <f>L17</f>
        <v>1.474275192154794</v>
      </c>
      <c r="M40" s="207">
        <f t="shared" si="2"/>
        <v>1.474275192154794</v>
      </c>
      <c r="N40" s="201" t="e">
        <f t="shared" si="3"/>
        <v>#DIV/0!</v>
      </c>
      <c r="O40" s="208">
        <f>L40/L51</f>
        <v>0.03433374940243252</v>
      </c>
      <c r="P40" s="147"/>
    </row>
    <row r="41" spans="2:16" ht="21.75" customHeight="1">
      <c r="B41" s="154"/>
      <c r="C41" s="63"/>
      <c r="D41" s="64"/>
      <c r="E41" s="31"/>
      <c r="F41" s="419" t="s">
        <v>272</v>
      </c>
      <c r="G41" s="203"/>
      <c r="H41" s="202"/>
      <c r="I41" s="193">
        <f>I18</f>
        <v>0.13</v>
      </c>
      <c r="J41" s="194">
        <f>G41</f>
        <v>0</v>
      </c>
      <c r="K41" s="420">
        <f>K18</f>
        <v>0</v>
      </c>
      <c r="L41" s="193">
        <f>+J41*K41</f>
        <v>0</v>
      </c>
      <c r="M41" s="207">
        <f t="shared" si="2"/>
        <v>-0.13</v>
      </c>
      <c r="N41" s="201">
        <f t="shared" si="3"/>
        <v>-1</v>
      </c>
      <c r="O41" s="208">
        <f>L41/L51</f>
        <v>0</v>
      </c>
      <c r="P41" s="147"/>
    </row>
    <row r="42" spans="2:16" ht="21.75" customHeight="1" thickBot="1">
      <c r="B42" s="154"/>
      <c r="C42" s="31"/>
      <c r="D42" s="31"/>
      <c r="E42" s="31"/>
      <c r="F42" s="182" t="s">
        <v>221</v>
      </c>
      <c r="G42" s="209">
        <f>+C36</f>
        <v>250</v>
      </c>
      <c r="H42" s="210">
        <f>H19</f>
        <v>0.0086</v>
      </c>
      <c r="I42" s="211">
        <f>+G42*H42</f>
        <v>2.15</v>
      </c>
      <c r="J42" s="209">
        <f>+C36</f>
        <v>250</v>
      </c>
      <c r="K42" s="420">
        <f>K19</f>
        <v>-0.008359707675681775</v>
      </c>
      <c r="L42" s="211">
        <f>+J42*K42</f>
        <v>-2.089926918920444</v>
      </c>
      <c r="M42" s="207">
        <f t="shared" si="2"/>
        <v>-4.239926918920444</v>
      </c>
      <c r="N42" s="201">
        <f t="shared" si="3"/>
        <v>-1.9720590320560207</v>
      </c>
      <c r="O42" s="208">
        <f>L42/L51</f>
        <v>-0.04867139288882397</v>
      </c>
      <c r="P42" s="147"/>
    </row>
    <row r="43" spans="2:16" ht="21.75" customHeight="1" thickBot="1">
      <c r="B43" s="154"/>
      <c r="C43" s="31"/>
      <c r="D43" s="31"/>
      <c r="E43" s="31"/>
      <c r="F43" s="218" t="s">
        <v>223</v>
      </c>
      <c r="G43" s="530"/>
      <c r="H43" s="531"/>
      <c r="I43" s="220">
        <f>SUM(I35:I42)</f>
        <v>17.235</v>
      </c>
      <c r="J43" s="530"/>
      <c r="K43" s="531"/>
      <c r="L43" s="220">
        <f>SUM(L35:L42)</f>
        <v>11.495396266473868</v>
      </c>
      <c r="M43" s="222">
        <f>SUM(M35:M42)</f>
        <v>-5.739603733526135</v>
      </c>
      <c r="N43" s="223">
        <f t="shared" si="3"/>
        <v>-0.3330202340311073</v>
      </c>
      <c r="O43" s="225">
        <f>L43/L51</f>
        <v>0.26771125010786456</v>
      </c>
      <c r="P43" s="147"/>
    </row>
    <row r="44" spans="2:16" ht="21.75" customHeight="1" thickBot="1">
      <c r="B44" s="154"/>
      <c r="C44" s="31"/>
      <c r="D44" s="31"/>
      <c r="E44" s="31"/>
      <c r="F44" s="181" t="s">
        <v>224</v>
      </c>
      <c r="G44" s="348">
        <f>C36*'Other Electriciy Rates'!$L$10</f>
        <v>269.775</v>
      </c>
      <c r="H44" s="349">
        <f>H21</f>
        <v>0.0102</v>
      </c>
      <c r="I44" s="193">
        <f>+G44*H44</f>
        <v>2.751705</v>
      </c>
      <c r="J44" s="348">
        <f>'BILL IMPACTS '!C36*'Other Electriciy Rates'!$L$25</f>
        <v>270</v>
      </c>
      <c r="K44" s="420">
        <f>'Other Electriciy Rates'!$B$25</f>
        <v>0.010382189432402402</v>
      </c>
      <c r="L44" s="193">
        <f>+J44*K44</f>
        <v>2.8031911467486488</v>
      </c>
      <c r="M44" s="350">
        <f>+L44-I44</f>
        <v>0.05148614674864893</v>
      </c>
      <c r="N44" s="205">
        <f t="shared" si="3"/>
        <v>0.0187106345878824</v>
      </c>
      <c r="O44" s="206">
        <f>L44/L51</f>
        <v>0.06528229117042636</v>
      </c>
      <c r="P44" s="147"/>
    </row>
    <row r="45" spans="2:16" ht="21.75" customHeight="1" thickBot="1">
      <c r="B45" s="154"/>
      <c r="C45" s="31"/>
      <c r="D45" s="31"/>
      <c r="E45" s="31"/>
      <c r="F45" s="218" t="s">
        <v>225</v>
      </c>
      <c r="G45" s="530"/>
      <c r="H45" s="531"/>
      <c r="I45" s="220">
        <f>I43+I44</f>
        <v>19.986705</v>
      </c>
      <c r="J45" s="530"/>
      <c r="K45" s="531"/>
      <c r="L45" s="220">
        <f>L43+L44</f>
        <v>14.298587413222517</v>
      </c>
      <c r="M45" s="220">
        <f>M43+M44</f>
        <v>-5.688117586777485</v>
      </c>
      <c r="N45" s="223">
        <f t="shared" si="3"/>
        <v>-0.28459506390760686</v>
      </c>
      <c r="O45" s="351">
        <f>L45/L51</f>
        <v>0.33299354127829095</v>
      </c>
      <c r="P45" s="147"/>
    </row>
    <row r="46" spans="2:16" ht="21.75" customHeight="1" thickBot="1">
      <c r="B46" s="154"/>
      <c r="C46" s="31"/>
      <c r="D46" s="31"/>
      <c r="E46" s="31"/>
      <c r="F46" s="183" t="s">
        <v>77</v>
      </c>
      <c r="G46" s="185">
        <f>+'Other Electriciy Rates'!$L$10*C36</f>
        <v>269.775</v>
      </c>
      <c r="H46" s="186">
        <f>H23</f>
        <v>0.012986887220832175</v>
      </c>
      <c r="I46" s="187">
        <f>+G46*H46</f>
        <v>3.5035374999999997</v>
      </c>
      <c r="J46" s="185">
        <f>J44</f>
        <v>270</v>
      </c>
      <c r="K46" s="186">
        <f>K23</f>
        <v>0.01278148148148148</v>
      </c>
      <c r="L46" s="214">
        <f>+J46*K46</f>
        <v>3.4509999999999996</v>
      </c>
      <c r="M46" s="215">
        <f>+L46-I46</f>
        <v>-0.052537500000000126</v>
      </c>
      <c r="N46" s="216">
        <f t="shared" si="3"/>
        <v>-0.014995558060959853</v>
      </c>
      <c r="O46" s="282">
        <f>L46/L51</f>
        <v>0.0803688278947544</v>
      </c>
      <c r="P46" s="147"/>
    </row>
    <row r="47" spans="2:16" ht="21.75" customHeight="1">
      <c r="B47" s="154"/>
      <c r="C47" s="31"/>
      <c r="D47" s="31"/>
      <c r="E47" s="31"/>
      <c r="F47" s="181" t="s">
        <v>78</v>
      </c>
      <c r="G47" s="194">
        <f>+'Other Electriciy Rates'!$L$10*C36</f>
        <v>269.775</v>
      </c>
      <c r="H47" s="186">
        <f>H24</f>
        <v>0.075</v>
      </c>
      <c r="I47" s="189">
        <f>+G47*H47</f>
        <v>20.233124999999998</v>
      </c>
      <c r="J47" s="194">
        <f>J46</f>
        <v>270</v>
      </c>
      <c r="K47" s="186">
        <f>K24</f>
        <v>0.075</v>
      </c>
      <c r="L47" s="211">
        <f>+J47*K47</f>
        <v>20.25</v>
      </c>
      <c r="M47" s="212">
        <f>+L47-I47</f>
        <v>0.016875000000002416</v>
      </c>
      <c r="N47" s="213">
        <f t="shared" si="3"/>
        <v>0.0008340283569642562</v>
      </c>
      <c r="O47" s="282">
        <f>L47/L51</f>
        <v>0.47159338303934417</v>
      </c>
      <c r="P47" s="147"/>
    </row>
    <row r="48" spans="2:16" ht="21.75" customHeight="1" thickBot="1">
      <c r="B48" s="154"/>
      <c r="C48" s="31"/>
      <c r="D48" s="31"/>
      <c r="E48" s="31"/>
      <c r="F48" s="181" t="s">
        <v>235</v>
      </c>
      <c r="G48" s="279">
        <f>G47</f>
        <v>269.775</v>
      </c>
      <c r="H48" s="186">
        <f>H25</f>
        <v>0</v>
      </c>
      <c r="I48" s="189">
        <f>+G48*H48</f>
        <v>0</v>
      </c>
      <c r="J48" s="279">
        <f>G48</f>
        <v>269.775</v>
      </c>
      <c r="K48" s="186">
        <f>K25</f>
        <v>0</v>
      </c>
      <c r="L48" s="211">
        <f>+J48*K48</f>
        <v>0</v>
      </c>
      <c r="M48" s="212">
        <f>+L48-I48</f>
        <v>0</v>
      </c>
      <c r="N48" s="213" t="e">
        <f t="shared" si="3"/>
        <v>#DIV/0!</v>
      </c>
      <c r="O48" s="226">
        <f>L48/L51</f>
        <v>0</v>
      </c>
      <c r="P48" s="147"/>
    </row>
    <row r="49" spans="2:16" ht="21.75" customHeight="1" thickBot="1">
      <c r="B49" s="154"/>
      <c r="C49" s="31"/>
      <c r="D49" s="31"/>
      <c r="E49" s="31"/>
      <c r="F49" s="218" t="s">
        <v>192</v>
      </c>
      <c r="G49" s="530"/>
      <c r="H49" s="531"/>
      <c r="I49" s="220">
        <f>SUM(I45:I48)</f>
        <v>43.723367499999995</v>
      </c>
      <c r="J49" s="530"/>
      <c r="K49" s="531"/>
      <c r="L49" s="220">
        <f>SUM(L45:L48)</f>
        <v>37.999587413222514</v>
      </c>
      <c r="M49" s="220">
        <f>M43+M46+M47</f>
        <v>-5.775266233526132</v>
      </c>
      <c r="N49" s="223">
        <f t="shared" si="3"/>
        <v>-0.1320864920462984</v>
      </c>
      <c r="O49" s="351">
        <f>L49/L51</f>
        <v>0.8849557522123894</v>
      </c>
      <c r="P49" s="284"/>
    </row>
    <row r="50" spans="2:16" ht="21.75" customHeight="1" thickBot="1">
      <c r="B50" s="154"/>
      <c r="C50" s="31"/>
      <c r="D50" s="31"/>
      <c r="E50" s="31"/>
      <c r="F50" s="278" t="s">
        <v>193</v>
      </c>
      <c r="G50" s="279"/>
      <c r="H50" s="283">
        <f>H27</f>
        <v>0.13</v>
      </c>
      <c r="I50" s="280">
        <f>I49*H50</f>
        <v>5.684037774999999</v>
      </c>
      <c r="J50" s="279"/>
      <c r="K50" s="283">
        <f>K27</f>
        <v>0.13</v>
      </c>
      <c r="L50" s="281">
        <f>L49*K50</f>
        <v>4.939946363718927</v>
      </c>
      <c r="M50" s="212">
        <f>+L50-I50</f>
        <v>-0.7440914112810724</v>
      </c>
      <c r="N50" s="216">
        <f t="shared" si="3"/>
        <v>-0.13090894901399075</v>
      </c>
      <c r="O50" s="226">
        <f>L50/L51</f>
        <v>0.11504424778761063</v>
      </c>
      <c r="P50" s="147"/>
    </row>
    <row r="51" spans="2:17" ht="21.75" customHeight="1" thickBot="1">
      <c r="B51" s="352"/>
      <c r="C51" s="353"/>
      <c r="D51" s="353"/>
      <c r="E51" s="354"/>
      <c r="F51" s="355" t="s">
        <v>79</v>
      </c>
      <c r="G51" s="525"/>
      <c r="H51" s="526"/>
      <c r="I51" s="356">
        <f>I49+I50</f>
        <v>49.407405274999995</v>
      </c>
      <c r="J51" s="525"/>
      <c r="K51" s="526"/>
      <c r="L51" s="356">
        <f>L49+L50</f>
        <v>42.93953377694144</v>
      </c>
      <c r="M51" s="356">
        <f>M49+M50</f>
        <v>-6.519357644807204</v>
      </c>
      <c r="N51" s="357">
        <f t="shared" si="3"/>
        <v>-0.13195102249390903</v>
      </c>
      <c r="O51" s="358">
        <f>O49+O50</f>
        <v>1</v>
      </c>
      <c r="P51" s="359"/>
      <c r="Q51" s="360"/>
    </row>
    <row r="52" spans="2:16" ht="10.5" customHeight="1" thickBot="1">
      <c r="B52" s="148"/>
      <c r="C52" s="527"/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7"/>
      <c r="O52" s="527"/>
      <c r="P52" s="149"/>
    </row>
    <row r="53" ht="21.75" customHeight="1" thickBot="1"/>
    <row r="54" spans="2:16" ht="22.5" customHeight="1">
      <c r="B54" s="156"/>
      <c r="C54" s="532" t="s">
        <v>48</v>
      </c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146"/>
    </row>
    <row r="55" spans="2:16" ht="18" customHeight="1" thickBot="1">
      <c r="B55" s="154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33"/>
      <c r="P55" s="147"/>
    </row>
    <row r="56" spans="2:16" ht="18" customHeight="1" thickBot="1">
      <c r="B56" s="154"/>
      <c r="C56" s="155"/>
      <c r="D56" s="155"/>
      <c r="E56" s="31"/>
      <c r="F56" s="37"/>
      <c r="G56" s="534" t="str">
        <f>$G$10</f>
        <v>2011 BILL</v>
      </c>
      <c r="H56" s="535"/>
      <c r="I56" s="536"/>
      <c r="J56" s="534" t="str">
        <f>$J$10</f>
        <v>2012 BILL</v>
      </c>
      <c r="K56" s="535"/>
      <c r="L56" s="536"/>
      <c r="M56" s="534" t="s">
        <v>73</v>
      </c>
      <c r="N56" s="535"/>
      <c r="O56" s="536"/>
      <c r="P56" s="147"/>
    </row>
    <row r="57" spans="2:16" ht="39" thickBot="1">
      <c r="B57" s="154"/>
      <c r="C57" s="31"/>
      <c r="D57" s="31"/>
      <c r="E57" s="33"/>
      <c r="F57" s="38"/>
      <c r="G57" s="196" t="s">
        <v>67</v>
      </c>
      <c r="H57" s="171" t="s">
        <v>68</v>
      </c>
      <c r="I57" s="172" t="s">
        <v>69</v>
      </c>
      <c r="J57" s="196" t="s">
        <v>67</v>
      </c>
      <c r="K57" s="171" t="s">
        <v>68</v>
      </c>
      <c r="L57" s="172" t="s">
        <v>69</v>
      </c>
      <c r="M57" s="198" t="s">
        <v>74</v>
      </c>
      <c r="N57" s="199" t="s">
        <v>75</v>
      </c>
      <c r="O57" s="200" t="s">
        <v>76</v>
      </c>
      <c r="P57" s="147"/>
    </row>
    <row r="58" spans="2:16" ht="18" customHeight="1" thickBot="1">
      <c r="B58" s="154"/>
      <c r="C58" s="528" t="s">
        <v>70</v>
      </c>
      <c r="D58" s="529"/>
      <c r="E58" s="31"/>
      <c r="F58" s="180" t="s">
        <v>71</v>
      </c>
      <c r="G58" s="190"/>
      <c r="H58" s="191"/>
      <c r="I58" s="192">
        <f>+'2011 Existing Rates'!$C$8</f>
        <v>11.13</v>
      </c>
      <c r="J58" s="190"/>
      <c r="K58" s="191"/>
      <c r="L58" s="195">
        <f>'Rate Schedule (Part 1)'!$E$12</f>
        <v>10.68</v>
      </c>
      <c r="M58" s="204">
        <f aca="true" t="shared" si="4" ref="M58:M65">+L58-I58</f>
        <v>-0.45000000000000107</v>
      </c>
      <c r="N58" s="205">
        <f aca="true" t="shared" si="5" ref="N58:N74">+M58/I58</f>
        <v>-0.04043126684636128</v>
      </c>
      <c r="O58" s="206">
        <f>L58/L74</f>
        <v>0.14587891580470436</v>
      </c>
      <c r="P58" s="147"/>
    </row>
    <row r="59" spans="2:16" ht="18" customHeight="1" thickBot="1">
      <c r="B59" s="154"/>
      <c r="C59" s="150">
        <v>500</v>
      </c>
      <c r="D59" s="151" t="s">
        <v>16</v>
      </c>
      <c r="E59" s="31"/>
      <c r="F59" s="181" t="s">
        <v>72</v>
      </c>
      <c r="G59" s="184">
        <f>+C59</f>
        <v>500</v>
      </c>
      <c r="H59" s="178">
        <f>H36</f>
        <v>0.0079</v>
      </c>
      <c r="I59" s="193">
        <f>+G59*H59</f>
        <v>3.95</v>
      </c>
      <c r="J59" s="184">
        <f>+C59</f>
        <v>500</v>
      </c>
      <c r="K59" s="177">
        <f>K36</f>
        <v>0.0076</v>
      </c>
      <c r="L59" s="197">
        <f>+J59*K59</f>
        <v>3.8</v>
      </c>
      <c r="M59" s="207">
        <f t="shared" si="4"/>
        <v>-0.15000000000000036</v>
      </c>
      <c r="N59" s="201">
        <f t="shared" si="5"/>
        <v>-0.03797468354430389</v>
      </c>
      <c r="O59" s="208">
        <f>L59/L74</f>
        <v>0.05190448315148657</v>
      </c>
      <c r="P59" s="147"/>
    </row>
    <row r="60" spans="2:16" ht="18" customHeight="1">
      <c r="B60" s="154"/>
      <c r="C60" s="345"/>
      <c r="D60" s="346"/>
      <c r="E60" s="31"/>
      <c r="F60" s="181" t="s">
        <v>222</v>
      </c>
      <c r="G60" s="184">
        <f>G59</f>
        <v>500</v>
      </c>
      <c r="H60" s="178">
        <f>H37</f>
        <v>0.0016</v>
      </c>
      <c r="I60" s="193">
        <f>+G60*H60</f>
        <v>0.8</v>
      </c>
      <c r="J60" s="184">
        <f>J59</f>
        <v>500</v>
      </c>
      <c r="K60" s="177">
        <f>K37</f>
        <v>0.0012</v>
      </c>
      <c r="L60" s="197">
        <f>+J60*K60</f>
        <v>0.6</v>
      </c>
      <c r="M60" s="207">
        <f t="shared" si="4"/>
        <v>-0.20000000000000007</v>
      </c>
      <c r="N60" s="201">
        <f t="shared" si="5"/>
        <v>-0.25000000000000006</v>
      </c>
      <c r="O60" s="208">
        <f>L60/L74</f>
        <v>0.008195444708129457</v>
      </c>
      <c r="P60" s="147"/>
    </row>
    <row r="61" spans="2:16" ht="18" customHeight="1">
      <c r="B61" s="154"/>
      <c r="C61" s="63"/>
      <c r="D61" s="64"/>
      <c r="E61" s="31"/>
      <c r="F61" s="181" t="s">
        <v>271</v>
      </c>
      <c r="G61" s="203"/>
      <c r="H61" s="202"/>
      <c r="I61" s="193">
        <f>'2011 Existing Rates'!$B$47</f>
        <v>1.45</v>
      </c>
      <c r="J61" s="203"/>
      <c r="K61" s="202"/>
      <c r="L61" s="197">
        <f>'Rate Schedule (Part 1)'!$E$16</f>
        <v>-0.9439520067604836</v>
      </c>
      <c r="M61" s="207">
        <f t="shared" si="4"/>
        <v>-2.3939520067604834</v>
      </c>
      <c r="N61" s="201">
        <f t="shared" si="5"/>
        <v>-1.651001383972747</v>
      </c>
      <c r="O61" s="208">
        <f>L61/L74</f>
        <v>-0.012893510797555647</v>
      </c>
      <c r="P61" s="147"/>
    </row>
    <row r="62" spans="2:16" ht="18" customHeight="1">
      <c r="B62" s="154"/>
      <c r="C62" s="63"/>
      <c r="D62" s="64"/>
      <c r="E62" s="31"/>
      <c r="F62" s="181" t="s">
        <v>160</v>
      </c>
      <c r="G62" s="184">
        <f>C59</f>
        <v>500</v>
      </c>
      <c r="H62" s="178">
        <f>H39</f>
        <v>0</v>
      </c>
      <c r="I62" s="189">
        <f>+G62*H62</f>
        <v>0</v>
      </c>
      <c r="J62" s="184">
        <f>C59</f>
        <v>500</v>
      </c>
      <c r="K62" s="177">
        <f>K39</f>
        <v>0.0007</v>
      </c>
      <c r="L62" s="197">
        <f>J62*K62</f>
        <v>0.35</v>
      </c>
      <c r="M62" s="207">
        <f t="shared" si="4"/>
        <v>0.35</v>
      </c>
      <c r="N62" s="201" t="e">
        <f t="shared" si="5"/>
        <v>#DIV/0!</v>
      </c>
      <c r="O62" s="208">
        <f>L62/L74</f>
        <v>0.0047806760797421835</v>
      </c>
      <c r="P62" s="147"/>
    </row>
    <row r="63" spans="2:16" ht="18" customHeight="1">
      <c r="B63" s="154"/>
      <c r="C63" s="63"/>
      <c r="D63" s="64"/>
      <c r="E63" s="31"/>
      <c r="F63" s="419" t="s">
        <v>270</v>
      </c>
      <c r="G63" s="203"/>
      <c r="H63" s="202"/>
      <c r="I63" s="189"/>
      <c r="J63" s="203"/>
      <c r="K63" s="202"/>
      <c r="L63" s="211">
        <f>L40</f>
        <v>1.474275192154794</v>
      </c>
      <c r="M63" s="207">
        <f t="shared" si="4"/>
        <v>1.474275192154794</v>
      </c>
      <c r="N63" s="201" t="e">
        <f t="shared" si="5"/>
        <v>#DIV/0!</v>
      </c>
      <c r="O63" s="208">
        <f>L63/L74</f>
        <v>0.020137234703119247</v>
      </c>
      <c r="P63" s="147"/>
    </row>
    <row r="64" spans="2:16" ht="18" customHeight="1">
      <c r="B64" s="154"/>
      <c r="C64" s="63"/>
      <c r="D64" s="64"/>
      <c r="E64" s="31"/>
      <c r="F64" s="419" t="s">
        <v>272</v>
      </c>
      <c r="G64" s="203"/>
      <c r="H64" s="202"/>
      <c r="I64" s="193">
        <f>I41</f>
        <v>0.13</v>
      </c>
      <c r="J64" s="194">
        <f>G64</f>
        <v>0</v>
      </c>
      <c r="K64" s="420">
        <f>K41</f>
        <v>0</v>
      </c>
      <c r="L64" s="193">
        <f>+J64*K64</f>
        <v>0</v>
      </c>
      <c r="M64" s="207">
        <f t="shared" si="4"/>
        <v>-0.13</v>
      </c>
      <c r="N64" s="201">
        <f t="shared" si="5"/>
        <v>-1</v>
      </c>
      <c r="O64" s="208">
        <f>L64/L74</f>
        <v>0</v>
      </c>
      <c r="P64" s="147"/>
    </row>
    <row r="65" spans="2:16" ht="18" customHeight="1" thickBot="1">
      <c r="B65" s="154"/>
      <c r="C65" s="31"/>
      <c r="D65" s="31"/>
      <c r="E65" s="31"/>
      <c r="F65" s="182" t="s">
        <v>221</v>
      </c>
      <c r="G65" s="209">
        <f>+C59</f>
        <v>500</v>
      </c>
      <c r="H65" s="210">
        <f>H42</f>
        <v>0.0086</v>
      </c>
      <c r="I65" s="211">
        <f>+G65*H65</f>
        <v>4.3</v>
      </c>
      <c r="J65" s="209">
        <f>+C59</f>
        <v>500</v>
      </c>
      <c r="K65" s="420">
        <f>K42</f>
        <v>-0.008359707675681775</v>
      </c>
      <c r="L65" s="211">
        <f>+J65*K65</f>
        <v>-4.179853837840888</v>
      </c>
      <c r="M65" s="207">
        <f t="shared" si="4"/>
        <v>-8.479853837840889</v>
      </c>
      <c r="N65" s="201">
        <f t="shared" si="5"/>
        <v>-1.9720590320560207</v>
      </c>
      <c r="O65" s="208">
        <f>L65/L74</f>
        <v>-0.057092935026812855</v>
      </c>
      <c r="P65" s="147"/>
    </row>
    <row r="66" spans="2:16" ht="18" customHeight="1" thickBot="1">
      <c r="B66" s="154"/>
      <c r="C66" s="31"/>
      <c r="D66" s="31"/>
      <c r="E66" s="31"/>
      <c r="F66" s="218" t="s">
        <v>223</v>
      </c>
      <c r="G66" s="530"/>
      <c r="H66" s="531"/>
      <c r="I66" s="220">
        <f>SUM(I58:I65)</f>
        <v>21.76</v>
      </c>
      <c r="J66" s="530"/>
      <c r="K66" s="531"/>
      <c r="L66" s="220">
        <f>SUM(L58:L65)</f>
        <v>11.780469347553423</v>
      </c>
      <c r="M66" s="222">
        <f>SUM(M58:M65)</f>
        <v>-9.979530652446579</v>
      </c>
      <c r="N66" s="223">
        <f t="shared" si="5"/>
        <v>-0.45861813660140527</v>
      </c>
      <c r="O66" s="225">
        <f>L66/L74</f>
        <v>0.16091030862281333</v>
      </c>
      <c r="P66" s="147"/>
    </row>
    <row r="67" spans="2:16" ht="18" customHeight="1" thickBot="1">
      <c r="B67" s="154"/>
      <c r="C67" s="31"/>
      <c r="D67" s="31"/>
      <c r="E67" s="31"/>
      <c r="F67" s="181" t="s">
        <v>224</v>
      </c>
      <c r="G67" s="348">
        <f>C59*'Other Electriciy Rates'!$L$10</f>
        <v>539.55</v>
      </c>
      <c r="H67" s="349">
        <f>H44</f>
        <v>0.0102</v>
      </c>
      <c r="I67" s="193">
        <f>+G67*H67</f>
        <v>5.50341</v>
      </c>
      <c r="J67" s="348">
        <f>'BILL IMPACTS '!C59*'Other Electriciy Rates'!$L$25</f>
        <v>540</v>
      </c>
      <c r="K67" s="177">
        <f>'Other Electriciy Rates'!$B$25</f>
        <v>0.010382189432402402</v>
      </c>
      <c r="L67" s="193">
        <f>+J67*K67</f>
        <v>5.6063822934972976</v>
      </c>
      <c r="M67" s="350">
        <f>+L67-I67</f>
        <v>0.10297229349729786</v>
      </c>
      <c r="N67" s="205">
        <f t="shared" si="5"/>
        <v>0.0187106345878824</v>
      </c>
      <c r="O67" s="206">
        <f>L67/L74</f>
        <v>0.07657799349832187</v>
      </c>
      <c r="P67" s="147"/>
    </row>
    <row r="68" spans="2:16" ht="18" customHeight="1" thickBot="1">
      <c r="B68" s="154"/>
      <c r="C68" s="31"/>
      <c r="D68" s="31"/>
      <c r="E68" s="31"/>
      <c r="F68" s="218" t="s">
        <v>225</v>
      </c>
      <c r="G68" s="530"/>
      <c r="H68" s="531"/>
      <c r="I68" s="220">
        <f>I66+I67</f>
        <v>27.26341</v>
      </c>
      <c r="J68" s="530"/>
      <c r="K68" s="531"/>
      <c r="L68" s="220">
        <f>L66+L67</f>
        <v>17.38685164105072</v>
      </c>
      <c r="M68" s="220">
        <f>M66+M67</f>
        <v>-9.876558358949282</v>
      </c>
      <c r="N68" s="223">
        <f t="shared" si="5"/>
        <v>-0.3622642346995215</v>
      </c>
      <c r="O68" s="351">
        <f>L68/L74</f>
        <v>0.23748830212113517</v>
      </c>
      <c r="P68" s="147"/>
    </row>
    <row r="69" spans="2:16" ht="18" customHeight="1" thickBot="1">
      <c r="B69" s="154"/>
      <c r="C69" s="31"/>
      <c r="D69" s="31"/>
      <c r="E69" s="31"/>
      <c r="F69" s="183" t="s">
        <v>77</v>
      </c>
      <c r="G69" s="185">
        <f>+'Other Electriciy Rates'!$L$10*C59</f>
        <v>539.55</v>
      </c>
      <c r="H69" s="186">
        <f>H46</f>
        <v>0.012986887220832175</v>
      </c>
      <c r="I69" s="187">
        <f>+G69*H69</f>
        <v>7.0070749999999995</v>
      </c>
      <c r="J69" s="185">
        <f>J67</f>
        <v>540</v>
      </c>
      <c r="K69" s="186">
        <f>K46</f>
        <v>0.01278148148148148</v>
      </c>
      <c r="L69" s="214">
        <f>+J69*K69</f>
        <v>6.901999999999999</v>
      </c>
      <c r="M69" s="215">
        <f>+L69-I69</f>
        <v>-0.10507500000000025</v>
      </c>
      <c r="N69" s="216">
        <f t="shared" si="5"/>
        <v>-0.014995558060959853</v>
      </c>
      <c r="O69" s="282">
        <f>L69/L74</f>
        <v>0.09427493229251586</v>
      </c>
      <c r="P69" s="147"/>
    </row>
    <row r="70" spans="2:16" ht="18" customHeight="1">
      <c r="B70" s="154"/>
      <c r="C70" s="31"/>
      <c r="D70" s="31"/>
      <c r="E70" s="31"/>
      <c r="F70" s="181" t="s">
        <v>78</v>
      </c>
      <c r="G70" s="194">
        <f>+'Other Electriciy Rates'!$L$10*C59</f>
        <v>539.55</v>
      </c>
      <c r="H70" s="186">
        <f>H47</f>
        <v>0.075</v>
      </c>
      <c r="I70" s="189">
        <f>+G70*H70</f>
        <v>40.466249999999995</v>
      </c>
      <c r="J70" s="194">
        <f>J69</f>
        <v>540</v>
      </c>
      <c r="K70" s="186">
        <f>K47</f>
        <v>0.075</v>
      </c>
      <c r="L70" s="211">
        <f>+J70*K70</f>
        <v>40.5</v>
      </c>
      <c r="M70" s="212">
        <f>+L70-I70</f>
        <v>0.03375000000000483</v>
      </c>
      <c r="N70" s="213">
        <f t="shared" si="5"/>
        <v>0.0008340283569642562</v>
      </c>
      <c r="O70" s="282">
        <f>L70/L74</f>
        <v>0.5531925177987385</v>
      </c>
      <c r="P70" s="147"/>
    </row>
    <row r="71" spans="2:16" ht="18" customHeight="1" thickBot="1">
      <c r="B71" s="154"/>
      <c r="C71" s="31"/>
      <c r="D71" s="31"/>
      <c r="E71" s="31"/>
      <c r="F71" s="181" t="s">
        <v>235</v>
      </c>
      <c r="G71" s="279">
        <f>G70</f>
        <v>539.55</v>
      </c>
      <c r="H71" s="186">
        <f>H48</f>
        <v>0</v>
      </c>
      <c r="I71" s="189">
        <f>+G71*H71</f>
        <v>0</v>
      </c>
      <c r="J71" s="279">
        <f>G71</f>
        <v>539.55</v>
      </c>
      <c r="K71" s="186">
        <f>K48</f>
        <v>0</v>
      </c>
      <c r="L71" s="211">
        <f>+J71*K71</f>
        <v>0</v>
      </c>
      <c r="M71" s="212">
        <f>+L71-I71</f>
        <v>0</v>
      </c>
      <c r="N71" s="213" t="e">
        <f t="shared" si="5"/>
        <v>#DIV/0!</v>
      </c>
      <c r="O71" s="226">
        <f>L71/L74</f>
        <v>0</v>
      </c>
      <c r="P71" s="147"/>
    </row>
    <row r="72" spans="2:16" ht="18" customHeight="1" thickBot="1">
      <c r="B72" s="154"/>
      <c r="C72" s="31"/>
      <c r="D72" s="31"/>
      <c r="E72" s="31"/>
      <c r="F72" s="218" t="s">
        <v>192</v>
      </c>
      <c r="G72" s="530"/>
      <c r="H72" s="531"/>
      <c r="I72" s="220">
        <f>SUM(I68:I71)</f>
        <v>74.736735</v>
      </c>
      <c r="J72" s="530"/>
      <c r="K72" s="531"/>
      <c r="L72" s="220">
        <f>SUM(L68:L71)</f>
        <v>64.78885164105071</v>
      </c>
      <c r="M72" s="220">
        <f>M66+M69+M70</f>
        <v>-10.050855652446575</v>
      </c>
      <c r="N72" s="223">
        <f t="shared" si="5"/>
        <v>-0.13448347258475468</v>
      </c>
      <c r="O72" s="351">
        <f>L72/L74</f>
        <v>0.8849557522123894</v>
      </c>
      <c r="P72" s="284"/>
    </row>
    <row r="73" spans="2:16" ht="18" customHeight="1" thickBot="1">
      <c r="B73" s="154"/>
      <c r="C73" s="31"/>
      <c r="D73" s="31"/>
      <c r="E73" s="31"/>
      <c r="F73" s="278" t="s">
        <v>193</v>
      </c>
      <c r="G73" s="279"/>
      <c r="H73" s="283">
        <f>H50</f>
        <v>0.13</v>
      </c>
      <c r="I73" s="280">
        <f>I72*H73</f>
        <v>9.71577555</v>
      </c>
      <c r="J73" s="279"/>
      <c r="K73" s="283">
        <f>K50</f>
        <v>0.13</v>
      </c>
      <c r="L73" s="281">
        <f>L72*K73</f>
        <v>8.422550713336593</v>
      </c>
      <c r="M73" s="212">
        <f>+L73-I73</f>
        <v>-1.2932248366634074</v>
      </c>
      <c r="N73" s="216">
        <f t="shared" si="5"/>
        <v>-0.1331056723169575</v>
      </c>
      <c r="O73" s="226">
        <f>L73/L74</f>
        <v>0.11504424778761062</v>
      </c>
      <c r="P73" s="147"/>
    </row>
    <row r="74" spans="2:16" ht="18" customHeight="1" thickBot="1">
      <c r="B74" s="352"/>
      <c r="C74" s="353"/>
      <c r="D74" s="353"/>
      <c r="E74" s="354"/>
      <c r="F74" s="355" t="s">
        <v>79</v>
      </c>
      <c r="G74" s="525"/>
      <c r="H74" s="526"/>
      <c r="I74" s="356">
        <f>I72+I73</f>
        <v>84.45251055</v>
      </c>
      <c r="J74" s="525"/>
      <c r="K74" s="526"/>
      <c r="L74" s="356">
        <f>L72+L73</f>
        <v>73.2114023543873</v>
      </c>
      <c r="M74" s="356">
        <f>M72+M73</f>
        <v>-11.344080489109983</v>
      </c>
      <c r="N74" s="357">
        <f t="shared" si="5"/>
        <v>-0.13432496458934437</v>
      </c>
      <c r="O74" s="358">
        <f>O72+O73</f>
        <v>1</v>
      </c>
      <c r="P74" s="359"/>
    </row>
    <row r="75" spans="2:16" ht="18" customHeight="1" thickBot="1">
      <c r="B75" s="148"/>
      <c r="C75" s="527"/>
      <c r="D75" s="527"/>
      <c r="E75" s="527"/>
      <c r="F75" s="527"/>
      <c r="G75" s="527"/>
      <c r="H75" s="527"/>
      <c r="I75" s="527"/>
      <c r="J75" s="527"/>
      <c r="K75" s="527"/>
      <c r="L75" s="527"/>
      <c r="M75" s="527"/>
      <c r="N75" s="527"/>
      <c r="O75" s="527"/>
      <c r="P75" s="149"/>
    </row>
    <row r="76" spans="2:16" ht="18" customHeight="1" thickBot="1">
      <c r="B76" s="25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25"/>
    </row>
    <row r="77" spans="2:16" ht="6.75" customHeight="1">
      <c r="B77" s="156"/>
      <c r="C77" s="539"/>
      <c r="D77" s="539"/>
      <c r="E77" s="539"/>
      <c r="F77" s="539"/>
      <c r="G77" s="539"/>
      <c r="H77" s="539"/>
      <c r="I77" s="539"/>
      <c r="J77" s="539"/>
      <c r="K77" s="539"/>
      <c r="L77" s="539"/>
      <c r="M77" s="539"/>
      <c r="N77" s="539"/>
      <c r="O77" s="539"/>
      <c r="P77" s="146"/>
    </row>
    <row r="78" spans="2:16" ht="23.25">
      <c r="B78" s="154"/>
      <c r="C78" s="540" t="s">
        <v>48</v>
      </c>
      <c r="D78" s="540"/>
      <c r="E78" s="540"/>
      <c r="F78" s="540"/>
      <c r="G78" s="540"/>
      <c r="H78" s="540"/>
      <c r="I78" s="540"/>
      <c r="J78" s="540"/>
      <c r="K78" s="540"/>
      <c r="L78" s="540"/>
      <c r="M78" s="540"/>
      <c r="N78" s="540"/>
      <c r="O78" s="540"/>
      <c r="P78" s="147"/>
    </row>
    <row r="79" spans="2:16" ht="6.75" customHeight="1" thickBot="1">
      <c r="B79" s="154"/>
      <c r="C79" s="541"/>
      <c r="D79" s="541"/>
      <c r="E79" s="541"/>
      <c r="F79" s="541"/>
      <c r="G79" s="541"/>
      <c r="H79" s="541"/>
      <c r="I79" s="541"/>
      <c r="J79" s="541"/>
      <c r="K79" s="541"/>
      <c r="L79" s="541"/>
      <c r="M79" s="541"/>
      <c r="N79" s="541"/>
      <c r="O79" s="541"/>
      <c r="P79" s="147"/>
    </row>
    <row r="80" spans="2:16" ht="21" thickBot="1">
      <c r="B80" s="154"/>
      <c r="C80" s="155"/>
      <c r="D80" s="155"/>
      <c r="E80" s="31"/>
      <c r="F80" s="37"/>
      <c r="G80" s="534" t="str">
        <f>$G$10</f>
        <v>2011 BILL</v>
      </c>
      <c r="H80" s="535"/>
      <c r="I80" s="536"/>
      <c r="J80" s="534" t="str">
        <f>$J$10</f>
        <v>2012 BILL</v>
      </c>
      <c r="K80" s="535"/>
      <c r="L80" s="536"/>
      <c r="M80" s="534" t="s">
        <v>73</v>
      </c>
      <c r="N80" s="535"/>
      <c r="O80" s="536"/>
      <c r="P80" s="147"/>
    </row>
    <row r="81" spans="2:16" ht="39" thickBot="1">
      <c r="B81" s="154"/>
      <c r="C81" s="31"/>
      <c r="D81" s="31"/>
      <c r="E81" s="33"/>
      <c r="F81" s="38"/>
      <c r="G81" s="170" t="s">
        <v>67</v>
      </c>
      <c r="H81" s="171" t="s">
        <v>68</v>
      </c>
      <c r="I81" s="172" t="s">
        <v>69</v>
      </c>
      <c r="J81" s="173" t="s">
        <v>67</v>
      </c>
      <c r="K81" s="171" t="s">
        <v>68</v>
      </c>
      <c r="L81" s="172" t="s">
        <v>69</v>
      </c>
      <c r="M81" s="174" t="s">
        <v>80</v>
      </c>
      <c r="N81" s="175" t="s">
        <v>81</v>
      </c>
      <c r="O81" s="176" t="s">
        <v>76</v>
      </c>
      <c r="P81" s="147"/>
    </row>
    <row r="82" spans="2:16" ht="18" customHeight="1" thickBot="1">
      <c r="B82" s="154"/>
      <c r="C82" s="528" t="s">
        <v>70</v>
      </c>
      <c r="D82" s="529"/>
      <c r="E82" s="31"/>
      <c r="F82" s="180" t="s">
        <v>71</v>
      </c>
      <c r="G82" s="190"/>
      <c r="H82" s="191"/>
      <c r="I82" s="192">
        <f>$I$58</f>
        <v>11.13</v>
      </c>
      <c r="J82" s="190"/>
      <c r="K82" s="191"/>
      <c r="L82" s="195">
        <f>'Rate Schedule (Part 1)'!$E$12</f>
        <v>10.68</v>
      </c>
      <c r="M82" s="204">
        <f aca="true" t="shared" si="6" ref="M82:M89">+L82-I82</f>
        <v>-0.45000000000000107</v>
      </c>
      <c r="N82" s="205">
        <f aca="true" t="shared" si="7" ref="N82:N99">+M82/I82</f>
        <v>-0.04043126684636128</v>
      </c>
      <c r="O82" s="206">
        <f>L82/L98</f>
        <v>0.9572326859027748</v>
      </c>
      <c r="P82" s="147"/>
    </row>
    <row r="83" spans="2:16" ht="18" customHeight="1" thickBot="1">
      <c r="B83" s="154"/>
      <c r="C83" s="152">
        <v>680</v>
      </c>
      <c r="D83" s="153" t="s">
        <v>16</v>
      </c>
      <c r="E83" s="31"/>
      <c r="F83" s="181" t="s">
        <v>72</v>
      </c>
      <c r="G83" s="184">
        <f>+C83</f>
        <v>680</v>
      </c>
      <c r="H83" s="178">
        <f>$H$59</f>
        <v>0.0079</v>
      </c>
      <c r="I83" s="193">
        <f>+G83*H83</f>
        <v>5.372000000000001</v>
      </c>
      <c r="J83" s="184">
        <f>+C83</f>
        <v>680</v>
      </c>
      <c r="K83" s="177">
        <f>'Rate Schedule (Part 1)'!$E$13</f>
        <v>0.0076</v>
      </c>
      <c r="L83" s="197">
        <f>+J83*K83</f>
        <v>5.168</v>
      </c>
      <c r="M83" s="207">
        <f t="shared" si="6"/>
        <v>-0.20400000000000063</v>
      </c>
      <c r="N83" s="201">
        <f t="shared" si="7"/>
        <v>-0.03797468354430391</v>
      </c>
      <c r="O83" s="208">
        <f>L83/L98</f>
        <v>0.4632002360248633</v>
      </c>
      <c r="P83" s="147"/>
    </row>
    <row r="84" spans="2:16" ht="18" customHeight="1" thickBot="1">
      <c r="B84" s="154"/>
      <c r="C84" s="63"/>
      <c r="D84" s="64"/>
      <c r="E84" s="31"/>
      <c r="F84" s="181" t="s">
        <v>222</v>
      </c>
      <c r="G84" s="184">
        <f>G83</f>
        <v>680</v>
      </c>
      <c r="H84" s="178">
        <f>$H$60</f>
        <v>0.0016</v>
      </c>
      <c r="I84" s="193">
        <f>+G84*H84</f>
        <v>1.088</v>
      </c>
      <c r="J84" s="184">
        <f>J83</f>
        <v>680</v>
      </c>
      <c r="K84" s="177">
        <f>'Rate Schedule (Part 1)'!$E$14</f>
        <v>0.0012</v>
      </c>
      <c r="L84" s="197">
        <f>+J84*K84</f>
        <v>0.816</v>
      </c>
      <c r="M84" s="207">
        <f t="shared" si="6"/>
        <v>-0.27200000000000013</v>
      </c>
      <c r="N84" s="201">
        <f t="shared" si="7"/>
        <v>-0.2500000000000001</v>
      </c>
      <c r="O84" s="208">
        <f>L84/L98</f>
        <v>0.07313687937234684</v>
      </c>
      <c r="P84" s="147"/>
    </row>
    <row r="85" spans="2:16" ht="18" customHeight="1">
      <c r="B85" s="154"/>
      <c r="C85" s="63"/>
      <c r="D85" s="64"/>
      <c r="E85" s="31"/>
      <c r="F85" s="181" t="s">
        <v>271</v>
      </c>
      <c r="G85" s="203"/>
      <c r="H85" s="202"/>
      <c r="I85" s="192">
        <f>$I$61</f>
        <v>1.45</v>
      </c>
      <c r="J85" s="203"/>
      <c r="K85" s="202"/>
      <c r="L85" s="197">
        <f>'Rate Schedule (Part 1)'!$E$16</f>
        <v>-0.9439520067604836</v>
      </c>
      <c r="M85" s="207">
        <f t="shared" si="6"/>
        <v>-2.3939520067604834</v>
      </c>
      <c r="N85" s="201">
        <f t="shared" si="7"/>
        <v>-1.651001383972747</v>
      </c>
      <c r="O85" s="208">
        <f>L85/L98</f>
        <v>-0.08460502947515468</v>
      </c>
      <c r="P85" s="147"/>
    </row>
    <row r="86" spans="2:16" ht="18" customHeight="1" thickBot="1">
      <c r="B86" s="154"/>
      <c r="C86" s="31"/>
      <c r="D86" s="31"/>
      <c r="E86" s="31"/>
      <c r="F86" s="181" t="s">
        <v>160</v>
      </c>
      <c r="G86" s="184">
        <f>C83</f>
        <v>680</v>
      </c>
      <c r="H86" s="178">
        <f>$H$62</f>
        <v>0</v>
      </c>
      <c r="I86" s="193">
        <f>+G86*H86</f>
        <v>0</v>
      </c>
      <c r="J86" s="184">
        <f>C83</f>
        <v>680</v>
      </c>
      <c r="K86" s="177">
        <f>'Rate Schedule (Part 1)'!$E$15</f>
        <v>0.0007</v>
      </c>
      <c r="L86" s="197">
        <f>J86*K86</f>
        <v>0.476</v>
      </c>
      <c r="M86" s="207">
        <f>+L86-I86</f>
        <v>0.476</v>
      </c>
      <c r="N86" s="201" t="e">
        <f>+M86/I86</f>
        <v>#DIV/0!</v>
      </c>
      <c r="O86" s="208">
        <f>L86/$L$99</f>
        <v>0.0049081534092061665</v>
      </c>
      <c r="P86" s="147"/>
    </row>
    <row r="87" spans="2:16" ht="18" customHeight="1">
      <c r="B87" s="154"/>
      <c r="C87" s="63"/>
      <c r="D87" s="64"/>
      <c r="E87" s="31"/>
      <c r="F87" s="419" t="s">
        <v>270</v>
      </c>
      <c r="G87" s="203"/>
      <c r="H87" s="202"/>
      <c r="I87" s="192">
        <f>$I$63</f>
        <v>0</v>
      </c>
      <c r="J87" s="203"/>
      <c r="K87" s="202"/>
      <c r="L87" s="211">
        <f>$L$63</f>
        <v>1.474275192154794</v>
      </c>
      <c r="M87" s="207">
        <f>+L87-I87</f>
        <v>1.474275192154794</v>
      </c>
      <c r="N87" s="201" t="e">
        <f>+M87/I87</f>
        <v>#DIV/0!</v>
      </c>
      <c r="O87" s="208">
        <f>L87/$L$99</f>
        <v>0.015201615148072752</v>
      </c>
      <c r="P87" s="147"/>
    </row>
    <row r="88" spans="2:16" ht="18" customHeight="1">
      <c r="B88" s="154"/>
      <c r="C88" s="63"/>
      <c r="D88" s="64"/>
      <c r="E88" s="31"/>
      <c r="F88" s="419" t="s">
        <v>272</v>
      </c>
      <c r="G88" s="203"/>
      <c r="H88" s="202"/>
      <c r="I88" s="193">
        <f>I64</f>
        <v>0.13</v>
      </c>
      <c r="J88" s="194">
        <f>G88</f>
        <v>0</v>
      </c>
      <c r="K88" s="420">
        <f>$K$64</f>
        <v>0</v>
      </c>
      <c r="L88" s="193">
        <f>+J88*K88</f>
        <v>0</v>
      </c>
      <c r="M88" s="207">
        <f>+L88-I88</f>
        <v>-0.13</v>
      </c>
      <c r="N88" s="201">
        <f>+M88/I88</f>
        <v>-1</v>
      </c>
      <c r="O88" s="208">
        <f>L88/$L$99</f>
        <v>0</v>
      </c>
      <c r="P88" s="147"/>
    </row>
    <row r="89" spans="1:16" ht="18" customHeight="1" thickBot="1">
      <c r="A89" s="147"/>
      <c r="B89" s="25"/>
      <c r="C89" s="31"/>
      <c r="D89" s="31"/>
      <c r="E89" s="31"/>
      <c r="F89" s="182" t="s">
        <v>221</v>
      </c>
      <c r="G89" s="209">
        <f>+C83</f>
        <v>680</v>
      </c>
      <c r="H89" s="178">
        <f>$H$65</f>
        <v>0.0086</v>
      </c>
      <c r="I89" s="211">
        <f>+G89*H89</f>
        <v>5.848</v>
      </c>
      <c r="J89" s="209">
        <f>+C83</f>
        <v>680</v>
      </c>
      <c r="K89" s="210">
        <f>K65</f>
        <v>-0.008359707675681775</v>
      </c>
      <c r="L89" s="211">
        <f>+J89*K89</f>
        <v>-5.684601219463607</v>
      </c>
      <c r="M89" s="207">
        <f t="shared" si="6"/>
        <v>-11.532601219463608</v>
      </c>
      <c r="N89" s="201">
        <f t="shared" si="7"/>
        <v>-1.9720590320560205</v>
      </c>
      <c r="O89" s="208">
        <f>L89/$L$99</f>
        <v>-0.05861532532623495</v>
      </c>
      <c r="P89" s="361"/>
    </row>
    <row r="90" spans="1:16" ht="18" customHeight="1" thickBot="1">
      <c r="A90" s="147"/>
      <c r="F90" s="218" t="s">
        <v>223</v>
      </c>
      <c r="G90" s="530"/>
      <c r="H90" s="531"/>
      <c r="I90" s="220">
        <f>SUM(I82:I89)</f>
        <v>25.018</v>
      </c>
      <c r="J90" s="530"/>
      <c r="K90" s="531"/>
      <c r="L90" s="220">
        <f>SUM(L82:L89)</f>
        <v>11.985721965930702</v>
      </c>
      <c r="M90" s="222">
        <f>SUM(M82:M89)</f>
        <v>-13.0322780340693</v>
      </c>
      <c r="N90" s="223">
        <f t="shared" si="7"/>
        <v>-0.5209160617982772</v>
      </c>
      <c r="O90" s="225">
        <f>L90/L99</f>
        <v>0.12358773556487399</v>
      </c>
      <c r="P90" s="361"/>
    </row>
    <row r="91" spans="1:16" ht="18" customHeight="1" thickBot="1">
      <c r="A91" s="147"/>
      <c r="F91" s="181" t="s">
        <v>224</v>
      </c>
      <c r="G91" s="348">
        <f>C83*'Other Electriciy Rates'!$L$10</f>
        <v>733.788</v>
      </c>
      <c r="H91" s="349">
        <f>'Other Electriciy Rates'!$B$10</f>
        <v>0.0102</v>
      </c>
      <c r="I91" s="193">
        <f>+G91*H91</f>
        <v>7.484637600000001</v>
      </c>
      <c r="J91" s="348">
        <f>'BILL IMPACTS '!C83*'Other Electriciy Rates'!$L$25</f>
        <v>734.4000000000001</v>
      </c>
      <c r="K91" s="177">
        <f>'Other Electriciy Rates'!$B$25</f>
        <v>0.010382189432402402</v>
      </c>
      <c r="L91" s="193">
        <f>+J91*K91</f>
        <v>7.624679919156325</v>
      </c>
      <c r="M91" s="350">
        <f>+L91-I91</f>
        <v>0.1400423191563238</v>
      </c>
      <c r="N91" s="205">
        <f t="shared" si="7"/>
        <v>0.018710634587882222</v>
      </c>
      <c r="O91" s="206">
        <f>L91/L99</f>
        <v>0.078619955334691</v>
      </c>
      <c r="P91" s="361"/>
    </row>
    <row r="92" spans="1:16" ht="18" customHeight="1" thickBot="1">
      <c r="A92" s="147"/>
      <c r="F92" s="218" t="s">
        <v>225</v>
      </c>
      <c r="G92" s="530"/>
      <c r="H92" s="531"/>
      <c r="I92" s="220">
        <f>I90+I91</f>
        <v>32.5026376</v>
      </c>
      <c r="J92" s="530"/>
      <c r="K92" s="531"/>
      <c r="L92" s="220">
        <f>L90+L91</f>
        <v>19.61040188508703</v>
      </c>
      <c r="M92" s="220">
        <f>M90+M91</f>
        <v>-12.892235714912976</v>
      </c>
      <c r="N92" s="223">
        <f t="shared" si="7"/>
        <v>-0.3966519847888584</v>
      </c>
      <c r="O92" s="351">
        <f>L92/L99</f>
        <v>0.202207690899565</v>
      </c>
      <c r="P92" s="361"/>
    </row>
    <row r="93" spans="1:16" ht="18" customHeight="1">
      <c r="A93" s="147"/>
      <c r="F93" s="183" t="s">
        <v>77</v>
      </c>
      <c r="G93" s="185">
        <f>+'Other Electriciy Rates'!$L$10*C83</f>
        <v>733.788</v>
      </c>
      <c r="H93" s="186">
        <f>'Other Electriciy Rates'!$C$10+'Other Electriciy Rates'!$D$10</f>
        <v>0.012986887220832175</v>
      </c>
      <c r="I93" s="187">
        <f>+G93*H93</f>
        <v>9.529622</v>
      </c>
      <c r="J93" s="185">
        <f>J91</f>
        <v>734.4000000000001</v>
      </c>
      <c r="K93" s="186">
        <f>'Other Electriciy Rates'!$C$25+'Other Electriciy Rates'!$D$25</f>
        <v>0.01278148148148148</v>
      </c>
      <c r="L93" s="214">
        <f>+J93*K93</f>
        <v>9.38672</v>
      </c>
      <c r="M93" s="215">
        <f>+L93-I93</f>
        <v>-0.14290199999999942</v>
      </c>
      <c r="N93" s="216">
        <f t="shared" si="7"/>
        <v>-0.014995558060959755</v>
      </c>
      <c r="O93" s="282">
        <f>L93/L99</f>
        <v>0.09678878522954562</v>
      </c>
      <c r="P93" s="361"/>
    </row>
    <row r="94" spans="1:16" ht="18" customHeight="1">
      <c r="A94" s="147"/>
      <c r="B94" s="25"/>
      <c r="C94" s="31"/>
      <c r="D94" s="31"/>
      <c r="E94" s="31"/>
      <c r="F94" s="179" t="s">
        <v>78</v>
      </c>
      <c r="G94" s="185">
        <v>600</v>
      </c>
      <c r="H94" s="186">
        <f>'Other Electriciy Rates'!$J$11</f>
        <v>0.075</v>
      </c>
      <c r="I94" s="187">
        <f>+G94*H94</f>
        <v>45</v>
      </c>
      <c r="J94" s="185">
        <v>600</v>
      </c>
      <c r="K94" s="186">
        <f>'Other Electriciy Rates'!$J$25</f>
        <v>0.075</v>
      </c>
      <c r="L94" s="214">
        <f>+J94*K94</f>
        <v>45</v>
      </c>
      <c r="M94" s="215">
        <f>+L94-I94</f>
        <v>0</v>
      </c>
      <c r="N94" s="216">
        <f t="shared" si="7"/>
        <v>0</v>
      </c>
      <c r="O94" s="217">
        <f>L94/L99</f>
        <v>0.4640060996098267</v>
      </c>
      <c r="P94" s="361"/>
    </row>
    <row r="95" spans="2:16" ht="18" customHeight="1">
      <c r="B95" s="154"/>
      <c r="C95" s="31"/>
      <c r="D95" s="31"/>
      <c r="E95" s="31"/>
      <c r="F95" s="179" t="s">
        <v>78</v>
      </c>
      <c r="G95" s="185">
        <f>G93-G94</f>
        <v>133.788</v>
      </c>
      <c r="H95" s="186">
        <f>'Other Electriciy Rates'!$K$10</f>
        <v>0.088</v>
      </c>
      <c r="I95" s="187">
        <f>+G95*H95</f>
        <v>11.773344</v>
      </c>
      <c r="J95" s="185">
        <f>J93-J94</f>
        <v>134.4000000000001</v>
      </c>
      <c r="K95" s="186">
        <f>'Other Electriciy Rates'!$K$25</f>
        <v>0.088</v>
      </c>
      <c r="L95" s="214">
        <f>+J95*K95</f>
        <v>11.827200000000007</v>
      </c>
      <c r="M95" s="215">
        <f>+L95-I95</f>
        <v>0.05385600000000679</v>
      </c>
      <c r="N95" s="216">
        <f t="shared" si="7"/>
        <v>0.0045744012915962355</v>
      </c>
      <c r="O95" s="217">
        <f>L95/L99</f>
        <v>0.12195317647345212</v>
      </c>
      <c r="P95" s="147"/>
    </row>
    <row r="96" spans="2:16" ht="18" customHeight="1" thickBot="1">
      <c r="B96" s="154"/>
      <c r="C96" s="31"/>
      <c r="D96" s="31"/>
      <c r="E96" s="31"/>
      <c r="F96" s="181" t="s">
        <v>235</v>
      </c>
      <c r="G96" s="279">
        <f>G93</f>
        <v>733.788</v>
      </c>
      <c r="H96" s="186">
        <f>H71</f>
        <v>0</v>
      </c>
      <c r="I96" s="189">
        <f>+G96*H96</f>
        <v>0</v>
      </c>
      <c r="J96" s="279">
        <f>G96</f>
        <v>733.788</v>
      </c>
      <c r="K96" s="186">
        <f>K71</f>
        <v>0</v>
      </c>
      <c r="L96" s="211">
        <f>+J96*K96</f>
        <v>0</v>
      </c>
      <c r="M96" s="212">
        <f>+L96-I96</f>
        <v>0</v>
      </c>
      <c r="N96" s="213" t="e">
        <f t="shared" si="7"/>
        <v>#DIV/0!</v>
      </c>
      <c r="O96" s="226">
        <f>L96/L99</f>
        <v>0</v>
      </c>
      <c r="P96" s="147"/>
    </row>
    <row r="97" spans="2:16" ht="18" customHeight="1" thickBot="1">
      <c r="B97" s="154"/>
      <c r="C97" s="31"/>
      <c r="D97" s="31"/>
      <c r="E97" s="31"/>
      <c r="F97" s="218" t="s">
        <v>192</v>
      </c>
      <c r="G97" s="530"/>
      <c r="H97" s="531"/>
      <c r="I97" s="220">
        <f>SUM(I92:I96)</f>
        <v>98.8056036</v>
      </c>
      <c r="J97" s="530"/>
      <c r="K97" s="531"/>
      <c r="L97" s="220">
        <f>SUM(L92:L96)</f>
        <v>85.82432188508703</v>
      </c>
      <c r="M97" s="220">
        <f>SUM(M92:M95)</f>
        <v>-12.981281714912969</v>
      </c>
      <c r="N97" s="223">
        <f t="shared" si="7"/>
        <v>-0.13138203949915417</v>
      </c>
      <c r="O97" s="351">
        <f>L97/L99</f>
        <v>0.8849557522123894</v>
      </c>
      <c r="P97" s="147"/>
    </row>
    <row r="98" spans="2:16" ht="18" customHeight="1" thickBot="1">
      <c r="B98" s="154"/>
      <c r="C98" s="31"/>
      <c r="D98" s="31"/>
      <c r="E98" s="31"/>
      <c r="F98" s="278" t="s">
        <v>193</v>
      </c>
      <c r="G98" s="279"/>
      <c r="H98" s="283">
        <f>H73</f>
        <v>0.13</v>
      </c>
      <c r="I98" s="280">
        <f>I97*H98</f>
        <v>12.844728468</v>
      </c>
      <c r="J98" s="279"/>
      <c r="K98" s="283">
        <f>K73</f>
        <v>0.13</v>
      </c>
      <c r="L98" s="281">
        <f>L97*K98</f>
        <v>11.157161845061314</v>
      </c>
      <c r="M98" s="212">
        <f>+L98-I98</f>
        <v>-1.6875666229386859</v>
      </c>
      <c r="N98" s="213">
        <f t="shared" si="7"/>
        <v>-0.13138203949915417</v>
      </c>
      <c r="O98" s="226">
        <f>L98/L99</f>
        <v>0.11504424778761062</v>
      </c>
      <c r="P98" s="147"/>
    </row>
    <row r="99" spans="2:16" ht="18" customHeight="1" thickBot="1">
      <c r="B99" s="154"/>
      <c r="C99" s="31"/>
      <c r="D99" s="31"/>
      <c r="E99" s="35"/>
      <c r="F99" s="219" t="s">
        <v>79</v>
      </c>
      <c r="G99" s="542"/>
      <c r="H99" s="543"/>
      <c r="I99" s="221">
        <f>I97+I98</f>
        <v>111.650332068</v>
      </c>
      <c r="J99" s="542"/>
      <c r="K99" s="543"/>
      <c r="L99" s="221">
        <f>L97+L98</f>
        <v>96.98148373014834</v>
      </c>
      <c r="M99" s="221">
        <f>M97+M98</f>
        <v>-14.668848337851655</v>
      </c>
      <c r="N99" s="223">
        <f t="shared" si="7"/>
        <v>-0.13138203949915417</v>
      </c>
      <c r="O99" s="225">
        <f>SUM(O97:O98)</f>
        <v>1</v>
      </c>
      <c r="P99" s="147"/>
    </row>
    <row r="100" spans="2:16" ht="6.75" customHeight="1" thickBot="1">
      <c r="B100" s="148"/>
      <c r="C100" s="160"/>
      <c r="D100" s="160"/>
      <c r="E100" s="160"/>
      <c r="F100" s="161"/>
      <c r="G100" s="162"/>
      <c r="H100" s="163"/>
      <c r="I100" s="164"/>
      <c r="J100" s="162"/>
      <c r="K100" s="165"/>
      <c r="L100" s="164"/>
      <c r="M100" s="169"/>
      <c r="N100" s="167"/>
      <c r="O100" s="168"/>
      <c r="P100" s="149"/>
    </row>
    <row r="101" spans="2:16" ht="6.75" customHeight="1">
      <c r="B101" s="25"/>
      <c r="C101" s="31"/>
      <c r="D101" s="31"/>
      <c r="E101" s="31"/>
      <c r="F101" s="49"/>
      <c r="G101" s="50"/>
      <c r="H101" s="51"/>
      <c r="I101" s="52"/>
      <c r="J101" s="50"/>
      <c r="K101" s="53"/>
      <c r="L101" s="52"/>
      <c r="M101" s="159"/>
      <c r="N101" s="157"/>
      <c r="O101" s="158"/>
      <c r="P101" s="25"/>
    </row>
    <row r="102" ht="18" customHeight="1" thickBot="1"/>
    <row r="103" spans="2:16" ht="18" customHeight="1">
      <c r="B103" s="156"/>
      <c r="C103" s="539"/>
      <c r="D103" s="539"/>
      <c r="E103" s="539"/>
      <c r="F103" s="539"/>
      <c r="G103" s="539"/>
      <c r="H103" s="539"/>
      <c r="I103" s="539"/>
      <c r="J103" s="539"/>
      <c r="K103" s="539"/>
      <c r="L103" s="539"/>
      <c r="M103" s="539"/>
      <c r="N103" s="539"/>
      <c r="O103" s="539"/>
      <c r="P103" s="146"/>
    </row>
    <row r="104" spans="2:16" ht="23.25">
      <c r="B104" s="154"/>
      <c r="C104" s="540" t="s">
        <v>48</v>
      </c>
      <c r="D104" s="540"/>
      <c r="E104" s="540"/>
      <c r="F104" s="540"/>
      <c r="G104" s="540"/>
      <c r="H104" s="540"/>
      <c r="I104" s="540"/>
      <c r="J104" s="540"/>
      <c r="K104" s="540"/>
      <c r="L104" s="540"/>
      <c r="M104" s="540"/>
      <c r="N104" s="540"/>
      <c r="O104" s="540"/>
      <c r="P104" s="147"/>
    </row>
    <row r="105" spans="2:16" ht="18" customHeight="1" thickBot="1">
      <c r="B105" s="154"/>
      <c r="C105" s="541"/>
      <c r="D105" s="541"/>
      <c r="E105" s="541"/>
      <c r="F105" s="541"/>
      <c r="G105" s="541"/>
      <c r="H105" s="541"/>
      <c r="I105" s="541"/>
      <c r="J105" s="541"/>
      <c r="K105" s="541"/>
      <c r="L105" s="541"/>
      <c r="M105" s="541"/>
      <c r="N105" s="541"/>
      <c r="O105" s="541"/>
      <c r="P105" s="147"/>
    </row>
    <row r="106" spans="2:16" ht="18" customHeight="1" thickBot="1">
      <c r="B106" s="154"/>
      <c r="C106" s="155"/>
      <c r="D106" s="155"/>
      <c r="E106" s="31"/>
      <c r="F106" s="37"/>
      <c r="G106" s="534" t="str">
        <f>$G$10</f>
        <v>2011 BILL</v>
      </c>
      <c r="H106" s="535"/>
      <c r="I106" s="536"/>
      <c r="J106" s="534" t="str">
        <f>$J$10</f>
        <v>2012 BILL</v>
      </c>
      <c r="K106" s="535"/>
      <c r="L106" s="536"/>
      <c r="M106" s="534" t="s">
        <v>73</v>
      </c>
      <c r="N106" s="535"/>
      <c r="O106" s="536"/>
      <c r="P106" s="147"/>
    </row>
    <row r="107" spans="2:16" ht="39" thickBot="1">
      <c r="B107" s="154"/>
      <c r="C107" s="31"/>
      <c r="D107" s="31"/>
      <c r="E107" s="33"/>
      <c r="F107" s="38"/>
      <c r="G107" s="170" t="s">
        <v>67</v>
      </c>
      <c r="H107" s="171" t="s">
        <v>68</v>
      </c>
      <c r="I107" s="172" t="s">
        <v>69</v>
      </c>
      <c r="J107" s="173" t="s">
        <v>67</v>
      </c>
      <c r="K107" s="171" t="s">
        <v>68</v>
      </c>
      <c r="L107" s="172" t="s">
        <v>69</v>
      </c>
      <c r="M107" s="174" t="s">
        <v>80</v>
      </c>
      <c r="N107" s="175" t="s">
        <v>81</v>
      </c>
      <c r="O107" s="176" t="s">
        <v>76</v>
      </c>
      <c r="P107" s="147"/>
    </row>
    <row r="108" spans="2:16" ht="18" customHeight="1" thickBot="1">
      <c r="B108" s="154"/>
      <c r="C108" s="528" t="s">
        <v>70</v>
      </c>
      <c r="D108" s="529"/>
      <c r="E108" s="31"/>
      <c r="F108" s="180" t="s">
        <v>71</v>
      </c>
      <c r="G108" s="190"/>
      <c r="H108" s="191"/>
      <c r="I108" s="192">
        <f>$I$58</f>
        <v>11.13</v>
      </c>
      <c r="J108" s="190"/>
      <c r="K108" s="191"/>
      <c r="L108" s="195">
        <f>'Rate Schedule (Part 1)'!$E$12</f>
        <v>10.68</v>
      </c>
      <c r="M108" s="204">
        <f aca="true" t="shared" si="8" ref="M108:M115">+L108-I108</f>
        <v>-0.45000000000000107</v>
      </c>
      <c r="N108" s="205">
        <f>+M108/I108</f>
        <v>-0.04043126684636128</v>
      </c>
      <c r="O108" s="206">
        <f>L108/L126</f>
        <v>0.09393279902570224</v>
      </c>
      <c r="P108" s="147"/>
    </row>
    <row r="109" spans="2:16" ht="18" customHeight="1" thickBot="1">
      <c r="B109" s="154"/>
      <c r="C109" s="150">
        <v>800</v>
      </c>
      <c r="D109" s="153" t="s">
        <v>16</v>
      </c>
      <c r="E109" s="31"/>
      <c r="F109" s="181" t="s">
        <v>72</v>
      </c>
      <c r="G109" s="184">
        <f>+C109</f>
        <v>800</v>
      </c>
      <c r="H109" s="178">
        <f>$H$59</f>
        <v>0.0079</v>
      </c>
      <c r="I109" s="193">
        <f>+G109*H109</f>
        <v>6.32</v>
      </c>
      <c r="J109" s="184">
        <f>+C109</f>
        <v>800</v>
      </c>
      <c r="K109" s="177">
        <f>'Rate Schedule (Part 1)'!$E$13</f>
        <v>0.0076</v>
      </c>
      <c r="L109" s="197">
        <f>+J109*K109</f>
        <v>6.08</v>
      </c>
      <c r="M109" s="207">
        <f t="shared" si="8"/>
        <v>-0.2400000000000002</v>
      </c>
      <c r="N109" s="201">
        <f>+M109/I109</f>
        <v>-0.037974683544303826</v>
      </c>
      <c r="O109" s="208">
        <f>L109/L126</f>
        <v>0.05347485187980053</v>
      </c>
      <c r="P109" s="147"/>
    </row>
    <row r="110" spans="2:16" ht="18" customHeight="1" thickBot="1">
      <c r="B110" s="154"/>
      <c r="C110" s="63"/>
      <c r="D110" s="64"/>
      <c r="E110" s="31"/>
      <c r="F110" s="181" t="s">
        <v>222</v>
      </c>
      <c r="G110" s="184">
        <f>G109</f>
        <v>800</v>
      </c>
      <c r="H110" s="178">
        <f>$H$60</f>
        <v>0.0016</v>
      </c>
      <c r="I110" s="193">
        <f>+G110*H110</f>
        <v>1.28</v>
      </c>
      <c r="J110" s="184">
        <f>J109</f>
        <v>800</v>
      </c>
      <c r="K110" s="177">
        <f>'Rate Schedule (Part 1)'!$E$14</f>
        <v>0.0012</v>
      </c>
      <c r="L110" s="197">
        <f>+J110*K110</f>
        <v>0.96</v>
      </c>
      <c r="M110" s="207">
        <f t="shared" si="8"/>
        <v>-0.32000000000000006</v>
      </c>
      <c r="N110" s="201">
        <f>+M110/I110</f>
        <v>-0.25000000000000006</v>
      </c>
      <c r="O110" s="208">
        <f>L110/L126</f>
        <v>0.008443397665231661</v>
      </c>
      <c r="P110" s="147"/>
    </row>
    <row r="111" spans="2:16" ht="18" customHeight="1">
      <c r="B111" s="154"/>
      <c r="C111" s="63"/>
      <c r="D111" s="64"/>
      <c r="E111" s="31"/>
      <c r="F111" s="181" t="s">
        <v>271</v>
      </c>
      <c r="G111" s="203"/>
      <c r="H111" s="202"/>
      <c r="I111" s="192">
        <f>$I$61</f>
        <v>1.45</v>
      </c>
      <c r="J111" s="203"/>
      <c r="K111" s="202"/>
      <c r="L111" s="197">
        <f>'Rate Schedule (Part 1)'!$E$16</f>
        <v>-0.9439520067604836</v>
      </c>
      <c r="M111" s="207">
        <f t="shared" si="8"/>
        <v>-2.3939520067604834</v>
      </c>
      <c r="N111" s="201">
        <f>+M111/I111</f>
        <v>-1.651001383972747</v>
      </c>
      <c r="O111" s="208">
        <f>L111/L126</f>
        <v>-0.008302252260387718</v>
      </c>
      <c r="P111" s="147"/>
    </row>
    <row r="112" spans="1:16" ht="18" customHeight="1" thickBot="1">
      <c r="A112" s="147"/>
      <c r="B112" s="154"/>
      <c r="C112" s="31"/>
      <c r="D112" s="31"/>
      <c r="E112" s="31"/>
      <c r="F112" s="181" t="s">
        <v>160</v>
      </c>
      <c r="G112" s="184">
        <f>C109</f>
        <v>800</v>
      </c>
      <c r="H112" s="178">
        <f>$H$62</f>
        <v>0</v>
      </c>
      <c r="I112" s="193">
        <f>+G112*H112</f>
        <v>0</v>
      </c>
      <c r="J112" s="184">
        <f>C109</f>
        <v>800</v>
      </c>
      <c r="K112" s="177">
        <f>'Rate Schedule (Part 1)'!$E$15</f>
        <v>0.0007</v>
      </c>
      <c r="L112" s="197">
        <f>J112*K112</f>
        <v>0.5599999999999999</v>
      </c>
      <c r="M112" s="207">
        <f t="shared" si="8"/>
        <v>0.5599999999999999</v>
      </c>
      <c r="N112" s="201" t="e">
        <f>+M112/I112</f>
        <v>#DIV/0!</v>
      </c>
      <c r="O112" s="208">
        <f>L112/$L$126</f>
        <v>0.00492531530471847</v>
      </c>
      <c r="P112" s="147"/>
    </row>
    <row r="113" spans="1:16" ht="18" customHeight="1">
      <c r="A113" s="147"/>
      <c r="B113" s="154"/>
      <c r="C113" s="63"/>
      <c r="D113" s="64"/>
      <c r="E113" s="31"/>
      <c r="F113" s="419" t="s">
        <v>270</v>
      </c>
      <c r="G113" s="203"/>
      <c r="H113" s="202"/>
      <c r="I113" s="192">
        <f>$I$63</f>
        <v>0</v>
      </c>
      <c r="J113" s="203"/>
      <c r="K113" s="202"/>
      <c r="L113" s="211">
        <f>$L$63</f>
        <v>1.474275192154794</v>
      </c>
      <c r="M113" s="207">
        <f t="shared" si="8"/>
        <v>1.474275192154794</v>
      </c>
      <c r="N113" s="201" t="e">
        <f aca="true" t="shared" si="9" ref="N113:N122">+M113/I113</f>
        <v>#DIV/0!</v>
      </c>
      <c r="O113" s="208">
        <f>L113/$L$126</f>
        <v>0.012966553870154947</v>
      </c>
      <c r="P113" s="147"/>
    </row>
    <row r="114" spans="1:16" ht="18" customHeight="1">
      <c r="A114" s="147"/>
      <c r="B114" s="154"/>
      <c r="C114" s="63"/>
      <c r="D114" s="64"/>
      <c r="E114" s="31"/>
      <c r="F114" s="419" t="s">
        <v>272</v>
      </c>
      <c r="G114" s="203"/>
      <c r="H114" s="202"/>
      <c r="I114" s="193">
        <f>I88</f>
        <v>0.13</v>
      </c>
      <c r="J114" s="194">
        <f>G114</f>
        <v>0</v>
      </c>
      <c r="K114" s="420">
        <f>$K$64</f>
        <v>0</v>
      </c>
      <c r="L114" s="193">
        <f>+J114*K114</f>
        <v>0</v>
      </c>
      <c r="M114" s="207">
        <f t="shared" si="8"/>
        <v>-0.13</v>
      </c>
      <c r="N114" s="201">
        <f t="shared" si="9"/>
        <v>-1</v>
      </c>
      <c r="O114" s="208">
        <f>L114/$L$126</f>
        <v>0</v>
      </c>
      <c r="P114" s="147"/>
    </row>
    <row r="115" spans="1:16" ht="18" customHeight="1" thickBot="1">
      <c r="A115" s="147"/>
      <c r="B115" s="25"/>
      <c r="C115" s="31"/>
      <c r="D115" s="31"/>
      <c r="E115" s="31"/>
      <c r="F115" s="182" t="s">
        <v>221</v>
      </c>
      <c r="G115" s="209">
        <f>+C109</f>
        <v>800</v>
      </c>
      <c r="H115" s="178">
        <f>$H$65</f>
        <v>0.0086</v>
      </c>
      <c r="I115" s="211">
        <f>+G115*H115</f>
        <v>6.88</v>
      </c>
      <c r="J115" s="209">
        <f>+C109</f>
        <v>800</v>
      </c>
      <c r="K115" s="210">
        <f>K89</f>
        <v>-0.008359707675681775</v>
      </c>
      <c r="L115" s="211">
        <f>+J115*K115</f>
        <v>-6.6877661405454205</v>
      </c>
      <c r="M115" s="207">
        <f t="shared" si="8"/>
        <v>-13.56776614054542</v>
      </c>
      <c r="N115" s="201">
        <f t="shared" si="9"/>
        <v>-1.9720590320560203</v>
      </c>
      <c r="O115" s="208">
        <f>L115/$L$126</f>
        <v>-0.058820280225725594</v>
      </c>
      <c r="P115" s="361"/>
    </row>
    <row r="116" spans="1:16" ht="18" customHeight="1" thickBot="1">
      <c r="A116" s="147"/>
      <c r="F116" s="218" t="s">
        <v>223</v>
      </c>
      <c r="G116" s="530"/>
      <c r="H116" s="531"/>
      <c r="I116" s="220">
        <f>SUM(I108:I115)</f>
        <v>27.19</v>
      </c>
      <c r="J116" s="530"/>
      <c r="K116" s="531"/>
      <c r="L116" s="220">
        <f>SUM(L108:L115)</f>
        <v>12.12255704484889</v>
      </c>
      <c r="M116" s="222">
        <f>SUM(M108:M115)</f>
        <v>-15.06744295515111</v>
      </c>
      <c r="N116" s="223">
        <f t="shared" si="9"/>
        <v>-0.554153841675289</v>
      </c>
      <c r="O116" s="225">
        <f>L116/L126</f>
        <v>0.10662038525949454</v>
      </c>
      <c r="P116" s="361"/>
    </row>
    <row r="117" spans="1:16" ht="18" customHeight="1" thickBot="1">
      <c r="A117" s="147"/>
      <c r="F117" s="181" t="s">
        <v>224</v>
      </c>
      <c r="G117" s="348">
        <f>C109*'Other Electriciy Rates'!$L$10</f>
        <v>863.28</v>
      </c>
      <c r="H117" s="349">
        <f>'Other Electriciy Rates'!$B$10</f>
        <v>0.0102</v>
      </c>
      <c r="I117" s="193">
        <f>+G117*H117</f>
        <v>8.805456</v>
      </c>
      <c r="J117" s="348">
        <f>'BILL IMPACTS '!C109*'Other Electriciy Rates'!$L$25</f>
        <v>864</v>
      </c>
      <c r="K117" s="177">
        <f>'Other Electriciy Rates'!$B$25</f>
        <v>0.010382189432402402</v>
      </c>
      <c r="L117" s="193">
        <f>+J117*K117</f>
        <v>8.970211669595676</v>
      </c>
      <c r="M117" s="350">
        <f>+L117-I117</f>
        <v>0.16475566959567622</v>
      </c>
      <c r="N117" s="205">
        <f t="shared" si="9"/>
        <v>0.018710634587882358</v>
      </c>
      <c r="O117" s="206">
        <f>L117/L126</f>
        <v>0.07889485861218536</v>
      </c>
      <c r="P117" s="361"/>
    </row>
    <row r="118" spans="1:16" ht="18" customHeight="1" thickBot="1">
      <c r="A118" s="147"/>
      <c r="B118" s="25"/>
      <c r="F118" s="218" t="s">
        <v>225</v>
      </c>
      <c r="G118" s="530"/>
      <c r="H118" s="531"/>
      <c r="I118" s="220">
        <f>I116+I117</f>
        <v>35.995456000000004</v>
      </c>
      <c r="J118" s="530"/>
      <c r="K118" s="531"/>
      <c r="L118" s="220">
        <f>L116+L117</f>
        <v>21.092768714444567</v>
      </c>
      <c r="M118" s="220">
        <f>M116+M117</f>
        <v>-14.902687285555434</v>
      </c>
      <c r="N118" s="223">
        <f t="shared" si="9"/>
        <v>-0.4140157937033894</v>
      </c>
      <c r="O118" s="351">
        <f>L118/L126</f>
        <v>0.18551524387167992</v>
      </c>
      <c r="P118" s="361"/>
    </row>
    <row r="119" spans="1:16" ht="18" customHeight="1">
      <c r="A119" s="147"/>
      <c r="B119" s="25"/>
      <c r="C119" s="25"/>
      <c r="F119" s="183" t="s">
        <v>77</v>
      </c>
      <c r="G119" s="185">
        <f>+'Other Electriciy Rates'!$L$10*C109</f>
        <v>863.28</v>
      </c>
      <c r="H119" s="186">
        <f>'Other Electriciy Rates'!$C$10+'Other Electriciy Rates'!$D$10</f>
        <v>0.012986887220832175</v>
      </c>
      <c r="I119" s="187">
        <f>+G119*H119</f>
        <v>11.211319999999999</v>
      </c>
      <c r="J119" s="185">
        <f>J117</f>
        <v>864</v>
      </c>
      <c r="K119" s="186">
        <f>'Other Electriciy Rates'!$C$25+'Other Electriciy Rates'!$D$25</f>
        <v>0.01278148148148148</v>
      </c>
      <c r="L119" s="214">
        <f>+J119*K119</f>
        <v>11.043199999999999</v>
      </c>
      <c r="M119" s="215">
        <f>+L119-I119</f>
        <v>-0.16812000000000005</v>
      </c>
      <c r="N119" s="216">
        <f t="shared" si="9"/>
        <v>-0.014995558060959821</v>
      </c>
      <c r="O119" s="282">
        <f>L119/L126</f>
        <v>0.09712721780904822</v>
      </c>
      <c r="P119" s="361"/>
    </row>
    <row r="120" spans="1:16" ht="18" customHeight="1">
      <c r="A120" s="147"/>
      <c r="B120" s="25"/>
      <c r="C120" s="31"/>
      <c r="D120" s="31"/>
      <c r="E120" s="31"/>
      <c r="F120" s="179" t="s">
        <v>78</v>
      </c>
      <c r="G120" s="185">
        <v>600</v>
      </c>
      <c r="H120" s="186">
        <f>'Other Electriciy Rates'!$J$11</f>
        <v>0.075</v>
      </c>
      <c r="I120" s="187">
        <f>+G120*H120</f>
        <v>45</v>
      </c>
      <c r="J120" s="185">
        <v>600</v>
      </c>
      <c r="K120" s="186">
        <f>'Other Electriciy Rates'!$J$25</f>
        <v>0.075</v>
      </c>
      <c r="L120" s="214">
        <f>+J120*K120</f>
        <v>45</v>
      </c>
      <c r="M120" s="215">
        <f>+L120-I120</f>
        <v>0</v>
      </c>
      <c r="N120" s="216">
        <f t="shared" si="9"/>
        <v>0</v>
      </c>
      <c r="O120" s="217">
        <f>L120/L126</f>
        <v>0.39578426555773416</v>
      </c>
      <c r="P120" s="361"/>
    </row>
    <row r="121" spans="1:16" ht="18" customHeight="1">
      <c r="A121" s="147"/>
      <c r="B121" s="25"/>
      <c r="C121" s="31"/>
      <c r="D121" s="31"/>
      <c r="E121" s="31"/>
      <c r="F121" s="179" t="s">
        <v>78</v>
      </c>
      <c r="G121" s="185">
        <f>G119-G120</f>
        <v>263.28</v>
      </c>
      <c r="H121" s="186">
        <f>'Other Electriciy Rates'!$K$10</f>
        <v>0.088</v>
      </c>
      <c r="I121" s="187">
        <f>+G121*H121</f>
        <v>23.168639999999996</v>
      </c>
      <c r="J121" s="185">
        <f>J119-J120</f>
        <v>264</v>
      </c>
      <c r="K121" s="186">
        <f>'Other Electriciy Rates'!$K$25</f>
        <v>0.088</v>
      </c>
      <c r="L121" s="214">
        <f>+J121*K121</f>
        <v>23.232</v>
      </c>
      <c r="M121" s="215">
        <f>+L121-I121</f>
        <v>0.06336000000000297</v>
      </c>
      <c r="N121" s="216">
        <f t="shared" si="9"/>
        <v>0.002734731084776792</v>
      </c>
      <c r="O121" s="217">
        <f>L121/L126</f>
        <v>0.20433022349860622</v>
      </c>
      <c r="P121" s="147"/>
    </row>
    <row r="122" spans="2:16" ht="18" customHeight="1" thickBot="1">
      <c r="B122" s="154"/>
      <c r="C122" s="31"/>
      <c r="D122" s="31"/>
      <c r="E122" s="31"/>
      <c r="F122" s="181" t="s">
        <v>235</v>
      </c>
      <c r="G122" s="279">
        <f>G119</f>
        <v>863.28</v>
      </c>
      <c r="H122" s="186">
        <f>H96</f>
        <v>0</v>
      </c>
      <c r="I122" s="189">
        <f>+G122*H122</f>
        <v>0</v>
      </c>
      <c r="J122" s="279">
        <f>G122</f>
        <v>863.28</v>
      </c>
      <c r="K122" s="186">
        <f>K96</f>
        <v>0</v>
      </c>
      <c r="L122" s="211">
        <f>+J122*K122</f>
        <v>0</v>
      </c>
      <c r="M122" s="212">
        <f>+L122-I122</f>
        <v>0</v>
      </c>
      <c r="N122" s="213" t="e">
        <f t="shared" si="9"/>
        <v>#DIV/0!</v>
      </c>
      <c r="O122" s="226">
        <f>L122/L126</f>
        <v>0</v>
      </c>
      <c r="P122" s="147"/>
    </row>
    <row r="123" spans="2:16" ht="18" customHeight="1" thickBot="1">
      <c r="B123" s="154"/>
      <c r="C123" s="31"/>
      <c r="D123" s="31"/>
      <c r="E123" s="31"/>
      <c r="F123" s="278"/>
      <c r="G123" s="279"/>
      <c r="H123" s="421"/>
      <c r="I123" s="280">
        <v>0.25</v>
      </c>
      <c r="J123" s="279"/>
      <c r="K123" s="421"/>
      <c r="L123" s="280">
        <v>0.25</v>
      </c>
      <c r="M123" s="215">
        <f>+L123-I123</f>
        <v>0</v>
      </c>
      <c r="N123" s="456"/>
      <c r="O123" s="457"/>
      <c r="P123" s="147"/>
    </row>
    <row r="124" spans="2:16" ht="18" customHeight="1" thickBot="1">
      <c r="B124" s="154"/>
      <c r="C124" s="31"/>
      <c r="D124" s="31"/>
      <c r="E124" s="31"/>
      <c r="F124" s="218" t="s">
        <v>192</v>
      </c>
      <c r="G124" s="530"/>
      <c r="H124" s="531"/>
      <c r="I124" s="220">
        <f>SUM(I118:I123)</f>
        <v>115.625416</v>
      </c>
      <c r="J124" s="530"/>
      <c r="K124" s="531"/>
      <c r="L124" s="220">
        <f>SUM(L118:L123)</f>
        <v>100.61796871444457</v>
      </c>
      <c r="M124" s="362">
        <f>SUM(M118:M121)</f>
        <v>-15.00744728555543</v>
      </c>
      <c r="N124" s="223">
        <f>+M124/I124</f>
        <v>-0.12979367170930162</v>
      </c>
      <c r="O124" s="351">
        <f>L124/L126</f>
        <v>0.8849557522123893</v>
      </c>
      <c r="P124" s="147"/>
    </row>
    <row r="125" spans="2:16" ht="18" customHeight="1" thickBot="1">
      <c r="B125" s="154"/>
      <c r="C125" s="31"/>
      <c r="D125" s="31"/>
      <c r="E125" s="31"/>
      <c r="F125" s="278" t="s">
        <v>193</v>
      </c>
      <c r="G125" s="279"/>
      <c r="H125" s="283">
        <f>$H$177</f>
        <v>0.13</v>
      </c>
      <c r="I125" s="280">
        <f>I124*H125</f>
        <v>15.03130408</v>
      </c>
      <c r="J125" s="279"/>
      <c r="K125" s="283">
        <f>$K$177</f>
        <v>0.13</v>
      </c>
      <c r="L125" s="281">
        <f>L124*K125</f>
        <v>13.080335932877794</v>
      </c>
      <c r="M125" s="212">
        <f>+L125-I125</f>
        <v>-1.9509681471222056</v>
      </c>
      <c r="N125" s="213">
        <f>+M125/I125</f>
        <v>-0.1297936717093016</v>
      </c>
      <c r="O125" s="226">
        <f>L125/L126</f>
        <v>0.11504424778761062</v>
      </c>
      <c r="P125" s="147"/>
    </row>
    <row r="126" spans="2:16" ht="18" customHeight="1" thickBot="1">
      <c r="B126" s="154"/>
      <c r="C126" s="31"/>
      <c r="D126" s="31"/>
      <c r="E126" s="35"/>
      <c r="F126" s="219" t="s">
        <v>79</v>
      </c>
      <c r="G126" s="542"/>
      <c r="H126" s="543"/>
      <c r="I126" s="221">
        <f>I124+I125</f>
        <v>130.65672008</v>
      </c>
      <c r="J126" s="542"/>
      <c r="K126" s="543"/>
      <c r="L126" s="221">
        <f>L124+L125</f>
        <v>113.69830464732237</v>
      </c>
      <c r="M126" s="363">
        <f>M124+M125</f>
        <v>-16.958415432677636</v>
      </c>
      <c r="N126" s="223">
        <f>+M126/I126</f>
        <v>-0.1297936717093016</v>
      </c>
      <c r="O126" s="225">
        <f>SUM(O124:O125)</f>
        <v>0.9999999999999999</v>
      </c>
      <c r="P126" s="147"/>
    </row>
    <row r="127" spans="2:16" ht="18" customHeight="1" thickBot="1">
      <c r="B127" s="154"/>
      <c r="C127" s="31"/>
      <c r="D127" s="31"/>
      <c r="E127" s="31"/>
      <c r="F127" s="458"/>
      <c r="G127" s="162"/>
      <c r="H127" s="462">
        <v>-0.1</v>
      </c>
      <c r="I127" s="459">
        <f>H127*I126</f>
        <v>-13.065672008000002</v>
      </c>
      <c r="J127" s="162"/>
      <c r="K127" s="462">
        <v>-0.1</v>
      </c>
      <c r="L127" s="459">
        <f>K127*L126</f>
        <v>-11.369830464732239</v>
      </c>
      <c r="M127" s="460"/>
      <c r="N127" s="461"/>
      <c r="O127" s="461"/>
      <c r="P127" s="147"/>
    </row>
    <row r="128" spans="2:16" ht="18" customHeight="1" thickBot="1">
      <c r="B128" s="154"/>
      <c r="C128" s="31"/>
      <c r="D128" s="31"/>
      <c r="E128" s="31"/>
      <c r="F128" s="458"/>
      <c r="G128" s="162"/>
      <c r="H128" s="162"/>
      <c r="I128" s="459">
        <f>SUM(I126:I127)</f>
        <v>117.591048072</v>
      </c>
      <c r="J128" s="162"/>
      <c r="K128" s="162"/>
      <c r="L128" s="459">
        <f>SUM(L126:L127)</f>
        <v>102.32847418259013</v>
      </c>
      <c r="M128" s="460">
        <f>L128-I128</f>
        <v>-15.262573889409879</v>
      </c>
      <c r="N128" s="461">
        <f>M128/I128</f>
        <v>-0.12979367170930167</v>
      </c>
      <c r="O128" s="461"/>
      <c r="P128" s="147"/>
    </row>
    <row r="129" spans="2:16" ht="18" customHeight="1" thickBot="1">
      <c r="B129" s="148"/>
      <c r="C129" s="160"/>
      <c r="D129" s="160"/>
      <c r="E129" s="160"/>
      <c r="F129" s="161"/>
      <c r="G129" s="162"/>
      <c r="H129" s="163"/>
      <c r="I129" s="164"/>
      <c r="J129" s="162"/>
      <c r="K129" s="165"/>
      <c r="L129" s="164"/>
      <c r="M129" s="169"/>
      <c r="N129" s="167"/>
      <c r="O129" s="168"/>
      <c r="P129" s="149"/>
    </row>
    <row r="130" spans="2:16" ht="18" customHeight="1" thickBot="1">
      <c r="B130" s="25"/>
      <c r="C130" s="31"/>
      <c r="D130" s="31"/>
      <c r="E130" s="31"/>
      <c r="F130" s="49"/>
      <c r="G130" s="50"/>
      <c r="H130" s="51"/>
      <c r="I130" s="52"/>
      <c r="J130" s="50"/>
      <c r="K130" s="53"/>
      <c r="L130" s="52"/>
      <c r="M130" s="159"/>
      <c r="N130" s="157"/>
      <c r="O130" s="158"/>
      <c r="P130" s="25"/>
    </row>
    <row r="131" spans="2:16" ht="18" customHeight="1">
      <c r="B131" s="156"/>
      <c r="C131" s="539"/>
      <c r="D131" s="539"/>
      <c r="E131" s="539"/>
      <c r="F131" s="539"/>
      <c r="G131" s="539"/>
      <c r="H131" s="539"/>
      <c r="I131" s="539"/>
      <c r="J131" s="539"/>
      <c r="K131" s="539"/>
      <c r="L131" s="539"/>
      <c r="M131" s="539"/>
      <c r="N131" s="539"/>
      <c r="O131" s="539"/>
      <c r="P131" s="146"/>
    </row>
    <row r="132" spans="2:16" ht="23.25">
      <c r="B132" s="154"/>
      <c r="C132" s="540" t="s">
        <v>48</v>
      </c>
      <c r="D132" s="540"/>
      <c r="E132" s="540"/>
      <c r="F132" s="540"/>
      <c r="G132" s="540"/>
      <c r="H132" s="540"/>
      <c r="I132" s="540"/>
      <c r="J132" s="540"/>
      <c r="K132" s="540"/>
      <c r="L132" s="540"/>
      <c r="M132" s="540"/>
      <c r="N132" s="540"/>
      <c r="O132" s="540"/>
      <c r="P132" s="147"/>
    </row>
    <row r="133" spans="2:16" ht="18" customHeight="1" thickBot="1">
      <c r="B133" s="154"/>
      <c r="C133" s="541"/>
      <c r="D133" s="541"/>
      <c r="E133" s="541"/>
      <c r="F133" s="541"/>
      <c r="G133" s="541"/>
      <c r="H133" s="541"/>
      <c r="I133" s="541"/>
      <c r="J133" s="541"/>
      <c r="K133" s="541"/>
      <c r="L133" s="541"/>
      <c r="M133" s="541"/>
      <c r="N133" s="541"/>
      <c r="O133" s="541"/>
      <c r="P133" s="147"/>
    </row>
    <row r="134" spans="2:16" ht="18" customHeight="1" thickBot="1">
      <c r="B134" s="154"/>
      <c r="C134" s="155"/>
      <c r="D134" s="155"/>
      <c r="E134" s="31"/>
      <c r="F134" s="37"/>
      <c r="G134" s="534" t="str">
        <f>$G$10</f>
        <v>2011 BILL</v>
      </c>
      <c r="H134" s="535"/>
      <c r="I134" s="536"/>
      <c r="J134" s="534" t="str">
        <f>$J$10</f>
        <v>2012 BILL</v>
      </c>
      <c r="K134" s="535"/>
      <c r="L134" s="536"/>
      <c r="M134" s="534" t="s">
        <v>73</v>
      </c>
      <c r="N134" s="535"/>
      <c r="O134" s="536"/>
      <c r="P134" s="147"/>
    </row>
    <row r="135" spans="2:16" ht="39" thickBot="1">
      <c r="B135" s="154"/>
      <c r="C135" s="31"/>
      <c r="D135" s="31"/>
      <c r="E135" s="33"/>
      <c r="F135" s="38"/>
      <c r="G135" s="170" t="s">
        <v>67</v>
      </c>
      <c r="H135" s="171" t="s">
        <v>68</v>
      </c>
      <c r="I135" s="172" t="s">
        <v>69</v>
      </c>
      <c r="J135" s="173" t="s">
        <v>67</v>
      </c>
      <c r="K135" s="171" t="s">
        <v>68</v>
      </c>
      <c r="L135" s="172" t="s">
        <v>69</v>
      </c>
      <c r="M135" s="174" t="s">
        <v>80</v>
      </c>
      <c r="N135" s="175" t="s">
        <v>81</v>
      </c>
      <c r="O135" s="176" t="s">
        <v>76</v>
      </c>
      <c r="P135" s="147"/>
    </row>
    <row r="136" spans="2:16" ht="18" customHeight="1" thickBot="1">
      <c r="B136" s="154"/>
      <c r="C136" s="528" t="s">
        <v>70</v>
      </c>
      <c r="D136" s="529"/>
      <c r="E136" s="31"/>
      <c r="F136" s="180" t="s">
        <v>71</v>
      </c>
      <c r="G136" s="190"/>
      <c r="H136" s="191"/>
      <c r="I136" s="192">
        <f>$I$58</f>
        <v>11.13</v>
      </c>
      <c r="J136" s="190"/>
      <c r="K136" s="191"/>
      <c r="L136" s="195">
        <f>'Rate Schedule (Part 1)'!$E$12</f>
        <v>10.68</v>
      </c>
      <c r="M136" s="204">
        <f aca="true" t="shared" si="10" ref="M136:M143">+L136-I136</f>
        <v>-0.45000000000000107</v>
      </c>
      <c r="N136" s="205">
        <f>+M136/I136</f>
        <v>-0.04043126684636128</v>
      </c>
      <c r="O136" s="206">
        <f>L136/L153</f>
        <v>0.07584885763823292</v>
      </c>
      <c r="P136" s="147"/>
    </row>
    <row r="137" spans="2:16" ht="18" customHeight="1" thickBot="1">
      <c r="B137" s="154"/>
      <c r="C137" s="422">
        <v>1000</v>
      </c>
      <c r="D137" s="153" t="s">
        <v>16</v>
      </c>
      <c r="E137" s="31"/>
      <c r="F137" s="181" t="s">
        <v>72</v>
      </c>
      <c r="G137" s="184">
        <f>+C137</f>
        <v>1000</v>
      </c>
      <c r="H137" s="178">
        <f>$H$59</f>
        <v>0.0079</v>
      </c>
      <c r="I137" s="193">
        <f>+G137*H137</f>
        <v>7.9</v>
      </c>
      <c r="J137" s="184">
        <f>+C137</f>
        <v>1000</v>
      </c>
      <c r="K137" s="177">
        <f>'Rate Schedule (Part 1)'!$E$13</f>
        <v>0.0076</v>
      </c>
      <c r="L137" s="197">
        <f>+J137*K137</f>
        <v>7.6</v>
      </c>
      <c r="M137" s="207">
        <f t="shared" si="10"/>
        <v>-0.3000000000000007</v>
      </c>
      <c r="N137" s="201">
        <f>+M137/I137</f>
        <v>-0.03797468354430389</v>
      </c>
      <c r="O137" s="208">
        <f>L137/L153</f>
        <v>0.053974842514098335</v>
      </c>
      <c r="P137" s="147"/>
    </row>
    <row r="138" spans="2:16" ht="18" customHeight="1" thickBot="1">
      <c r="B138" s="154"/>
      <c r="C138" s="63"/>
      <c r="D138" s="64"/>
      <c r="E138" s="31"/>
      <c r="F138" s="181" t="s">
        <v>222</v>
      </c>
      <c r="G138" s="184">
        <f>G137</f>
        <v>1000</v>
      </c>
      <c r="H138" s="178">
        <f>$H$60</f>
        <v>0.0016</v>
      </c>
      <c r="I138" s="193">
        <f>+G138*H138</f>
        <v>1.6</v>
      </c>
      <c r="J138" s="184">
        <f>J137</f>
        <v>1000</v>
      </c>
      <c r="K138" s="177">
        <f>'Rate Schedule (Part 1)'!$E$14</f>
        <v>0.0012</v>
      </c>
      <c r="L138" s="197">
        <f>+J138*K138</f>
        <v>1.2</v>
      </c>
      <c r="M138" s="207">
        <f t="shared" si="10"/>
        <v>-0.40000000000000013</v>
      </c>
      <c r="N138" s="201">
        <f>+M138/I138</f>
        <v>-0.25000000000000006</v>
      </c>
      <c r="O138" s="208">
        <f>L138/L153</f>
        <v>0.008522343554857632</v>
      </c>
      <c r="P138" s="147"/>
    </row>
    <row r="139" spans="2:16" ht="18" customHeight="1">
      <c r="B139" s="154"/>
      <c r="C139" s="63"/>
      <c r="D139" s="64"/>
      <c r="E139" s="31"/>
      <c r="F139" s="181" t="s">
        <v>271</v>
      </c>
      <c r="G139" s="203"/>
      <c r="H139" s="202"/>
      <c r="I139" s="192">
        <f>$I$61</f>
        <v>1.45</v>
      </c>
      <c r="J139" s="203"/>
      <c r="K139" s="202"/>
      <c r="L139" s="197">
        <f>'Rate Schedule (Part 1)'!$E$16</f>
        <v>-0.9439520067604836</v>
      </c>
      <c r="M139" s="207">
        <f t="shared" si="10"/>
        <v>-2.3939520067604834</v>
      </c>
      <c r="N139" s="201">
        <f>+M139/I139</f>
        <v>-1.651001383972747</v>
      </c>
      <c r="O139" s="208">
        <f>L139/L153</f>
        <v>-0.006703902750758446</v>
      </c>
      <c r="P139" s="147"/>
    </row>
    <row r="140" spans="1:16" ht="18" customHeight="1" thickBot="1">
      <c r="A140" s="147"/>
      <c r="B140" s="154"/>
      <c r="C140" s="31"/>
      <c r="D140" s="31"/>
      <c r="E140" s="31"/>
      <c r="F140" s="181" t="s">
        <v>160</v>
      </c>
      <c r="G140" s="184">
        <f>C137</f>
        <v>1000</v>
      </c>
      <c r="H140" s="178">
        <f>$H$62</f>
        <v>0</v>
      </c>
      <c r="I140" s="193">
        <f>+G140*H140</f>
        <v>0</v>
      </c>
      <c r="J140" s="184">
        <f>C137</f>
        <v>1000</v>
      </c>
      <c r="K140" s="177">
        <f>'Rate Schedule (Part 1)'!$E$15</f>
        <v>0.0007</v>
      </c>
      <c r="L140" s="197">
        <f>J140*K140</f>
        <v>0.7</v>
      </c>
      <c r="M140" s="207">
        <f t="shared" si="10"/>
        <v>0.7</v>
      </c>
      <c r="N140" s="201" t="e">
        <f>+M140/I140</f>
        <v>#DIV/0!</v>
      </c>
      <c r="O140" s="208">
        <f>L140/$L$153</f>
        <v>0.004971367073666952</v>
      </c>
      <c r="P140" s="147"/>
    </row>
    <row r="141" spans="1:16" ht="18" customHeight="1">
      <c r="A141" s="147"/>
      <c r="B141" s="154"/>
      <c r="C141" s="63"/>
      <c r="D141" s="64"/>
      <c r="E141" s="31"/>
      <c r="F141" s="419" t="s">
        <v>270</v>
      </c>
      <c r="G141" s="203"/>
      <c r="H141" s="202"/>
      <c r="I141" s="192">
        <f>$I$63</f>
        <v>0</v>
      </c>
      <c r="J141" s="203"/>
      <c r="K141" s="202"/>
      <c r="L141" s="211">
        <f>$L$63</f>
        <v>1.474275192154794</v>
      </c>
      <c r="M141" s="207">
        <f t="shared" si="10"/>
        <v>1.474275192154794</v>
      </c>
      <c r="N141" s="201" t="e">
        <f aca="true" t="shared" si="11" ref="N141:N153">+M141/I141</f>
        <v>#DIV/0!</v>
      </c>
      <c r="O141" s="208">
        <f>L141/$L$153</f>
        <v>0.010470233068289089</v>
      </c>
      <c r="P141" s="147"/>
    </row>
    <row r="142" spans="1:16" ht="18" customHeight="1">
      <c r="A142" s="147"/>
      <c r="B142" s="154"/>
      <c r="C142" s="63"/>
      <c r="D142" s="64"/>
      <c r="E142" s="31"/>
      <c r="F142" s="419" t="s">
        <v>272</v>
      </c>
      <c r="G142" s="203"/>
      <c r="H142" s="202"/>
      <c r="I142" s="193">
        <f>I114</f>
        <v>0.13</v>
      </c>
      <c r="J142" s="194">
        <f>G142</f>
        <v>0</v>
      </c>
      <c r="K142" s="420">
        <f>$K$64</f>
        <v>0</v>
      </c>
      <c r="L142" s="193">
        <f>+J142*K142</f>
        <v>0</v>
      </c>
      <c r="M142" s="207">
        <f t="shared" si="10"/>
        <v>-0.13</v>
      </c>
      <c r="N142" s="201">
        <f t="shared" si="11"/>
        <v>-1</v>
      </c>
      <c r="O142" s="208">
        <f>L142/$L$153</f>
        <v>0</v>
      </c>
      <c r="P142" s="147"/>
    </row>
    <row r="143" spans="1:16" ht="18" customHeight="1" thickBot="1">
      <c r="A143" s="147"/>
      <c r="B143" s="25"/>
      <c r="C143" s="31"/>
      <c r="D143" s="31"/>
      <c r="E143" s="31"/>
      <c r="F143" s="182" t="s">
        <v>221</v>
      </c>
      <c r="G143" s="209">
        <f>+C137</f>
        <v>1000</v>
      </c>
      <c r="H143" s="178">
        <f>$H$65</f>
        <v>0.0086</v>
      </c>
      <c r="I143" s="211">
        <f>+G143*H143</f>
        <v>8.6</v>
      </c>
      <c r="J143" s="209">
        <f>+C137</f>
        <v>1000</v>
      </c>
      <c r="K143" s="210">
        <f>K115</f>
        <v>-0.008359707675681775</v>
      </c>
      <c r="L143" s="211">
        <f>+J143*K143</f>
        <v>-8.359707675681776</v>
      </c>
      <c r="M143" s="207">
        <f t="shared" si="10"/>
        <v>-16.959707675681777</v>
      </c>
      <c r="N143" s="201">
        <f t="shared" si="11"/>
        <v>-1.9720590320560207</v>
      </c>
      <c r="O143" s="208">
        <f>L143/$L$153</f>
        <v>-0.05937025069195038</v>
      </c>
      <c r="P143" s="361"/>
    </row>
    <row r="144" spans="1:16" ht="18" customHeight="1" thickBot="1">
      <c r="A144" s="147"/>
      <c r="F144" s="218" t="s">
        <v>223</v>
      </c>
      <c r="G144" s="530"/>
      <c r="H144" s="531"/>
      <c r="I144" s="220">
        <f>SUM(I136:I143)</f>
        <v>30.810000000000002</v>
      </c>
      <c r="J144" s="530"/>
      <c r="K144" s="531"/>
      <c r="L144" s="220">
        <f>SUM(L136:L143)</f>
        <v>12.350615509712537</v>
      </c>
      <c r="M144" s="222">
        <f>SUM(M136:M143)</f>
        <v>-18.45938449028747</v>
      </c>
      <c r="N144" s="223">
        <f t="shared" si="11"/>
        <v>-0.5991361405481165</v>
      </c>
      <c r="O144" s="225">
        <f>L144/L153</f>
        <v>0.08771349040643611</v>
      </c>
      <c r="P144" s="361"/>
    </row>
    <row r="145" spans="1:16" ht="18" customHeight="1" thickBot="1">
      <c r="A145" s="147"/>
      <c r="F145" s="181" t="s">
        <v>224</v>
      </c>
      <c r="G145" s="348">
        <f>C137*'Other Electriciy Rates'!$L$10</f>
        <v>1079.1</v>
      </c>
      <c r="H145" s="349">
        <f>'Other Electriciy Rates'!$B$10</f>
        <v>0.0102</v>
      </c>
      <c r="I145" s="193">
        <f>+G145*H145</f>
        <v>11.00682</v>
      </c>
      <c r="J145" s="348">
        <f>'BILL IMPACTS '!C137*'Other Electriciy Rates'!$L$25</f>
        <v>1080</v>
      </c>
      <c r="K145" s="177">
        <f>'Other Electriciy Rates'!$B$25</f>
        <v>0.010382189432402402</v>
      </c>
      <c r="L145" s="193">
        <f>+J145*K145</f>
        <v>11.212764586994595</v>
      </c>
      <c r="M145" s="350">
        <f>+L145-I145</f>
        <v>0.20594458699459572</v>
      </c>
      <c r="N145" s="205">
        <f t="shared" si="11"/>
        <v>0.0187106345878824</v>
      </c>
      <c r="O145" s="206">
        <f>L145/L153</f>
        <v>0.07963252667509108</v>
      </c>
      <c r="P145" s="361"/>
    </row>
    <row r="146" spans="1:16" ht="18" customHeight="1" thickBot="1">
      <c r="A146" s="147"/>
      <c r="B146" s="25"/>
      <c r="F146" s="218" t="s">
        <v>225</v>
      </c>
      <c r="G146" s="530"/>
      <c r="H146" s="531"/>
      <c r="I146" s="220">
        <f>I144+I145</f>
        <v>41.81682</v>
      </c>
      <c r="J146" s="530"/>
      <c r="K146" s="531"/>
      <c r="L146" s="220">
        <f>L144+L145</f>
        <v>23.56338009670713</v>
      </c>
      <c r="M146" s="220">
        <f>M144+M145</f>
        <v>-18.253439903292872</v>
      </c>
      <c r="N146" s="223">
        <f t="shared" si="11"/>
        <v>-0.43650951706258084</v>
      </c>
      <c r="O146" s="351">
        <f>L146/L153</f>
        <v>0.1673460170815272</v>
      </c>
      <c r="P146" s="361"/>
    </row>
    <row r="147" spans="1:16" ht="18" customHeight="1">
      <c r="A147" s="147"/>
      <c r="B147" s="25"/>
      <c r="C147" s="25"/>
      <c r="F147" s="183" t="s">
        <v>77</v>
      </c>
      <c r="G147" s="185">
        <f>+'Other Electriciy Rates'!$L$10*C137</f>
        <v>1079.1</v>
      </c>
      <c r="H147" s="186">
        <f>'Other Electriciy Rates'!$C$10+'Other Electriciy Rates'!$D$10</f>
        <v>0.012986887220832175</v>
      </c>
      <c r="I147" s="187">
        <f>+G147*H147</f>
        <v>14.014149999999999</v>
      </c>
      <c r="J147" s="185">
        <f>J145</f>
        <v>1080</v>
      </c>
      <c r="K147" s="186">
        <f>'Other Electriciy Rates'!$C$25+'Other Electriciy Rates'!$D$25</f>
        <v>0.01278148148148148</v>
      </c>
      <c r="L147" s="214">
        <f>+J147*K147</f>
        <v>13.803999999999998</v>
      </c>
      <c r="M147" s="215">
        <f>+L147-I147</f>
        <v>-0.2101500000000005</v>
      </c>
      <c r="N147" s="216">
        <f t="shared" si="11"/>
        <v>-0.014995558060959853</v>
      </c>
      <c r="O147" s="282">
        <f>L147/L153</f>
        <v>0.09803535869271228</v>
      </c>
      <c r="P147" s="361"/>
    </row>
    <row r="148" spans="1:16" ht="18" customHeight="1">
      <c r="A148" s="147"/>
      <c r="B148" s="25"/>
      <c r="C148" s="31"/>
      <c r="D148" s="31"/>
      <c r="E148" s="31"/>
      <c r="F148" s="179" t="s">
        <v>78</v>
      </c>
      <c r="G148" s="185">
        <v>600</v>
      </c>
      <c r="H148" s="186">
        <f>'Other Electriciy Rates'!$J$11</f>
        <v>0.075</v>
      </c>
      <c r="I148" s="187">
        <f>+G148*H148</f>
        <v>45</v>
      </c>
      <c r="J148" s="185">
        <v>600</v>
      </c>
      <c r="K148" s="186">
        <f>'Other Electriciy Rates'!$J$25</f>
        <v>0.075</v>
      </c>
      <c r="L148" s="214">
        <f>+J148*K148</f>
        <v>45</v>
      </c>
      <c r="M148" s="215">
        <f>+L148-I148</f>
        <v>0</v>
      </c>
      <c r="N148" s="216">
        <f t="shared" si="11"/>
        <v>0</v>
      </c>
      <c r="O148" s="217">
        <f>L148/L153</f>
        <v>0.3195878833071612</v>
      </c>
      <c r="P148" s="361"/>
    </row>
    <row r="149" spans="1:16" ht="18" customHeight="1">
      <c r="A149" s="147"/>
      <c r="B149" s="25"/>
      <c r="C149" s="31"/>
      <c r="D149" s="31"/>
      <c r="E149" s="31"/>
      <c r="F149" s="179" t="s">
        <v>78</v>
      </c>
      <c r="G149" s="185">
        <f>G147-G148</f>
        <v>479.0999999999999</v>
      </c>
      <c r="H149" s="186">
        <f>'Other Electriciy Rates'!$K$10</f>
        <v>0.088</v>
      </c>
      <c r="I149" s="187">
        <f>+G149*H149</f>
        <v>42.16079999999999</v>
      </c>
      <c r="J149" s="185">
        <f>J147-J148</f>
        <v>480</v>
      </c>
      <c r="K149" s="186">
        <f>'Other Electriciy Rates'!$K$25</f>
        <v>0.088</v>
      </c>
      <c r="L149" s="214">
        <f>+J149*K149</f>
        <v>42.239999999999995</v>
      </c>
      <c r="M149" s="215">
        <f>+L149-I149</f>
        <v>0.07920000000000726</v>
      </c>
      <c r="N149" s="216">
        <f t="shared" si="11"/>
        <v>0.0018785222291798848</v>
      </c>
      <c r="O149" s="217">
        <f>L149/L153</f>
        <v>0.29998649313098863</v>
      </c>
      <c r="P149" s="147"/>
    </row>
    <row r="150" spans="1:16" ht="18" customHeight="1" thickBot="1">
      <c r="A150" s="147"/>
      <c r="B150" s="25"/>
      <c r="C150" s="31"/>
      <c r="D150" s="31"/>
      <c r="E150" s="31"/>
      <c r="F150" s="181" t="s">
        <v>235</v>
      </c>
      <c r="G150" s="279">
        <f>G147</f>
        <v>1079.1</v>
      </c>
      <c r="H150" s="186">
        <f>H71</f>
        <v>0</v>
      </c>
      <c r="I150" s="189">
        <f>+G150*H150</f>
        <v>0</v>
      </c>
      <c r="J150" s="279">
        <f>G150</f>
        <v>1079.1</v>
      </c>
      <c r="K150" s="186">
        <f>K71</f>
        <v>0</v>
      </c>
      <c r="L150" s="211">
        <f>+J150*K150</f>
        <v>0</v>
      </c>
      <c r="M150" s="212">
        <f>+L150-I150</f>
        <v>0</v>
      </c>
      <c r="N150" s="213" t="e">
        <f t="shared" si="11"/>
        <v>#DIV/0!</v>
      </c>
      <c r="O150" s="226">
        <f>L150/L153</f>
        <v>0</v>
      </c>
      <c r="P150" s="147"/>
    </row>
    <row r="151" spans="2:16" ht="18" customHeight="1" thickBot="1">
      <c r="B151" s="154"/>
      <c r="C151" s="31"/>
      <c r="D151" s="31"/>
      <c r="E151" s="31"/>
      <c r="F151" s="218" t="s">
        <v>192</v>
      </c>
      <c r="G151" s="530"/>
      <c r="H151" s="531"/>
      <c r="I151" s="220">
        <f>SUM(I146:I150)</f>
        <v>142.99177</v>
      </c>
      <c r="J151" s="530"/>
      <c r="K151" s="531"/>
      <c r="L151" s="220">
        <f>SUM(L146:L150)</f>
        <v>124.60738009670713</v>
      </c>
      <c r="M151" s="220">
        <f>SUM(M146:M149)</f>
        <v>-18.384389903292863</v>
      </c>
      <c r="N151" s="223">
        <f t="shared" si="11"/>
        <v>-0.12856956664913557</v>
      </c>
      <c r="O151" s="351">
        <f>L151/L153</f>
        <v>0.8849557522123893</v>
      </c>
      <c r="P151" s="147"/>
    </row>
    <row r="152" spans="2:16" ht="18" customHeight="1" thickBot="1">
      <c r="B152" s="154"/>
      <c r="C152" s="31"/>
      <c r="D152" s="31"/>
      <c r="E152" s="31"/>
      <c r="F152" s="278" t="s">
        <v>193</v>
      </c>
      <c r="G152" s="279"/>
      <c r="H152" s="283">
        <f>H125</f>
        <v>0.13</v>
      </c>
      <c r="I152" s="280">
        <f>I151*H152</f>
        <v>18.588930100000002</v>
      </c>
      <c r="J152" s="279"/>
      <c r="K152" s="283">
        <f>K125</f>
        <v>0.13</v>
      </c>
      <c r="L152" s="281">
        <f>L151*K152</f>
        <v>16.198959412571927</v>
      </c>
      <c r="M152" s="212">
        <f>+L152-I152</f>
        <v>-2.3899706874280753</v>
      </c>
      <c r="N152" s="213">
        <f t="shared" si="11"/>
        <v>-0.1285695666491357</v>
      </c>
      <c r="O152" s="226">
        <f>L152/L153</f>
        <v>0.1150442477876106</v>
      </c>
      <c r="P152" s="147"/>
    </row>
    <row r="153" spans="2:16" ht="18" customHeight="1" thickBot="1">
      <c r="B153" s="154"/>
      <c r="C153" s="31"/>
      <c r="D153" s="31"/>
      <c r="E153" s="35"/>
      <c r="F153" s="219" t="s">
        <v>79</v>
      </c>
      <c r="G153" s="542"/>
      <c r="H153" s="543"/>
      <c r="I153" s="221">
        <f>I151+I152</f>
        <v>161.5807001</v>
      </c>
      <c r="J153" s="542"/>
      <c r="K153" s="543"/>
      <c r="L153" s="221">
        <f>L151+L152</f>
        <v>140.80633950927907</v>
      </c>
      <c r="M153" s="221">
        <f>M151+M152</f>
        <v>-20.77436059072094</v>
      </c>
      <c r="N153" s="223">
        <f t="shared" si="11"/>
        <v>-0.12856956664913557</v>
      </c>
      <c r="O153" s="225">
        <f>SUM(O151:O152)</f>
        <v>0.9999999999999999</v>
      </c>
      <c r="P153" s="147"/>
    </row>
    <row r="154" spans="2:18" ht="18" customHeight="1" thickBot="1">
      <c r="B154" s="148"/>
      <c r="C154" s="160"/>
      <c r="D154" s="160"/>
      <c r="E154" s="160"/>
      <c r="F154" s="161"/>
      <c r="G154" s="162"/>
      <c r="H154" s="163"/>
      <c r="I154" s="164"/>
      <c r="J154" s="162"/>
      <c r="K154" s="165"/>
      <c r="L154" s="164"/>
      <c r="M154" s="169"/>
      <c r="N154" s="167"/>
      <c r="O154" s="168"/>
      <c r="P154" s="149"/>
      <c r="R154" s="25"/>
    </row>
    <row r="155" ht="18" customHeight="1" thickBot="1">
      <c r="R155" s="25"/>
    </row>
    <row r="156" spans="2:16" ht="18" customHeight="1">
      <c r="B156" s="156"/>
      <c r="C156" s="539"/>
      <c r="D156" s="539"/>
      <c r="E156" s="539"/>
      <c r="F156" s="539"/>
      <c r="G156" s="539"/>
      <c r="H156" s="539"/>
      <c r="I156" s="539"/>
      <c r="J156" s="539"/>
      <c r="K156" s="539"/>
      <c r="L156" s="539"/>
      <c r="M156" s="539"/>
      <c r="N156" s="539"/>
      <c r="O156" s="539"/>
      <c r="P156" s="146"/>
    </row>
    <row r="157" spans="2:16" ht="23.25">
      <c r="B157" s="154"/>
      <c r="C157" s="540" t="s">
        <v>48</v>
      </c>
      <c r="D157" s="540"/>
      <c r="E157" s="540"/>
      <c r="F157" s="540"/>
      <c r="G157" s="540"/>
      <c r="H157" s="540"/>
      <c r="I157" s="540"/>
      <c r="J157" s="540"/>
      <c r="K157" s="540"/>
      <c r="L157" s="540"/>
      <c r="M157" s="540"/>
      <c r="N157" s="540"/>
      <c r="O157" s="540"/>
      <c r="P157" s="147"/>
    </row>
    <row r="158" spans="2:16" ht="18" customHeight="1" thickBot="1">
      <c r="B158" s="154"/>
      <c r="C158" s="541"/>
      <c r="D158" s="541"/>
      <c r="E158" s="541"/>
      <c r="F158" s="541"/>
      <c r="G158" s="541"/>
      <c r="H158" s="541"/>
      <c r="I158" s="541"/>
      <c r="J158" s="541"/>
      <c r="K158" s="541"/>
      <c r="L158" s="541"/>
      <c r="M158" s="541"/>
      <c r="N158" s="541"/>
      <c r="O158" s="541"/>
      <c r="P158" s="147"/>
    </row>
    <row r="159" spans="2:16" ht="18" customHeight="1" thickBot="1">
      <c r="B159" s="154"/>
      <c r="C159" s="155"/>
      <c r="D159" s="155"/>
      <c r="E159" s="31"/>
      <c r="F159" s="37"/>
      <c r="G159" s="534" t="str">
        <f>$G$10</f>
        <v>2011 BILL</v>
      </c>
      <c r="H159" s="535"/>
      <c r="I159" s="536"/>
      <c r="J159" s="534" t="str">
        <f>$J$10</f>
        <v>2012 BILL</v>
      </c>
      <c r="K159" s="535"/>
      <c r="L159" s="536"/>
      <c r="M159" s="534" t="s">
        <v>73</v>
      </c>
      <c r="N159" s="535"/>
      <c r="O159" s="536"/>
      <c r="P159" s="147"/>
    </row>
    <row r="160" spans="2:16" ht="39" thickBot="1">
      <c r="B160" s="154"/>
      <c r="C160" s="31"/>
      <c r="D160" s="31"/>
      <c r="E160" s="33"/>
      <c r="F160" s="38"/>
      <c r="G160" s="170" t="s">
        <v>67</v>
      </c>
      <c r="H160" s="171" t="s">
        <v>68</v>
      </c>
      <c r="I160" s="172" t="s">
        <v>69</v>
      </c>
      <c r="J160" s="173" t="s">
        <v>67</v>
      </c>
      <c r="K160" s="171" t="s">
        <v>68</v>
      </c>
      <c r="L160" s="172" t="s">
        <v>69</v>
      </c>
      <c r="M160" s="174" t="s">
        <v>80</v>
      </c>
      <c r="N160" s="175" t="s">
        <v>81</v>
      </c>
      <c r="O160" s="176" t="s">
        <v>76</v>
      </c>
      <c r="P160" s="147"/>
    </row>
    <row r="161" spans="2:16" ht="18" customHeight="1" thickBot="1">
      <c r="B161" s="154"/>
      <c r="C161" s="528" t="s">
        <v>70</v>
      </c>
      <c r="D161" s="529"/>
      <c r="E161" s="31"/>
      <c r="F161" s="180" t="s">
        <v>71</v>
      </c>
      <c r="G161" s="190"/>
      <c r="H161" s="191"/>
      <c r="I161" s="192">
        <f>$I$58</f>
        <v>11.13</v>
      </c>
      <c r="J161" s="190"/>
      <c r="K161" s="191"/>
      <c r="L161" s="195">
        <f>'Rate Schedule (Part 1)'!$E$12</f>
        <v>10.68</v>
      </c>
      <c r="M161" s="204">
        <f aca="true" t="shared" si="12" ref="M161:M168">+L161-I161</f>
        <v>-0.45000000000000107</v>
      </c>
      <c r="N161" s="205">
        <f>+M161/I161</f>
        <v>-0.04043126684636128</v>
      </c>
      <c r="O161" s="206">
        <f>L161/L178</f>
        <v>0.051031457405993776</v>
      </c>
      <c r="P161" s="147"/>
    </row>
    <row r="162" spans="2:16" ht="18" customHeight="1" thickBot="1">
      <c r="B162" s="154"/>
      <c r="C162" s="150">
        <v>1500</v>
      </c>
      <c r="D162" s="153" t="s">
        <v>16</v>
      </c>
      <c r="E162" s="31"/>
      <c r="F162" s="181" t="s">
        <v>72</v>
      </c>
      <c r="G162" s="184">
        <f>+C162</f>
        <v>1500</v>
      </c>
      <c r="H162" s="178">
        <f>$H$59</f>
        <v>0.0079</v>
      </c>
      <c r="I162" s="193">
        <f>+G162*H162</f>
        <v>11.850000000000001</v>
      </c>
      <c r="J162" s="184">
        <f>+C162</f>
        <v>1500</v>
      </c>
      <c r="K162" s="177">
        <f>'Rate Schedule (Part 1)'!$E$13</f>
        <v>0.0076</v>
      </c>
      <c r="L162" s="197">
        <f>+J162*K162</f>
        <v>11.4</v>
      </c>
      <c r="M162" s="207">
        <f t="shared" si="12"/>
        <v>-0.45000000000000107</v>
      </c>
      <c r="N162" s="201">
        <f>+M162/I162</f>
        <v>-0.03797468354430388</v>
      </c>
      <c r="O162" s="208">
        <f>L162/L178</f>
        <v>0.05447178037718437</v>
      </c>
      <c r="P162" s="147"/>
    </row>
    <row r="163" spans="2:16" ht="18" customHeight="1" thickBot="1">
      <c r="B163" s="154"/>
      <c r="C163" s="63"/>
      <c r="D163" s="64"/>
      <c r="E163" s="31"/>
      <c r="F163" s="181" t="s">
        <v>222</v>
      </c>
      <c r="G163" s="184">
        <f>G162</f>
        <v>1500</v>
      </c>
      <c r="H163" s="178">
        <f>$H$60</f>
        <v>0.0016</v>
      </c>
      <c r="I163" s="193">
        <f>+G163*H163</f>
        <v>2.4</v>
      </c>
      <c r="J163" s="184">
        <f>J162</f>
        <v>1500</v>
      </c>
      <c r="K163" s="177">
        <f>'Rate Schedule (Part 1)'!$E$14</f>
        <v>0.0012</v>
      </c>
      <c r="L163" s="197">
        <f>+J163*K163</f>
        <v>1.7999999999999998</v>
      </c>
      <c r="M163" s="207">
        <f t="shared" si="12"/>
        <v>-0.6000000000000001</v>
      </c>
      <c r="N163" s="201">
        <f>+M163/I163</f>
        <v>-0.25000000000000006</v>
      </c>
      <c r="O163" s="208">
        <f>L163/L178</f>
        <v>0.00860080742797648</v>
      </c>
      <c r="P163" s="147"/>
    </row>
    <row r="164" spans="2:16" ht="18" customHeight="1">
      <c r="B164" s="154"/>
      <c r="C164" s="63"/>
      <c r="D164" s="64"/>
      <c r="E164" s="31"/>
      <c r="F164" s="181" t="s">
        <v>271</v>
      </c>
      <c r="G164" s="203"/>
      <c r="H164" s="202"/>
      <c r="I164" s="192">
        <f>$I$61</f>
        <v>1.45</v>
      </c>
      <c r="J164" s="203"/>
      <c r="K164" s="202"/>
      <c r="L164" s="197">
        <f>'Rate Schedule (Part 1)'!$E$16</f>
        <v>-0.9439520067604836</v>
      </c>
      <c r="M164" s="207">
        <f t="shared" si="12"/>
        <v>-2.3939520067604834</v>
      </c>
      <c r="N164" s="201">
        <f>+M164/I164</f>
        <v>-1.651001383972747</v>
      </c>
      <c r="O164" s="208">
        <f>L164/L178</f>
        <v>-0.004510416350777151</v>
      </c>
      <c r="P164" s="147"/>
    </row>
    <row r="165" spans="1:16" ht="18" customHeight="1" thickBot="1">
      <c r="A165" s="147"/>
      <c r="B165" s="154"/>
      <c r="C165" s="31"/>
      <c r="D165" s="31"/>
      <c r="E165" s="31"/>
      <c r="F165" s="181" t="s">
        <v>160</v>
      </c>
      <c r="G165" s="184">
        <f>C162</f>
        <v>1500</v>
      </c>
      <c r="H165" s="178">
        <f>$H$62</f>
        <v>0</v>
      </c>
      <c r="I165" s="193">
        <f>+G165*H165</f>
        <v>0</v>
      </c>
      <c r="J165" s="184">
        <f>C162</f>
        <v>1500</v>
      </c>
      <c r="K165" s="177">
        <f>'Rate Schedule (Part 1)'!$E$15</f>
        <v>0.0007</v>
      </c>
      <c r="L165" s="197">
        <f>J165*K165</f>
        <v>1.05</v>
      </c>
      <c r="M165" s="207">
        <f t="shared" si="12"/>
        <v>1.05</v>
      </c>
      <c r="N165" s="201" t="e">
        <f>+M165/I165</f>
        <v>#DIV/0!</v>
      </c>
      <c r="O165" s="208">
        <f>L165/$L$178</f>
        <v>0.005017137666319614</v>
      </c>
      <c r="P165" s="147"/>
    </row>
    <row r="166" spans="1:16" ht="18" customHeight="1">
      <c r="A166" s="147"/>
      <c r="B166" s="154"/>
      <c r="C166" s="63"/>
      <c r="D166" s="64"/>
      <c r="E166" s="31"/>
      <c r="F166" s="419" t="s">
        <v>270</v>
      </c>
      <c r="G166" s="203"/>
      <c r="H166" s="202"/>
      <c r="I166" s="192">
        <f>$I$63</f>
        <v>0</v>
      </c>
      <c r="J166" s="203"/>
      <c r="K166" s="202"/>
      <c r="L166" s="211">
        <f>$L$63</f>
        <v>1.474275192154794</v>
      </c>
      <c r="M166" s="207">
        <f t="shared" si="12"/>
        <v>1.474275192154794</v>
      </c>
      <c r="N166" s="201" t="e">
        <f aca="true" t="shared" si="13" ref="N166:N178">+M166/I166</f>
        <v>#DIV/0!</v>
      </c>
      <c r="O166" s="208">
        <f>L166/$L$178</f>
        <v>0.007044420568648003</v>
      </c>
      <c r="P166" s="147"/>
    </row>
    <row r="167" spans="1:16" ht="18" customHeight="1">
      <c r="A167" s="147"/>
      <c r="B167" s="154"/>
      <c r="C167" s="63"/>
      <c r="D167" s="64"/>
      <c r="E167" s="31"/>
      <c r="F167" s="419" t="s">
        <v>272</v>
      </c>
      <c r="G167" s="203"/>
      <c r="H167" s="202"/>
      <c r="I167" s="193">
        <f>I142</f>
        <v>0.13</v>
      </c>
      <c r="J167" s="194">
        <f>G167</f>
        <v>0</v>
      </c>
      <c r="K167" s="420">
        <f>$K$64</f>
        <v>0</v>
      </c>
      <c r="L167" s="193">
        <f>+J167*K167</f>
        <v>0</v>
      </c>
      <c r="M167" s="207">
        <f t="shared" si="12"/>
        <v>-0.13</v>
      </c>
      <c r="N167" s="201">
        <f t="shared" si="13"/>
        <v>-1</v>
      </c>
      <c r="O167" s="208">
        <f>L167/$L$178</f>
        <v>0</v>
      </c>
      <c r="P167" s="147"/>
    </row>
    <row r="168" spans="1:16" ht="18" customHeight="1" thickBot="1">
      <c r="A168" s="147"/>
      <c r="B168" s="25"/>
      <c r="C168" s="31"/>
      <c r="D168" s="31"/>
      <c r="E168" s="31"/>
      <c r="F168" s="182" t="s">
        <v>221</v>
      </c>
      <c r="G168" s="209">
        <f>+C162</f>
        <v>1500</v>
      </c>
      <c r="H168" s="178">
        <f>$H$65</f>
        <v>0.0086</v>
      </c>
      <c r="I168" s="211">
        <f>+G168*H168</f>
        <v>12.9</v>
      </c>
      <c r="J168" s="209">
        <f>+C162</f>
        <v>1500</v>
      </c>
      <c r="K168" s="210">
        <f>K143</f>
        <v>-0.008359707675681775</v>
      </c>
      <c r="L168" s="211">
        <f>+J168*K168</f>
        <v>-12.539561513522663</v>
      </c>
      <c r="M168" s="207">
        <f t="shared" si="12"/>
        <v>-25.439561513522662</v>
      </c>
      <c r="N168" s="201">
        <f t="shared" si="13"/>
        <v>-1.9720590320560203</v>
      </c>
      <c r="O168" s="208">
        <f>L168/$L$178</f>
        <v>-0.059916863227263174</v>
      </c>
      <c r="P168" s="361"/>
    </row>
    <row r="169" spans="1:16" ht="18" customHeight="1" thickBot="1">
      <c r="A169" s="147"/>
      <c r="F169" s="218" t="s">
        <v>223</v>
      </c>
      <c r="G169" s="530"/>
      <c r="H169" s="531"/>
      <c r="I169" s="220">
        <f>SUM(I161:I168)</f>
        <v>39.86</v>
      </c>
      <c r="J169" s="530"/>
      <c r="K169" s="531"/>
      <c r="L169" s="220">
        <f>SUM(L161:L168)</f>
        <v>12.920761671871649</v>
      </c>
      <c r="M169" s="222">
        <f>SUM(M161:M168)</f>
        <v>-26.939238328128354</v>
      </c>
      <c r="N169" s="223">
        <f t="shared" si="13"/>
        <v>-0.6758464206755733</v>
      </c>
      <c r="O169" s="225">
        <f>L169/L178</f>
        <v>0.06173832386808193</v>
      </c>
      <c r="P169" s="361"/>
    </row>
    <row r="170" spans="1:16" ht="18" customHeight="1" thickBot="1">
      <c r="A170" s="147"/>
      <c r="F170" s="181" t="s">
        <v>224</v>
      </c>
      <c r="G170" s="348">
        <f>C162*'Other Electriciy Rates'!$L$10</f>
        <v>1618.6499999999999</v>
      </c>
      <c r="H170" s="349">
        <f>'Other Electriciy Rates'!$B$10</f>
        <v>0.0102</v>
      </c>
      <c r="I170" s="193">
        <f>+G170*H170</f>
        <v>16.51023</v>
      </c>
      <c r="J170" s="348">
        <f>'BILL IMPACTS '!C162*'Other Electriciy Rates'!$L$25</f>
        <v>1620</v>
      </c>
      <c r="K170" s="177">
        <f>'Other Electriciy Rates'!$B$25</f>
        <v>0.010382189432402402</v>
      </c>
      <c r="L170" s="193">
        <f>+J170*K170</f>
        <v>16.819146880491893</v>
      </c>
      <c r="M170" s="350">
        <f>+L170-I170</f>
        <v>0.3089168804918927</v>
      </c>
      <c r="N170" s="205">
        <f t="shared" si="13"/>
        <v>0.018710634587882344</v>
      </c>
      <c r="O170" s="206">
        <f>L170/L178</f>
        <v>0.08036569078997895</v>
      </c>
      <c r="P170" s="361"/>
    </row>
    <row r="171" spans="1:16" ht="18" customHeight="1" thickBot="1">
      <c r="A171" s="147"/>
      <c r="B171" s="25"/>
      <c r="F171" s="218" t="s">
        <v>225</v>
      </c>
      <c r="G171" s="530"/>
      <c r="H171" s="531"/>
      <c r="I171" s="220">
        <f>I169+I170</f>
        <v>56.37023</v>
      </c>
      <c r="J171" s="530"/>
      <c r="K171" s="531"/>
      <c r="L171" s="220">
        <f>L169+L170</f>
        <v>29.73990855236354</v>
      </c>
      <c r="M171" s="220">
        <f>M169+M170</f>
        <v>-26.63032144763646</v>
      </c>
      <c r="N171" s="223">
        <f t="shared" si="13"/>
        <v>-0.47241817973133093</v>
      </c>
      <c r="O171" s="351">
        <f>L171/L178</f>
        <v>0.14210401465806088</v>
      </c>
      <c r="P171" s="361"/>
    </row>
    <row r="172" spans="1:16" ht="18" customHeight="1">
      <c r="A172" s="147"/>
      <c r="B172" s="25"/>
      <c r="C172" s="25"/>
      <c r="F172" s="183" t="s">
        <v>77</v>
      </c>
      <c r="G172" s="185">
        <f>+'Other Electriciy Rates'!$L$10*C162</f>
        <v>1618.6499999999999</v>
      </c>
      <c r="H172" s="186">
        <f>'Other Electriciy Rates'!$C$10+'Other Electriciy Rates'!$D$10</f>
        <v>0.012986887220832175</v>
      </c>
      <c r="I172" s="187">
        <f>+G172*H172</f>
        <v>21.021224999999998</v>
      </c>
      <c r="J172" s="185">
        <f>J170</f>
        <v>1620</v>
      </c>
      <c r="K172" s="186">
        <f>'Other Electriciy Rates'!$C$25+'Other Electriciy Rates'!$D$25</f>
        <v>0.01278148148148148</v>
      </c>
      <c r="L172" s="214">
        <f>+J172*K172</f>
        <v>20.706</v>
      </c>
      <c r="M172" s="215">
        <f>+L172-I172</f>
        <v>-0.3152249999999981</v>
      </c>
      <c r="N172" s="216">
        <f t="shared" si="13"/>
        <v>-0.014995558060959726</v>
      </c>
      <c r="O172" s="282">
        <f>L172/L178</f>
        <v>0.09893795477982277</v>
      </c>
      <c r="P172" s="361"/>
    </row>
    <row r="173" spans="1:16" ht="18" customHeight="1">
      <c r="A173" s="147"/>
      <c r="B173" s="25"/>
      <c r="C173" s="31"/>
      <c r="D173" s="31"/>
      <c r="E173" s="31"/>
      <c r="F173" s="179" t="s">
        <v>78</v>
      </c>
      <c r="G173" s="185">
        <v>600</v>
      </c>
      <c r="H173" s="186">
        <f>'Other Electriciy Rates'!$J$11</f>
        <v>0.075</v>
      </c>
      <c r="I173" s="187">
        <f>+G173*H173</f>
        <v>45</v>
      </c>
      <c r="J173" s="185">
        <v>600</v>
      </c>
      <c r="K173" s="186">
        <f>'Other Electriciy Rates'!$J$25</f>
        <v>0.075</v>
      </c>
      <c r="L173" s="214">
        <f>+J173*K173</f>
        <v>45</v>
      </c>
      <c r="M173" s="215">
        <f>+L173-I173</f>
        <v>0</v>
      </c>
      <c r="N173" s="216">
        <f t="shared" si="13"/>
        <v>0</v>
      </c>
      <c r="O173" s="217">
        <f>L173/L178</f>
        <v>0.21502018569941198</v>
      </c>
      <c r="P173" s="361"/>
    </row>
    <row r="174" spans="1:16" ht="18" customHeight="1">
      <c r="A174" s="147"/>
      <c r="B174" s="25"/>
      <c r="C174" s="31"/>
      <c r="D174" s="31"/>
      <c r="E174" s="31"/>
      <c r="F174" s="179" t="s">
        <v>78</v>
      </c>
      <c r="G174" s="185">
        <f>G172-G173</f>
        <v>1018.6499999999999</v>
      </c>
      <c r="H174" s="186">
        <f>'Other Electriciy Rates'!$K$10</f>
        <v>0.088</v>
      </c>
      <c r="I174" s="187">
        <f>+G174*H174</f>
        <v>89.64119999999998</v>
      </c>
      <c r="J174" s="185">
        <f>J172-J173</f>
        <v>1020</v>
      </c>
      <c r="K174" s="186">
        <f>'Other Electriciy Rates'!$K$25</f>
        <v>0.088</v>
      </c>
      <c r="L174" s="214">
        <f>+J174*K174</f>
        <v>89.75999999999999</v>
      </c>
      <c r="M174" s="215">
        <f>+L174-I174</f>
        <v>0.11880000000000734</v>
      </c>
      <c r="N174" s="216">
        <f t="shared" si="13"/>
        <v>0.0013252834634075333</v>
      </c>
      <c r="O174" s="217">
        <f>L174/L178</f>
        <v>0.4288935970750937</v>
      </c>
      <c r="P174" s="147"/>
    </row>
    <row r="175" spans="1:16" ht="18" customHeight="1" thickBot="1">
      <c r="A175" s="147"/>
      <c r="B175" s="25"/>
      <c r="C175" s="31"/>
      <c r="D175" s="31"/>
      <c r="E175" s="31"/>
      <c r="F175" s="181" t="s">
        <v>235</v>
      </c>
      <c r="G175" s="279">
        <f>G172</f>
        <v>1618.6499999999999</v>
      </c>
      <c r="H175" s="186">
        <f>H150</f>
        <v>0</v>
      </c>
      <c r="I175" s="189">
        <f>+G175*H175</f>
        <v>0</v>
      </c>
      <c r="J175" s="279">
        <f>G175</f>
        <v>1618.6499999999999</v>
      </c>
      <c r="K175" s="186">
        <f>K150</f>
        <v>0</v>
      </c>
      <c r="L175" s="211">
        <f>+J175*K175</f>
        <v>0</v>
      </c>
      <c r="M175" s="212">
        <f>+L175-I175</f>
        <v>0</v>
      </c>
      <c r="N175" s="213" t="e">
        <f t="shared" si="13"/>
        <v>#DIV/0!</v>
      </c>
      <c r="O175" s="226">
        <f>L175/L178</f>
        <v>0</v>
      </c>
      <c r="P175" s="147"/>
    </row>
    <row r="176" spans="2:16" ht="18" customHeight="1" thickBot="1">
      <c r="B176" s="154"/>
      <c r="C176" s="31"/>
      <c r="D176" s="31"/>
      <c r="E176" s="31"/>
      <c r="F176" s="218" t="s">
        <v>192</v>
      </c>
      <c r="G176" s="530"/>
      <c r="H176" s="531"/>
      <c r="I176" s="220">
        <f>SUM(I171:I175)</f>
        <v>212.03265499999998</v>
      </c>
      <c r="J176" s="530"/>
      <c r="K176" s="531"/>
      <c r="L176" s="220">
        <f>SUM(L171:L175)</f>
        <v>185.20590855236352</v>
      </c>
      <c r="M176" s="220">
        <f>SUM(M171:M174)</f>
        <v>-26.826746447636452</v>
      </c>
      <c r="N176" s="223">
        <f t="shared" si="13"/>
        <v>-0.1265217682985503</v>
      </c>
      <c r="O176" s="351">
        <f>L176/L178</f>
        <v>0.8849557522123893</v>
      </c>
      <c r="P176" s="147"/>
    </row>
    <row r="177" spans="2:16" ht="18" customHeight="1" thickBot="1">
      <c r="B177" s="154"/>
      <c r="C177" s="31"/>
      <c r="D177" s="31"/>
      <c r="E177" s="31"/>
      <c r="F177" s="278" t="s">
        <v>193</v>
      </c>
      <c r="G177" s="279"/>
      <c r="H177" s="283">
        <f>H152</f>
        <v>0.13</v>
      </c>
      <c r="I177" s="280">
        <f>I176*H177</f>
        <v>27.564245149999998</v>
      </c>
      <c r="J177" s="279"/>
      <c r="K177" s="283">
        <f>K152</f>
        <v>0.13</v>
      </c>
      <c r="L177" s="281">
        <f>L176*K177</f>
        <v>24.076768111807258</v>
      </c>
      <c r="M177" s="212">
        <f>+L177-I177</f>
        <v>-3.48747703819274</v>
      </c>
      <c r="N177" s="213">
        <f t="shared" si="13"/>
        <v>-0.12652176829855033</v>
      </c>
      <c r="O177" s="226">
        <f>L177/L178</f>
        <v>0.11504424778761062</v>
      </c>
      <c r="P177" s="147"/>
    </row>
    <row r="178" spans="2:16" ht="18" customHeight="1" thickBot="1">
      <c r="B178" s="154"/>
      <c r="C178" s="31"/>
      <c r="D178" s="31"/>
      <c r="E178" s="35"/>
      <c r="F178" s="219" t="s">
        <v>79</v>
      </c>
      <c r="G178" s="542"/>
      <c r="H178" s="543"/>
      <c r="I178" s="221">
        <f>I176+I177</f>
        <v>239.59690014999998</v>
      </c>
      <c r="J178" s="542"/>
      <c r="K178" s="543"/>
      <c r="L178" s="221">
        <f>L176+L177</f>
        <v>209.2826766641708</v>
      </c>
      <c r="M178" s="221">
        <f>M176+M177</f>
        <v>-30.314223485829192</v>
      </c>
      <c r="N178" s="223">
        <f t="shared" si="13"/>
        <v>-0.1265217682985503</v>
      </c>
      <c r="O178" s="225">
        <f>SUM(O176:O177)</f>
        <v>0.9999999999999999</v>
      </c>
      <c r="P178" s="147"/>
    </row>
    <row r="179" spans="2:16" ht="18" customHeight="1" thickBot="1">
      <c r="B179" s="148"/>
      <c r="C179" s="160"/>
      <c r="D179" s="160"/>
      <c r="E179" s="160"/>
      <c r="F179" s="161"/>
      <c r="G179" s="162"/>
      <c r="H179" s="163"/>
      <c r="I179" s="164"/>
      <c r="J179" s="162"/>
      <c r="K179" s="165"/>
      <c r="L179" s="164"/>
      <c r="M179" s="169"/>
      <c r="N179" s="167"/>
      <c r="O179" s="168"/>
      <c r="P179" s="149"/>
    </row>
    <row r="180" spans="2:16" ht="18" customHeight="1" thickBot="1">
      <c r="B180" s="25"/>
      <c r="C180" s="31"/>
      <c r="D180" s="31"/>
      <c r="E180" s="31"/>
      <c r="F180" s="49"/>
      <c r="G180" s="50"/>
      <c r="H180" s="51"/>
      <c r="I180" s="52"/>
      <c r="J180" s="50"/>
      <c r="K180" s="53"/>
      <c r="L180" s="52"/>
      <c r="M180" s="159"/>
      <c r="N180" s="157"/>
      <c r="O180" s="158"/>
      <c r="P180" s="25"/>
    </row>
    <row r="181" spans="2:16" ht="18" customHeight="1">
      <c r="B181" s="156"/>
      <c r="C181" s="539"/>
      <c r="D181" s="539"/>
      <c r="E181" s="539"/>
      <c r="F181" s="539"/>
      <c r="G181" s="539"/>
      <c r="H181" s="539"/>
      <c r="I181" s="539"/>
      <c r="J181" s="539"/>
      <c r="K181" s="539"/>
      <c r="L181" s="539"/>
      <c r="M181" s="539"/>
      <c r="N181" s="539"/>
      <c r="O181" s="539"/>
      <c r="P181" s="146"/>
    </row>
    <row r="182" spans="2:16" ht="23.25">
      <c r="B182" s="154"/>
      <c r="C182" s="540" t="s">
        <v>135</v>
      </c>
      <c r="D182" s="540"/>
      <c r="E182" s="540"/>
      <c r="F182" s="540"/>
      <c r="G182" s="540"/>
      <c r="H182" s="540"/>
      <c r="I182" s="540"/>
      <c r="J182" s="540"/>
      <c r="K182" s="540"/>
      <c r="L182" s="540"/>
      <c r="M182" s="540"/>
      <c r="N182" s="540"/>
      <c r="O182" s="540"/>
      <c r="P182" s="147"/>
    </row>
    <row r="183" spans="2:16" ht="18" customHeight="1" thickBot="1">
      <c r="B183" s="154"/>
      <c r="C183" s="541"/>
      <c r="D183" s="541"/>
      <c r="E183" s="541"/>
      <c r="F183" s="541"/>
      <c r="G183" s="541"/>
      <c r="H183" s="541"/>
      <c r="I183" s="541"/>
      <c r="J183" s="541"/>
      <c r="K183" s="541"/>
      <c r="L183" s="541"/>
      <c r="M183" s="541"/>
      <c r="N183" s="541"/>
      <c r="O183" s="541"/>
      <c r="P183" s="147"/>
    </row>
    <row r="184" spans="2:16" ht="18" customHeight="1" thickBot="1">
      <c r="B184" s="154"/>
      <c r="C184" s="155"/>
      <c r="D184" s="155"/>
      <c r="E184" s="31"/>
      <c r="F184" s="37"/>
      <c r="G184" s="534" t="str">
        <f>$G$10</f>
        <v>2011 BILL</v>
      </c>
      <c r="H184" s="535"/>
      <c r="I184" s="536"/>
      <c r="J184" s="534" t="str">
        <f>$J$10</f>
        <v>2012 BILL</v>
      </c>
      <c r="K184" s="535"/>
      <c r="L184" s="536"/>
      <c r="M184" s="534" t="s">
        <v>73</v>
      </c>
      <c r="N184" s="535"/>
      <c r="O184" s="536"/>
      <c r="P184" s="147"/>
    </row>
    <row r="185" spans="2:16" ht="39" thickBot="1">
      <c r="B185" s="154"/>
      <c r="C185" s="31"/>
      <c r="D185" s="31"/>
      <c r="E185" s="33"/>
      <c r="F185" s="38"/>
      <c r="G185" s="170" t="s">
        <v>67</v>
      </c>
      <c r="H185" s="171" t="s">
        <v>68</v>
      </c>
      <c r="I185" s="172" t="s">
        <v>69</v>
      </c>
      <c r="J185" s="173" t="s">
        <v>67</v>
      </c>
      <c r="K185" s="171" t="s">
        <v>68</v>
      </c>
      <c r="L185" s="172" t="s">
        <v>69</v>
      </c>
      <c r="M185" s="174" t="s">
        <v>80</v>
      </c>
      <c r="N185" s="175" t="s">
        <v>81</v>
      </c>
      <c r="O185" s="176" t="s">
        <v>76</v>
      </c>
      <c r="P185" s="147"/>
    </row>
    <row r="186" spans="2:16" ht="18" customHeight="1" thickBot="1">
      <c r="B186" s="154"/>
      <c r="C186" s="528" t="s">
        <v>70</v>
      </c>
      <c r="D186" s="529"/>
      <c r="E186" s="31"/>
      <c r="F186" s="180" t="s">
        <v>71</v>
      </c>
      <c r="G186" s="190"/>
      <c r="H186" s="191"/>
      <c r="I186" s="192">
        <f>'2011 Existing Rates'!$C$9</f>
        <v>11.06</v>
      </c>
      <c r="J186" s="190"/>
      <c r="K186" s="191"/>
      <c r="L186" s="195">
        <f>'Rate Schedule (Part 1)'!$E$20</f>
        <v>14.96</v>
      </c>
      <c r="M186" s="204">
        <f aca="true" t="shared" si="14" ref="M186:M193">+L186-I186</f>
        <v>3.9000000000000004</v>
      </c>
      <c r="N186" s="205">
        <f aca="true" t="shared" si="15" ref="N186:N204">+M186/I186</f>
        <v>0.352622061482821</v>
      </c>
      <c r="O186" s="206">
        <f>L186/L204</f>
        <v>0.052890534358953044</v>
      </c>
      <c r="P186" s="147"/>
    </row>
    <row r="187" spans="2:16" ht="18" customHeight="1" thickBot="1">
      <c r="B187" s="154"/>
      <c r="C187" s="152">
        <v>2000</v>
      </c>
      <c r="D187" s="153" t="s">
        <v>16</v>
      </c>
      <c r="E187" s="31"/>
      <c r="F187" s="181" t="s">
        <v>72</v>
      </c>
      <c r="G187" s="184">
        <f>+C187</f>
        <v>2000</v>
      </c>
      <c r="H187" s="178">
        <f>'2011 Existing Rates'!$E$9</f>
        <v>0.0017</v>
      </c>
      <c r="I187" s="193">
        <f>+G187*H187</f>
        <v>3.4</v>
      </c>
      <c r="J187" s="184">
        <f>+C187</f>
        <v>2000</v>
      </c>
      <c r="K187" s="177">
        <f>'Rate Schedule (Part 1)'!$E$21</f>
        <v>0.0063</v>
      </c>
      <c r="L187" s="197">
        <f>+J187*K187</f>
        <v>12.6</v>
      </c>
      <c r="M187" s="207">
        <f t="shared" si="14"/>
        <v>9.2</v>
      </c>
      <c r="N187" s="201">
        <f t="shared" si="15"/>
        <v>2.705882352941176</v>
      </c>
      <c r="O187" s="208">
        <f>L187/L204</f>
        <v>0.044546840436016595</v>
      </c>
      <c r="P187" s="147"/>
    </row>
    <row r="188" spans="2:16" ht="18" customHeight="1">
      <c r="B188" s="154"/>
      <c r="C188" s="63"/>
      <c r="D188" s="64"/>
      <c r="E188" s="31"/>
      <c r="F188" s="181" t="s">
        <v>222</v>
      </c>
      <c r="G188" s="184">
        <f>G187</f>
        <v>2000</v>
      </c>
      <c r="H188" s="178">
        <f>'2011 Existing Rates'!$B$35</f>
        <v>0.0014</v>
      </c>
      <c r="I188" s="193">
        <f>+G188*H188</f>
        <v>2.8</v>
      </c>
      <c r="J188" s="184">
        <f>J187</f>
        <v>2000</v>
      </c>
      <c r="K188" s="177">
        <f>'Rate Schedule (Part 1)'!$E$22</f>
        <v>0.0011</v>
      </c>
      <c r="L188" s="197">
        <f>+J188*K188</f>
        <v>2.2</v>
      </c>
      <c r="M188" s="207">
        <f t="shared" si="14"/>
        <v>-0.5999999999999996</v>
      </c>
      <c r="N188" s="201">
        <f t="shared" si="15"/>
        <v>-0.21428571428571416</v>
      </c>
      <c r="O188" s="208">
        <f>L188/L204</f>
        <v>0.007778019758669565</v>
      </c>
      <c r="P188" s="147"/>
    </row>
    <row r="189" spans="2:16" ht="18" customHeight="1">
      <c r="B189" s="154"/>
      <c r="C189" s="63"/>
      <c r="D189" s="64"/>
      <c r="E189" s="31"/>
      <c r="F189" s="181" t="s">
        <v>271</v>
      </c>
      <c r="G189" s="203"/>
      <c r="H189" s="202"/>
      <c r="I189" s="193">
        <f>'2011 Existing Rates'!$B$48</f>
        <v>1.45</v>
      </c>
      <c r="J189" s="203"/>
      <c r="K189" s="202"/>
      <c r="L189" s="197">
        <f>'Rate Schedule (Part 1)'!$E$24</f>
        <v>0.9492644326503402</v>
      </c>
      <c r="M189" s="207">
        <f t="shared" si="14"/>
        <v>-0.5007355673496597</v>
      </c>
      <c r="N189" s="201">
        <f t="shared" si="15"/>
        <v>-0.3453348740342481</v>
      </c>
      <c r="O189" s="208">
        <f>L189/L204</f>
        <v>0.0033560897787984546</v>
      </c>
      <c r="P189" s="147"/>
    </row>
    <row r="190" spans="1:16" ht="18" customHeight="1" thickBot="1">
      <c r="A190" s="147"/>
      <c r="B190" s="25"/>
      <c r="C190" s="31"/>
      <c r="D190" s="31"/>
      <c r="E190" s="31"/>
      <c r="F190" s="181" t="s">
        <v>160</v>
      </c>
      <c r="G190" s="184">
        <f>C187</f>
        <v>2000</v>
      </c>
      <c r="H190" s="178"/>
      <c r="I190" s="189">
        <f>+G190*H190</f>
        <v>0</v>
      </c>
      <c r="J190" s="184">
        <f>C187</f>
        <v>2000</v>
      </c>
      <c r="K190" s="177">
        <f>'Rate Schedule (Part 1)'!$E$23</f>
        <v>0.0002</v>
      </c>
      <c r="L190" s="197">
        <f>J190*K190</f>
        <v>0.4</v>
      </c>
      <c r="M190" s="207">
        <f t="shared" si="14"/>
        <v>0.4</v>
      </c>
      <c r="N190" s="201" t="e">
        <f t="shared" si="15"/>
        <v>#DIV/0!</v>
      </c>
      <c r="O190" s="208">
        <f>L190/$L$204</f>
        <v>0.0014141854106671937</v>
      </c>
      <c r="P190" s="147"/>
    </row>
    <row r="191" spans="1:16" ht="18" customHeight="1">
      <c r="A191" s="147"/>
      <c r="B191" s="25"/>
      <c r="C191" s="31"/>
      <c r="D191" s="31"/>
      <c r="E191" s="31"/>
      <c r="F191" s="419" t="s">
        <v>270</v>
      </c>
      <c r="G191" s="203"/>
      <c r="H191" s="202"/>
      <c r="I191" s="192">
        <f>$I$63</f>
        <v>0</v>
      </c>
      <c r="J191" s="203"/>
      <c r="K191" s="202"/>
      <c r="L191" s="211">
        <f>'2012 Rate Rider'!$E$8</f>
        <v>5.9887322983164735</v>
      </c>
      <c r="M191" s="207">
        <f t="shared" si="14"/>
        <v>5.9887322983164735</v>
      </c>
      <c r="N191" s="201" t="e">
        <f t="shared" si="15"/>
        <v>#DIV/0!</v>
      </c>
      <c r="O191" s="208">
        <f>L191/$L$204</f>
        <v>0.02117294461167642</v>
      </c>
      <c r="P191" s="147"/>
    </row>
    <row r="192" spans="1:16" ht="18" customHeight="1">
      <c r="A192" s="147"/>
      <c r="B192" s="25"/>
      <c r="C192" s="31"/>
      <c r="D192" s="31"/>
      <c r="E192" s="31"/>
      <c r="F192" s="419" t="s">
        <v>272</v>
      </c>
      <c r="G192" s="203"/>
      <c r="H192" s="202"/>
      <c r="I192" s="193">
        <f>'2011 Existing Rates'!B75</f>
        <v>0.12</v>
      </c>
      <c r="J192" s="194">
        <f>G192</f>
        <v>0</v>
      </c>
      <c r="K192" s="420">
        <f>'2012 Rate Rider'!$F$8</f>
        <v>0</v>
      </c>
      <c r="L192" s="193">
        <f>+J192*K192</f>
        <v>0</v>
      </c>
      <c r="M192" s="207">
        <f t="shared" si="14"/>
        <v>-0.12</v>
      </c>
      <c r="N192" s="201">
        <f t="shared" si="15"/>
        <v>-1</v>
      </c>
      <c r="O192" s="208">
        <f>L192/$L$204</f>
        <v>0</v>
      </c>
      <c r="P192" s="147"/>
    </row>
    <row r="193" spans="1:16" ht="18" customHeight="1" thickBot="1">
      <c r="A193" s="147"/>
      <c r="B193" s="25"/>
      <c r="C193" s="31"/>
      <c r="D193" s="31"/>
      <c r="E193" s="31"/>
      <c r="F193" s="182" t="s">
        <v>221</v>
      </c>
      <c r="G193" s="209">
        <f>+C187</f>
        <v>2000</v>
      </c>
      <c r="H193" s="210">
        <f>'2011 Existing Rates'!$B$22</f>
        <v>0.0067</v>
      </c>
      <c r="I193" s="211">
        <f>+G193*H193</f>
        <v>13.4</v>
      </c>
      <c r="J193" s="209">
        <f>+C187</f>
        <v>2000</v>
      </c>
      <c r="K193" s="210">
        <f>'2012 Rate Rider'!B8</f>
        <v>-0.00857757417187244</v>
      </c>
      <c r="L193" s="211">
        <f>+J193*K193</f>
        <v>-17.155148343744877</v>
      </c>
      <c r="M193" s="207">
        <f t="shared" si="14"/>
        <v>-30.555148343744875</v>
      </c>
      <c r="N193" s="201">
        <f t="shared" si="15"/>
        <v>-2.280234951025737</v>
      </c>
      <c r="O193" s="208">
        <f>L193/$L$204</f>
        <v>-0.06065140126388868</v>
      </c>
      <c r="P193" s="361"/>
    </row>
    <row r="194" spans="1:16" ht="18" customHeight="1" thickBot="1">
      <c r="A194" s="147"/>
      <c r="F194" s="218" t="s">
        <v>223</v>
      </c>
      <c r="G194" s="530"/>
      <c r="H194" s="531"/>
      <c r="I194" s="220">
        <f>SUM(I186:I193)</f>
        <v>32.230000000000004</v>
      </c>
      <c r="J194" s="530"/>
      <c r="K194" s="531"/>
      <c r="L194" s="220">
        <f>SUM(L186:L193)</f>
        <v>19.942848387221936</v>
      </c>
      <c r="M194" s="222">
        <f>SUM(M186:M193)</f>
        <v>-12.287151612778061</v>
      </c>
      <c r="N194" s="223">
        <f t="shared" si="15"/>
        <v>-0.3812333730306565</v>
      </c>
      <c r="O194" s="225">
        <f>L194/L204</f>
        <v>0.07050721309089258</v>
      </c>
      <c r="P194" s="361"/>
    </row>
    <row r="195" spans="1:16" ht="18" customHeight="1" thickBot="1">
      <c r="A195" s="147"/>
      <c r="F195" s="181" t="s">
        <v>224</v>
      </c>
      <c r="G195" s="348">
        <f>C187*'Other Electriciy Rates'!$L$11</f>
        <v>2158.2</v>
      </c>
      <c r="H195" s="349">
        <f>'Other Electriciy Rates'!$B$11</f>
        <v>0.0092</v>
      </c>
      <c r="I195" s="193">
        <f>+G195*H195</f>
        <v>19.855439999999998</v>
      </c>
      <c r="J195" s="348">
        <f>'BILL IMPACTS '!C187*'Other Electriciy Rates'!$L$26</f>
        <v>2160</v>
      </c>
      <c r="K195" s="177">
        <f>'Other Electriciy Rates'!$B$26</f>
        <v>0.009364546153031724</v>
      </c>
      <c r="L195" s="193">
        <f>+J195*K195</f>
        <v>20.227419690548523</v>
      </c>
      <c r="M195" s="350">
        <f>+L195-I195</f>
        <v>0.37197969054852464</v>
      </c>
      <c r="N195" s="205">
        <f t="shared" si="15"/>
        <v>0.018734396747114378</v>
      </c>
      <c r="O195" s="206">
        <f>L195/L204</f>
        <v>0.0715133045545401</v>
      </c>
      <c r="P195" s="361"/>
    </row>
    <row r="196" spans="1:16" ht="18" customHeight="1" thickBot="1">
      <c r="A196" s="147"/>
      <c r="F196" s="218" t="s">
        <v>225</v>
      </c>
      <c r="G196" s="530"/>
      <c r="H196" s="531"/>
      <c r="I196" s="220">
        <f>I194+I195</f>
        <v>52.085440000000006</v>
      </c>
      <c r="J196" s="530"/>
      <c r="K196" s="531"/>
      <c r="L196" s="220">
        <f>L194+L195</f>
        <v>40.17026807777046</v>
      </c>
      <c r="M196" s="220">
        <f>M194+M195</f>
        <v>-11.915171922229536</v>
      </c>
      <c r="N196" s="223">
        <f t="shared" si="15"/>
        <v>-0.228762047939492</v>
      </c>
      <c r="O196" s="351">
        <f>L196/L204</f>
        <v>0.14202051764543266</v>
      </c>
      <c r="P196" s="361"/>
    </row>
    <row r="197" spans="1:16" ht="18" customHeight="1">
      <c r="A197" s="147"/>
      <c r="F197" s="183" t="s">
        <v>77</v>
      </c>
      <c r="G197" s="185">
        <f>+'Other Electriciy Rates'!$L$10*C187</f>
        <v>2158.2</v>
      </c>
      <c r="H197" s="186">
        <f>'Other Electriciy Rates'!$C$11+'Other Electriciy Rates'!$D$11</f>
        <v>0.012986887220832175</v>
      </c>
      <c r="I197" s="187">
        <f>+G197*H197</f>
        <v>28.028299999999998</v>
      </c>
      <c r="J197" s="185">
        <f>J195</f>
        <v>2160</v>
      </c>
      <c r="K197" s="186">
        <f>'Other Electriciy Rates'!$C$26+'Other Electriciy Rates'!$D$26</f>
        <v>0.01278148148148148</v>
      </c>
      <c r="L197" s="214">
        <f>+J197*K197</f>
        <v>27.607999999999997</v>
      </c>
      <c r="M197" s="215">
        <f>+L197-I197</f>
        <v>-0.420300000000001</v>
      </c>
      <c r="N197" s="216">
        <f t="shared" si="15"/>
        <v>-0.014995558060959853</v>
      </c>
      <c r="O197" s="282">
        <f>L197/L204</f>
        <v>0.09760707704424969</v>
      </c>
      <c r="P197" s="361"/>
    </row>
    <row r="198" spans="1:16" ht="18" customHeight="1">
      <c r="A198" s="147"/>
      <c r="B198" s="25"/>
      <c r="C198" s="31"/>
      <c r="D198" s="31"/>
      <c r="E198" s="31"/>
      <c r="F198" s="179" t="s">
        <v>78</v>
      </c>
      <c r="G198" s="185">
        <v>600</v>
      </c>
      <c r="H198" s="186">
        <f>'Other Electriciy Rates'!$J$11</f>
        <v>0.075</v>
      </c>
      <c r="I198" s="187">
        <f>+G198*H198</f>
        <v>45</v>
      </c>
      <c r="J198" s="185">
        <v>600</v>
      </c>
      <c r="K198" s="186">
        <f>'Other Electriciy Rates'!$J$26</f>
        <v>0.075</v>
      </c>
      <c r="L198" s="214">
        <f>+J198*K198</f>
        <v>45</v>
      </c>
      <c r="M198" s="215">
        <f>+L198-I198</f>
        <v>0</v>
      </c>
      <c r="N198" s="216">
        <f t="shared" si="15"/>
        <v>0</v>
      </c>
      <c r="O198" s="217">
        <f>L198/L204</f>
        <v>0.15909585870005927</v>
      </c>
      <c r="P198" s="361"/>
    </row>
    <row r="199" spans="2:16" ht="18" customHeight="1">
      <c r="B199" s="154"/>
      <c r="C199" s="31"/>
      <c r="D199" s="31"/>
      <c r="E199" s="31"/>
      <c r="F199" s="179" t="s">
        <v>78</v>
      </c>
      <c r="G199" s="185">
        <f>G197-G198</f>
        <v>1558.1999999999998</v>
      </c>
      <c r="H199" s="186">
        <f>'Other Electriciy Rates'!$K$11</f>
        <v>0.088</v>
      </c>
      <c r="I199" s="187">
        <f>+G199*H199</f>
        <v>137.12159999999997</v>
      </c>
      <c r="J199" s="185">
        <f>J197-J198</f>
        <v>1560</v>
      </c>
      <c r="K199" s="186">
        <f>'Other Electriciy Rates'!$K$26</f>
        <v>0.088</v>
      </c>
      <c r="L199" s="214">
        <f>+J199*K199</f>
        <v>137.28</v>
      </c>
      <c r="M199" s="215">
        <f>+L199-I199</f>
        <v>0.15840000000002874</v>
      </c>
      <c r="N199" s="216">
        <f t="shared" si="15"/>
        <v>0.0011551790527533866</v>
      </c>
      <c r="O199" s="217">
        <f>L199/L204</f>
        <v>0.48534843294098085</v>
      </c>
      <c r="P199" s="147"/>
    </row>
    <row r="200" spans="2:16" ht="18" customHeight="1" thickBot="1">
      <c r="B200" s="154"/>
      <c r="C200" s="31"/>
      <c r="D200" s="31"/>
      <c r="E200" s="31"/>
      <c r="F200" s="181" t="s">
        <v>235</v>
      </c>
      <c r="G200" s="279">
        <f>G197</f>
        <v>2158.2</v>
      </c>
      <c r="H200" s="186">
        <f>'2012 Rate Rider'!$G$8</f>
        <v>0</v>
      </c>
      <c r="I200" s="189">
        <f>+G200*H200</f>
        <v>0</v>
      </c>
      <c r="J200" s="279">
        <f>G200</f>
        <v>2158.2</v>
      </c>
      <c r="K200" s="186">
        <f>'2012 Rate Rider'!$G$8</f>
        <v>0</v>
      </c>
      <c r="L200" s="211">
        <f>+J200*K200</f>
        <v>0</v>
      </c>
      <c r="M200" s="215">
        <f>+L200-I200</f>
        <v>0</v>
      </c>
      <c r="N200" s="213" t="e">
        <f t="shared" si="15"/>
        <v>#DIV/0!</v>
      </c>
      <c r="O200" s="226">
        <f>L200/L204</f>
        <v>0</v>
      </c>
      <c r="P200" s="147"/>
    </row>
    <row r="201" spans="2:16" ht="18" customHeight="1" thickBot="1">
      <c r="B201" s="154"/>
      <c r="C201" s="31"/>
      <c r="D201" s="31"/>
      <c r="E201" s="31"/>
      <c r="F201" s="278"/>
      <c r="G201" s="279"/>
      <c r="H201" s="421"/>
      <c r="I201" s="280">
        <v>0.25</v>
      </c>
      <c r="J201" s="279"/>
      <c r="K201" s="421"/>
      <c r="L201" s="280">
        <v>0.25</v>
      </c>
      <c r="M201" s="215">
        <f>+L201-I201</f>
        <v>0</v>
      </c>
      <c r="N201" s="456"/>
      <c r="O201" s="457"/>
      <c r="P201" s="147"/>
    </row>
    <row r="202" spans="2:16" ht="13.5" thickBot="1">
      <c r="B202" s="154"/>
      <c r="C202" s="31"/>
      <c r="D202" s="31"/>
      <c r="E202" s="31"/>
      <c r="F202" s="218" t="s">
        <v>192</v>
      </c>
      <c r="G202" s="530"/>
      <c r="H202" s="531"/>
      <c r="I202" s="220">
        <f>SUM(I196:I201)</f>
        <v>262.48533999999995</v>
      </c>
      <c r="J202" s="530"/>
      <c r="K202" s="531"/>
      <c r="L202" s="220">
        <f>SUM(L196:L201)</f>
        <v>250.30826807777046</v>
      </c>
      <c r="M202" s="362">
        <f>SUM(M196:M199)</f>
        <v>-12.177071922229509</v>
      </c>
      <c r="N202" s="223">
        <f t="shared" si="15"/>
        <v>-0.046391436269277025</v>
      </c>
      <c r="O202" s="351">
        <f>L202/L204</f>
        <v>0.8849557522123894</v>
      </c>
      <c r="P202" s="147"/>
    </row>
    <row r="203" spans="2:16" ht="18" customHeight="1" thickBot="1">
      <c r="B203" s="154"/>
      <c r="C203" s="31"/>
      <c r="D203" s="31"/>
      <c r="E203" s="31"/>
      <c r="F203" s="278" t="s">
        <v>193</v>
      </c>
      <c r="G203" s="279"/>
      <c r="H203" s="283">
        <f>$H$177</f>
        <v>0.13</v>
      </c>
      <c r="I203" s="280">
        <f>I202*H203</f>
        <v>34.1230942</v>
      </c>
      <c r="J203" s="279"/>
      <c r="K203" s="283">
        <f>$K$177</f>
        <v>0.13</v>
      </c>
      <c r="L203" s="281">
        <f>L202*K203</f>
        <v>32.54007485011016</v>
      </c>
      <c r="M203" s="212">
        <f>+L203-I203</f>
        <v>-1.5830193498898382</v>
      </c>
      <c r="N203" s="213">
        <f t="shared" si="15"/>
        <v>-0.04639143626927708</v>
      </c>
      <c r="O203" s="226">
        <f>L203/L204</f>
        <v>0.11504424778761063</v>
      </c>
      <c r="P203" s="147"/>
    </row>
    <row r="204" spans="2:16" ht="18" customHeight="1" thickBot="1">
      <c r="B204" s="154"/>
      <c r="C204" s="31"/>
      <c r="D204" s="31"/>
      <c r="E204" s="35"/>
      <c r="F204" s="219" t="s">
        <v>79</v>
      </c>
      <c r="G204" s="542"/>
      <c r="H204" s="543"/>
      <c r="I204" s="221">
        <f>I202+I203</f>
        <v>296.6084341999999</v>
      </c>
      <c r="J204" s="542"/>
      <c r="K204" s="543"/>
      <c r="L204" s="221">
        <f>L202+L203</f>
        <v>282.8483429278806</v>
      </c>
      <c r="M204" s="363">
        <f>M202+M203</f>
        <v>-13.760091272119347</v>
      </c>
      <c r="N204" s="223">
        <f t="shared" si="15"/>
        <v>-0.04639143626927703</v>
      </c>
      <c r="O204" s="225">
        <f>SUM(O202:O203)</f>
        <v>1</v>
      </c>
      <c r="P204" s="147"/>
    </row>
    <row r="205" spans="2:16" ht="18" customHeight="1" thickBot="1">
      <c r="B205" s="154"/>
      <c r="C205" s="31"/>
      <c r="D205" s="31"/>
      <c r="E205" s="31"/>
      <c r="F205" s="458"/>
      <c r="G205" s="162"/>
      <c r="H205" s="462">
        <v>-0.1</v>
      </c>
      <c r="I205" s="459">
        <f>H205*I204</f>
        <v>-29.660843419999992</v>
      </c>
      <c r="J205" s="162"/>
      <c r="K205" s="462">
        <v>-0.1</v>
      </c>
      <c r="L205" s="459">
        <f>K205*L204</f>
        <v>-28.284834292788062</v>
      </c>
      <c r="M205" s="460"/>
      <c r="N205" s="461"/>
      <c r="O205" s="461"/>
      <c r="P205" s="147"/>
    </row>
    <row r="206" spans="2:16" ht="18" customHeight="1" thickBot="1">
      <c r="B206" s="154"/>
      <c r="C206" s="31"/>
      <c r="D206" s="31"/>
      <c r="E206" s="31"/>
      <c r="F206" s="458"/>
      <c r="G206" s="162"/>
      <c r="H206" s="162"/>
      <c r="I206" s="459">
        <f>SUM(I204:I205)</f>
        <v>266.9475907799999</v>
      </c>
      <c r="J206" s="162"/>
      <c r="K206" s="162"/>
      <c r="L206" s="459">
        <f>SUM(L204:L205)</f>
        <v>254.56350863509255</v>
      </c>
      <c r="M206" s="460">
        <f>L206-I206</f>
        <v>-12.384082144907381</v>
      </c>
      <c r="N206" s="461">
        <f>M206/I206</f>
        <v>-0.04639143626927692</v>
      </c>
      <c r="O206" s="461"/>
      <c r="P206" s="147"/>
    </row>
    <row r="207" spans="2:16" ht="18" customHeight="1" thickBot="1">
      <c r="B207" s="154"/>
      <c r="C207" s="31"/>
      <c r="D207" s="31"/>
      <c r="E207" s="31"/>
      <c r="F207" s="458"/>
      <c r="G207" s="162"/>
      <c r="H207" s="162"/>
      <c r="I207" s="459"/>
      <c r="J207" s="162"/>
      <c r="K207" s="162"/>
      <c r="L207" s="459"/>
      <c r="M207" s="460"/>
      <c r="N207" s="461"/>
      <c r="O207" s="461"/>
      <c r="P207" s="147"/>
    </row>
    <row r="208" spans="2:16" ht="18" customHeight="1" thickBot="1">
      <c r="B208" s="148"/>
      <c r="C208" s="160"/>
      <c r="D208" s="160"/>
      <c r="E208" s="160"/>
      <c r="F208" s="161"/>
      <c r="G208" s="162"/>
      <c r="H208" s="163"/>
      <c r="I208" s="164"/>
      <c r="J208" s="162"/>
      <c r="K208" s="165"/>
      <c r="L208" s="164"/>
      <c r="M208" s="169"/>
      <c r="N208" s="167"/>
      <c r="O208" s="168"/>
      <c r="P208" s="149"/>
    </row>
    <row r="209" spans="2:16" ht="18" customHeight="1" thickBot="1">
      <c r="B209" s="25"/>
      <c r="C209" s="31"/>
      <c r="D209" s="31"/>
      <c r="E209" s="31"/>
      <c r="F209" s="49"/>
      <c r="G209" s="50"/>
      <c r="H209" s="51"/>
      <c r="I209" s="52"/>
      <c r="J209" s="50"/>
      <c r="K209" s="53"/>
      <c r="L209" s="52"/>
      <c r="M209" s="159"/>
      <c r="N209" s="157"/>
      <c r="O209" s="158"/>
      <c r="P209" s="25"/>
    </row>
    <row r="210" spans="2:16" ht="18" customHeight="1">
      <c r="B210" s="156"/>
      <c r="C210" s="539"/>
      <c r="D210" s="539"/>
      <c r="E210" s="539"/>
      <c r="F210" s="539"/>
      <c r="G210" s="539"/>
      <c r="H210" s="539"/>
      <c r="I210" s="539"/>
      <c r="J210" s="539"/>
      <c r="K210" s="539"/>
      <c r="L210" s="539"/>
      <c r="M210" s="539"/>
      <c r="N210" s="539"/>
      <c r="O210" s="539"/>
      <c r="P210" s="146"/>
    </row>
    <row r="211" spans="2:16" ht="23.25">
      <c r="B211" s="154"/>
      <c r="C211" s="540" t="s">
        <v>135</v>
      </c>
      <c r="D211" s="540"/>
      <c r="E211" s="540"/>
      <c r="F211" s="540"/>
      <c r="G211" s="540"/>
      <c r="H211" s="540"/>
      <c r="I211" s="540"/>
      <c r="J211" s="540"/>
      <c r="K211" s="540"/>
      <c r="L211" s="540"/>
      <c r="M211" s="540"/>
      <c r="N211" s="540"/>
      <c r="O211" s="540"/>
      <c r="P211" s="147"/>
    </row>
    <row r="212" spans="2:16" ht="18" customHeight="1" thickBot="1">
      <c r="B212" s="154"/>
      <c r="C212" s="541"/>
      <c r="D212" s="541"/>
      <c r="E212" s="541"/>
      <c r="F212" s="541"/>
      <c r="G212" s="541"/>
      <c r="H212" s="541"/>
      <c r="I212" s="541"/>
      <c r="J212" s="541"/>
      <c r="K212" s="541"/>
      <c r="L212" s="541"/>
      <c r="M212" s="541"/>
      <c r="N212" s="541"/>
      <c r="O212" s="541"/>
      <c r="P212" s="147"/>
    </row>
    <row r="213" spans="2:16" ht="18" customHeight="1" thickBot="1">
      <c r="B213" s="154"/>
      <c r="C213" s="155"/>
      <c r="D213" s="155"/>
      <c r="E213" s="31"/>
      <c r="F213" s="37"/>
      <c r="G213" s="534" t="str">
        <f>$G$10</f>
        <v>2011 BILL</v>
      </c>
      <c r="H213" s="535"/>
      <c r="I213" s="536"/>
      <c r="J213" s="534" t="str">
        <f>$J$10</f>
        <v>2012 BILL</v>
      </c>
      <c r="K213" s="535"/>
      <c r="L213" s="536"/>
      <c r="M213" s="534" t="s">
        <v>73</v>
      </c>
      <c r="N213" s="535"/>
      <c r="O213" s="536"/>
      <c r="P213" s="147"/>
    </row>
    <row r="214" spans="2:16" ht="39" thickBot="1">
      <c r="B214" s="154"/>
      <c r="C214" s="31"/>
      <c r="D214" s="31"/>
      <c r="E214" s="33"/>
      <c r="F214" s="38"/>
      <c r="G214" s="170" t="s">
        <v>67</v>
      </c>
      <c r="H214" s="171" t="s">
        <v>68</v>
      </c>
      <c r="I214" s="172" t="s">
        <v>69</v>
      </c>
      <c r="J214" s="173" t="s">
        <v>67</v>
      </c>
      <c r="K214" s="171" t="s">
        <v>68</v>
      </c>
      <c r="L214" s="172" t="s">
        <v>69</v>
      </c>
      <c r="M214" s="174" t="s">
        <v>80</v>
      </c>
      <c r="N214" s="175" t="s">
        <v>81</v>
      </c>
      <c r="O214" s="176" t="s">
        <v>76</v>
      </c>
      <c r="P214" s="147"/>
    </row>
    <row r="215" spans="2:16" ht="18" customHeight="1" thickBot="1">
      <c r="B215" s="154"/>
      <c r="C215" s="528" t="s">
        <v>70</v>
      </c>
      <c r="D215" s="529"/>
      <c r="E215" s="31"/>
      <c r="F215" s="180" t="s">
        <v>71</v>
      </c>
      <c r="G215" s="190"/>
      <c r="H215" s="191"/>
      <c r="I215" s="192">
        <f>'2011 Existing Rates'!$C$9</f>
        <v>11.06</v>
      </c>
      <c r="J215" s="190"/>
      <c r="K215" s="191"/>
      <c r="L215" s="195">
        <f>'Rate Schedule (Part 1)'!$E$20</f>
        <v>14.96</v>
      </c>
      <c r="M215" s="204">
        <f aca="true" t="shared" si="16" ref="M215:M222">+L215-I215</f>
        <v>3.9000000000000004</v>
      </c>
      <c r="N215" s="205">
        <f aca="true" t="shared" si="17" ref="N215:N232">+M215/I215</f>
        <v>0.352622061482821</v>
      </c>
      <c r="O215" s="206">
        <f>L215/L232</f>
        <v>0.021918819691036293</v>
      </c>
      <c r="P215" s="147"/>
    </row>
    <row r="216" spans="2:16" ht="18" customHeight="1" thickBot="1">
      <c r="B216" s="154"/>
      <c r="C216" s="152">
        <v>5000</v>
      </c>
      <c r="D216" s="153" t="s">
        <v>16</v>
      </c>
      <c r="E216" s="31"/>
      <c r="F216" s="181" t="s">
        <v>72</v>
      </c>
      <c r="G216" s="184">
        <f>+C216</f>
        <v>5000</v>
      </c>
      <c r="H216" s="178">
        <f>'2011 Existing Rates'!$E$9</f>
        <v>0.0017</v>
      </c>
      <c r="I216" s="193">
        <f>+G216*H216</f>
        <v>8.5</v>
      </c>
      <c r="J216" s="184">
        <f>+C216</f>
        <v>5000</v>
      </c>
      <c r="K216" s="177">
        <f>'Rate Schedule (Part 1)'!$E$21</f>
        <v>0.0063</v>
      </c>
      <c r="L216" s="197">
        <f>+J216*K216</f>
        <v>31.5</v>
      </c>
      <c r="M216" s="207">
        <f t="shared" si="16"/>
        <v>23</v>
      </c>
      <c r="N216" s="201">
        <f t="shared" si="17"/>
        <v>2.7058823529411766</v>
      </c>
      <c r="O216" s="208">
        <f>L216/L232</f>
        <v>0.046152594937676684</v>
      </c>
      <c r="P216" s="147"/>
    </row>
    <row r="217" spans="2:16" ht="18" customHeight="1">
      <c r="B217" s="154"/>
      <c r="C217" s="63"/>
      <c r="D217" s="64"/>
      <c r="E217" s="31"/>
      <c r="F217" s="181" t="s">
        <v>222</v>
      </c>
      <c r="G217" s="184">
        <f>G216</f>
        <v>5000</v>
      </c>
      <c r="H217" s="178">
        <f>'2011 Existing Rates'!$B$35</f>
        <v>0.0014</v>
      </c>
      <c r="I217" s="193">
        <f>+G217*H217</f>
        <v>7</v>
      </c>
      <c r="J217" s="184">
        <f>J216</f>
        <v>5000</v>
      </c>
      <c r="K217" s="177">
        <f>'Rate Schedule (Part 1)'!$E$22</f>
        <v>0.0011</v>
      </c>
      <c r="L217" s="197">
        <f>+J217*K217</f>
        <v>5.5</v>
      </c>
      <c r="M217" s="207">
        <f t="shared" si="16"/>
        <v>-1.5</v>
      </c>
      <c r="N217" s="201">
        <f t="shared" si="17"/>
        <v>-0.21428571428571427</v>
      </c>
      <c r="O217" s="208">
        <f>L217/L232</f>
        <v>0.008058389592292754</v>
      </c>
      <c r="P217" s="147"/>
    </row>
    <row r="218" spans="2:16" ht="18" customHeight="1">
      <c r="B218" s="154"/>
      <c r="C218" s="63"/>
      <c r="D218" s="64"/>
      <c r="E218" s="31"/>
      <c r="F218" s="181" t="s">
        <v>271</v>
      </c>
      <c r="G218" s="203"/>
      <c r="H218" s="202"/>
      <c r="I218" s="193">
        <f>'2011 Existing Rates'!$B$48</f>
        <v>1.45</v>
      </c>
      <c r="J218" s="203"/>
      <c r="K218" s="202"/>
      <c r="L218" s="197">
        <f>'Rate Schedule (Part 1)'!$E$24</f>
        <v>0.9492644326503402</v>
      </c>
      <c r="M218" s="207">
        <f t="shared" si="16"/>
        <v>-0.5007355673496597</v>
      </c>
      <c r="N218" s="201">
        <f t="shared" si="17"/>
        <v>-0.3453348740342481</v>
      </c>
      <c r="O218" s="208">
        <f>L218/L232</f>
        <v>0.0013908259317096706</v>
      </c>
      <c r="P218" s="147"/>
    </row>
    <row r="219" spans="1:16" ht="18" customHeight="1" thickBot="1">
      <c r="A219" s="147"/>
      <c r="B219" s="25"/>
      <c r="C219" s="31"/>
      <c r="D219" s="31"/>
      <c r="E219" s="31"/>
      <c r="F219" s="181" t="s">
        <v>160</v>
      </c>
      <c r="G219" s="184">
        <f>C216</f>
        <v>5000</v>
      </c>
      <c r="H219" s="178">
        <f>H190</f>
        <v>0</v>
      </c>
      <c r="I219" s="189">
        <f>+G219*H219</f>
        <v>0</v>
      </c>
      <c r="J219" s="184">
        <f>C216</f>
        <v>5000</v>
      </c>
      <c r="K219" s="177">
        <f>'Rate Schedule (Part 1)'!$E$23</f>
        <v>0.0002</v>
      </c>
      <c r="L219" s="197">
        <f>J219*K219</f>
        <v>1</v>
      </c>
      <c r="M219" s="207">
        <f t="shared" si="16"/>
        <v>1</v>
      </c>
      <c r="N219" s="201" t="e">
        <f t="shared" si="17"/>
        <v>#DIV/0!</v>
      </c>
      <c r="O219" s="208">
        <f>L219/$L$232</f>
        <v>0.001465161744053228</v>
      </c>
      <c r="P219" s="147"/>
    </row>
    <row r="220" spans="1:16" ht="18" customHeight="1">
      <c r="A220" s="147"/>
      <c r="B220" s="25"/>
      <c r="C220" s="31"/>
      <c r="D220" s="31"/>
      <c r="E220" s="31"/>
      <c r="F220" s="419" t="s">
        <v>270</v>
      </c>
      <c r="G220" s="203"/>
      <c r="H220" s="202"/>
      <c r="I220" s="192">
        <f>$I$63</f>
        <v>0</v>
      </c>
      <c r="J220" s="203"/>
      <c r="K220" s="202"/>
      <c r="L220" s="211">
        <f>'2012 Rate Rider'!$E$8</f>
        <v>5.9887322983164735</v>
      </c>
      <c r="M220" s="207">
        <f t="shared" si="16"/>
        <v>5.9887322983164735</v>
      </c>
      <c r="N220" s="201" t="e">
        <f t="shared" si="17"/>
        <v>#DIV/0!</v>
      </c>
      <c r="O220" s="208">
        <f>L220/$L$232</f>
        <v>0.008774461458869261</v>
      </c>
      <c r="P220" s="147"/>
    </row>
    <row r="221" spans="1:16" ht="18" customHeight="1">
      <c r="A221" s="147"/>
      <c r="B221" s="25"/>
      <c r="C221" s="31"/>
      <c r="D221" s="31"/>
      <c r="E221" s="31"/>
      <c r="F221" s="419" t="s">
        <v>272</v>
      </c>
      <c r="G221" s="203"/>
      <c r="H221" s="202"/>
      <c r="I221" s="193">
        <f>I192</f>
        <v>0.12</v>
      </c>
      <c r="J221" s="194">
        <f>G221</f>
        <v>0</v>
      </c>
      <c r="K221" s="420">
        <f>'2012 Rate Rider'!$F$8</f>
        <v>0</v>
      </c>
      <c r="L221" s="193">
        <f>+J221*K221</f>
        <v>0</v>
      </c>
      <c r="M221" s="207">
        <f t="shared" si="16"/>
        <v>-0.12</v>
      </c>
      <c r="N221" s="201">
        <f t="shared" si="17"/>
        <v>-1</v>
      </c>
      <c r="O221" s="208">
        <f>L221/$L$232</f>
        <v>0</v>
      </c>
      <c r="P221" s="147"/>
    </row>
    <row r="222" spans="1:16" ht="18" customHeight="1" thickBot="1">
      <c r="A222" s="147"/>
      <c r="B222" s="25"/>
      <c r="C222" s="31"/>
      <c r="D222" s="31"/>
      <c r="E222" s="31"/>
      <c r="F222" s="182" t="s">
        <v>221</v>
      </c>
      <c r="G222" s="209">
        <f>+C216</f>
        <v>5000</v>
      </c>
      <c r="H222" s="210">
        <f>'2011 Existing Rates'!$B$22</f>
        <v>0.0067</v>
      </c>
      <c r="I222" s="211">
        <f>+G222*H222</f>
        <v>33.5</v>
      </c>
      <c r="J222" s="209">
        <f>+C216</f>
        <v>5000</v>
      </c>
      <c r="K222" s="210">
        <f>K193</f>
        <v>-0.00857757417187244</v>
      </c>
      <c r="L222" s="211">
        <f>+J222*K222</f>
        <v>-42.887870859362195</v>
      </c>
      <c r="M222" s="207">
        <f t="shared" si="16"/>
        <v>-76.3878708593622</v>
      </c>
      <c r="N222" s="201">
        <f t="shared" si="17"/>
        <v>-2.2802349510257374</v>
      </c>
      <c r="O222" s="208">
        <f>L222/$L$232</f>
        <v>-0.06283766766703273</v>
      </c>
      <c r="P222" s="361"/>
    </row>
    <row r="223" spans="1:16" ht="18" customHeight="1" thickBot="1">
      <c r="A223" s="147"/>
      <c r="F223" s="218" t="s">
        <v>223</v>
      </c>
      <c r="G223" s="530"/>
      <c r="H223" s="531"/>
      <c r="I223" s="220">
        <f>SUM(I215:I222)</f>
        <v>61.63</v>
      </c>
      <c r="J223" s="530"/>
      <c r="K223" s="531"/>
      <c r="L223" s="220">
        <f>SUM(L215:L222)</f>
        <v>17.010125871604615</v>
      </c>
      <c r="M223" s="222">
        <f>SUM(M215:M222)</f>
        <v>-44.61987412839538</v>
      </c>
      <c r="N223" s="223">
        <f t="shared" si="17"/>
        <v>-0.7239960105207752</v>
      </c>
      <c r="O223" s="225">
        <f>L223/L232</f>
        <v>0.024922585688605153</v>
      </c>
      <c r="P223" s="361"/>
    </row>
    <row r="224" spans="1:16" ht="18" customHeight="1" thickBot="1">
      <c r="A224" s="147"/>
      <c r="F224" s="181" t="s">
        <v>224</v>
      </c>
      <c r="G224" s="348">
        <f>C216*'Other Electriciy Rates'!$L$11</f>
        <v>5395.5</v>
      </c>
      <c r="H224" s="349">
        <f>'Other Electriciy Rates'!$B$11</f>
        <v>0.0092</v>
      </c>
      <c r="I224" s="193">
        <f>+G224*H224</f>
        <v>49.6386</v>
      </c>
      <c r="J224" s="348">
        <f>'BILL IMPACTS '!C216*'Other Electriciy Rates'!$L$26</f>
        <v>5400</v>
      </c>
      <c r="K224" s="349">
        <f>'Other Electriciy Rates'!$B$26</f>
        <v>0.009364546153031724</v>
      </c>
      <c r="L224" s="193">
        <f>+J224*K224</f>
        <v>50.56854922637131</v>
      </c>
      <c r="M224" s="350">
        <f>+L224-I224</f>
        <v>0.9299492263713134</v>
      </c>
      <c r="N224" s="205">
        <f t="shared" si="17"/>
        <v>0.018734396747114412</v>
      </c>
      <c r="O224" s="206">
        <f>L224/L232</f>
        <v>0.07409110377875171</v>
      </c>
      <c r="P224" s="361"/>
    </row>
    <row r="225" spans="1:16" ht="18" customHeight="1" thickBot="1">
      <c r="A225" s="147"/>
      <c r="F225" s="218" t="s">
        <v>225</v>
      </c>
      <c r="G225" s="530"/>
      <c r="H225" s="531"/>
      <c r="I225" s="220">
        <f>I223+I224</f>
        <v>111.26859999999999</v>
      </c>
      <c r="J225" s="530"/>
      <c r="K225" s="531"/>
      <c r="L225" s="220">
        <f>L223+L224</f>
        <v>67.57867509797592</v>
      </c>
      <c r="M225" s="220">
        <f>M223+M224</f>
        <v>-43.68992490202407</v>
      </c>
      <c r="N225" s="223">
        <f t="shared" si="17"/>
        <v>-0.3926527780705794</v>
      </c>
      <c r="O225" s="351">
        <f>L225/L232</f>
        <v>0.09901368946735685</v>
      </c>
      <c r="P225" s="361"/>
    </row>
    <row r="226" spans="1:16" ht="18" customHeight="1">
      <c r="A226" s="147"/>
      <c r="F226" s="183" t="s">
        <v>77</v>
      </c>
      <c r="G226" s="185">
        <f>+'Other Electriciy Rates'!$L$10*C216</f>
        <v>5395.5</v>
      </c>
      <c r="H226" s="186">
        <f>'Other Electriciy Rates'!$C$11+'Other Electriciy Rates'!$D$11</f>
        <v>0.012986887220832175</v>
      </c>
      <c r="I226" s="187">
        <f>+G226*H226</f>
        <v>70.07075</v>
      </c>
      <c r="J226" s="185">
        <f>J224</f>
        <v>5400</v>
      </c>
      <c r="K226" s="186">
        <f>'Other Electriciy Rates'!$C$26+'Other Electriciy Rates'!$D$26</f>
        <v>0.01278148148148148</v>
      </c>
      <c r="L226" s="214">
        <f>+J226*K226</f>
        <v>69.02</v>
      </c>
      <c r="M226" s="215">
        <f>+L226-I226</f>
        <v>-1.0507500000000078</v>
      </c>
      <c r="N226" s="216">
        <f t="shared" si="17"/>
        <v>-0.014995558060959927</v>
      </c>
      <c r="O226" s="282">
        <f>L226/L232</f>
        <v>0.10112546357455379</v>
      </c>
      <c r="P226" s="361"/>
    </row>
    <row r="227" spans="1:16" ht="18" customHeight="1">
      <c r="A227" s="147"/>
      <c r="B227" s="25"/>
      <c r="C227" s="31"/>
      <c r="D227" s="31"/>
      <c r="E227" s="31"/>
      <c r="F227" s="179" t="s">
        <v>78</v>
      </c>
      <c r="G227" s="185">
        <v>600</v>
      </c>
      <c r="H227" s="186">
        <f>'Other Electriciy Rates'!$J$11</f>
        <v>0.075</v>
      </c>
      <c r="I227" s="187">
        <f>+G227*H227</f>
        <v>45</v>
      </c>
      <c r="J227" s="185">
        <v>600</v>
      </c>
      <c r="K227" s="186">
        <f>'Other Electriciy Rates'!$J$26</f>
        <v>0.075</v>
      </c>
      <c r="L227" s="214">
        <f>+J227*K227</f>
        <v>45</v>
      </c>
      <c r="M227" s="215">
        <f>+L227-I227</f>
        <v>0</v>
      </c>
      <c r="N227" s="216">
        <f t="shared" si="17"/>
        <v>0</v>
      </c>
      <c r="O227" s="217">
        <f>L227/L232</f>
        <v>0.06593227848239526</v>
      </c>
      <c r="P227" s="361"/>
    </row>
    <row r="228" spans="2:16" ht="18" customHeight="1">
      <c r="B228" s="154"/>
      <c r="C228" s="31"/>
      <c r="D228" s="31"/>
      <c r="E228" s="31"/>
      <c r="F228" s="179" t="s">
        <v>78</v>
      </c>
      <c r="G228" s="185">
        <f>G226-G227</f>
        <v>4795.5</v>
      </c>
      <c r="H228" s="186">
        <f>'Other Electriciy Rates'!$K$11</f>
        <v>0.088</v>
      </c>
      <c r="I228" s="187">
        <f>+G228*H228</f>
        <v>422.00399999999996</v>
      </c>
      <c r="J228" s="185">
        <f>J226-J227</f>
        <v>4800</v>
      </c>
      <c r="K228" s="186">
        <f>'Other Electriciy Rates'!$K$26</f>
        <v>0.088</v>
      </c>
      <c r="L228" s="214">
        <f>+J228*K228</f>
        <v>422.4</v>
      </c>
      <c r="M228" s="215">
        <f>+L228-I228</f>
        <v>0.396000000000015</v>
      </c>
      <c r="N228" s="216">
        <f t="shared" si="17"/>
        <v>0.0009383797309978461</v>
      </c>
      <c r="O228" s="217">
        <f>L228/L232</f>
        <v>0.6188843206880835</v>
      </c>
      <c r="P228" s="147"/>
    </row>
    <row r="229" spans="2:16" ht="18" customHeight="1" thickBot="1">
      <c r="B229" s="154"/>
      <c r="C229" s="31"/>
      <c r="D229" s="31"/>
      <c r="E229" s="31"/>
      <c r="F229" s="181" t="s">
        <v>235</v>
      </c>
      <c r="G229" s="279">
        <f>G226</f>
        <v>5395.5</v>
      </c>
      <c r="H229" s="186">
        <f>'2012 Rate Rider'!$G$8</f>
        <v>0</v>
      </c>
      <c r="I229" s="189">
        <f>+G229*H229</f>
        <v>0</v>
      </c>
      <c r="J229" s="279">
        <f>G229</f>
        <v>5395.5</v>
      </c>
      <c r="K229" s="186">
        <f>'2012 Rate Rider'!$G$8</f>
        <v>0</v>
      </c>
      <c r="L229" s="211">
        <f>+J229*K229</f>
        <v>0</v>
      </c>
      <c r="M229" s="212">
        <f>+L229-I229</f>
        <v>0</v>
      </c>
      <c r="N229" s="213" t="e">
        <f t="shared" si="17"/>
        <v>#DIV/0!</v>
      </c>
      <c r="O229" s="226">
        <f>L229/L232</f>
        <v>0</v>
      </c>
      <c r="P229" s="147"/>
    </row>
    <row r="230" spans="2:16" ht="18" customHeight="1" thickBot="1">
      <c r="B230" s="154"/>
      <c r="C230" s="31"/>
      <c r="D230" s="31"/>
      <c r="E230" s="31"/>
      <c r="F230" s="218" t="s">
        <v>192</v>
      </c>
      <c r="G230" s="530"/>
      <c r="H230" s="531"/>
      <c r="I230" s="220">
        <f>SUM(I225:I229)</f>
        <v>648.34335</v>
      </c>
      <c r="J230" s="530"/>
      <c r="K230" s="531"/>
      <c r="L230" s="220">
        <f>SUM(L225:L229)</f>
        <v>603.9986750979758</v>
      </c>
      <c r="M230" s="362">
        <f>SUM(M225:M228)</f>
        <v>-44.34467490202406</v>
      </c>
      <c r="N230" s="223">
        <f t="shared" si="17"/>
        <v>-0.0683968994237761</v>
      </c>
      <c r="O230" s="351">
        <f>L230/L232</f>
        <v>0.8849557522123893</v>
      </c>
      <c r="P230" s="147"/>
    </row>
    <row r="231" spans="2:16" ht="18" customHeight="1" thickBot="1">
      <c r="B231" s="154"/>
      <c r="C231" s="31"/>
      <c r="D231" s="31"/>
      <c r="E231" s="31"/>
      <c r="F231" s="278" t="s">
        <v>193</v>
      </c>
      <c r="G231" s="279"/>
      <c r="H231" s="283">
        <f>$H$177</f>
        <v>0.13</v>
      </c>
      <c r="I231" s="280">
        <f>I230*H231</f>
        <v>84.28463550000001</v>
      </c>
      <c r="J231" s="279"/>
      <c r="K231" s="283">
        <f>$K$177</f>
        <v>0.13</v>
      </c>
      <c r="L231" s="281">
        <f>L230*K231</f>
        <v>78.51982776273685</v>
      </c>
      <c r="M231" s="212">
        <f>+L231-I231</f>
        <v>-5.764807737263155</v>
      </c>
      <c r="N231" s="213">
        <f t="shared" si="17"/>
        <v>-0.0683968994237764</v>
      </c>
      <c r="O231" s="226">
        <f>L231/L232</f>
        <v>0.1150442477876106</v>
      </c>
      <c r="P231" s="147"/>
    </row>
    <row r="232" spans="2:16" ht="18" customHeight="1" thickBot="1">
      <c r="B232" s="154"/>
      <c r="C232" s="31"/>
      <c r="D232" s="31"/>
      <c r="E232" s="35"/>
      <c r="F232" s="219" t="s">
        <v>79</v>
      </c>
      <c r="G232" s="542"/>
      <c r="H232" s="543"/>
      <c r="I232" s="221">
        <f>I230+I231</f>
        <v>732.6279855</v>
      </c>
      <c r="J232" s="542"/>
      <c r="K232" s="543"/>
      <c r="L232" s="221">
        <f>L230+L231</f>
        <v>682.5185028607127</v>
      </c>
      <c r="M232" s="363">
        <f>M230+M231</f>
        <v>-50.109482639287215</v>
      </c>
      <c r="N232" s="223">
        <f t="shared" si="17"/>
        <v>-0.06839689942377612</v>
      </c>
      <c r="O232" s="225">
        <f>SUM(O230:O231)</f>
        <v>0.9999999999999999</v>
      </c>
      <c r="P232" s="147"/>
    </row>
    <row r="233" spans="2:16" ht="18" customHeight="1" thickBot="1">
      <c r="B233" s="148"/>
      <c r="C233" s="160"/>
      <c r="D233" s="160"/>
      <c r="E233" s="160"/>
      <c r="F233" s="161"/>
      <c r="G233" s="162"/>
      <c r="H233" s="163"/>
      <c r="I233" s="164"/>
      <c r="J233" s="162"/>
      <c r="K233" s="165"/>
      <c r="L233" s="164"/>
      <c r="M233" s="169"/>
      <c r="N233" s="167"/>
      <c r="O233" s="168"/>
      <c r="P233" s="149"/>
    </row>
    <row r="234" spans="2:16" ht="18" customHeight="1" thickBot="1">
      <c r="B234" s="25"/>
      <c r="C234" s="31"/>
      <c r="D234" s="31"/>
      <c r="E234" s="31"/>
      <c r="F234" s="49"/>
      <c r="G234" s="50"/>
      <c r="H234" s="51"/>
      <c r="I234" s="52"/>
      <c r="J234" s="50"/>
      <c r="K234" s="53"/>
      <c r="L234" s="52"/>
      <c r="M234" s="159"/>
      <c r="N234" s="157"/>
      <c r="O234" s="158"/>
      <c r="P234" s="25"/>
    </row>
    <row r="235" spans="2:16" ht="18" customHeight="1">
      <c r="B235" s="156"/>
      <c r="C235" s="539"/>
      <c r="D235" s="539"/>
      <c r="E235" s="539"/>
      <c r="F235" s="539"/>
      <c r="G235" s="539"/>
      <c r="H235" s="539"/>
      <c r="I235" s="539"/>
      <c r="J235" s="539"/>
      <c r="K235" s="539"/>
      <c r="L235" s="539"/>
      <c r="M235" s="539"/>
      <c r="N235" s="539"/>
      <c r="O235" s="539"/>
      <c r="P235" s="146"/>
    </row>
    <row r="236" spans="2:16" ht="23.25">
      <c r="B236" s="154"/>
      <c r="C236" s="540" t="s">
        <v>135</v>
      </c>
      <c r="D236" s="540"/>
      <c r="E236" s="540"/>
      <c r="F236" s="540"/>
      <c r="G236" s="540"/>
      <c r="H236" s="540"/>
      <c r="I236" s="540"/>
      <c r="J236" s="540"/>
      <c r="K236" s="540"/>
      <c r="L236" s="540"/>
      <c r="M236" s="540"/>
      <c r="N236" s="540"/>
      <c r="O236" s="540"/>
      <c r="P236" s="147"/>
    </row>
    <row r="237" spans="2:16" ht="18" customHeight="1" thickBot="1">
      <c r="B237" s="154"/>
      <c r="C237" s="541"/>
      <c r="D237" s="541"/>
      <c r="E237" s="541"/>
      <c r="F237" s="541"/>
      <c r="G237" s="541"/>
      <c r="H237" s="541"/>
      <c r="I237" s="541"/>
      <c r="J237" s="541"/>
      <c r="K237" s="541"/>
      <c r="L237" s="541"/>
      <c r="M237" s="541"/>
      <c r="N237" s="541"/>
      <c r="O237" s="541"/>
      <c r="P237" s="147"/>
    </row>
    <row r="238" spans="2:16" ht="18" customHeight="1" thickBot="1">
      <c r="B238" s="154"/>
      <c r="C238" s="155"/>
      <c r="D238" s="155"/>
      <c r="E238" s="31"/>
      <c r="F238" s="37"/>
      <c r="G238" s="534" t="str">
        <f>$G$10</f>
        <v>2011 BILL</v>
      </c>
      <c r="H238" s="535"/>
      <c r="I238" s="536"/>
      <c r="J238" s="534" t="str">
        <f>$J$10</f>
        <v>2012 BILL</v>
      </c>
      <c r="K238" s="535"/>
      <c r="L238" s="536"/>
      <c r="M238" s="534" t="s">
        <v>73</v>
      </c>
      <c r="N238" s="535"/>
      <c r="O238" s="536"/>
      <c r="P238" s="147"/>
    </row>
    <row r="239" spans="2:16" ht="39" thickBot="1">
      <c r="B239" s="154"/>
      <c r="C239" s="31"/>
      <c r="D239" s="31"/>
      <c r="E239" s="33"/>
      <c r="F239" s="38"/>
      <c r="G239" s="170" t="s">
        <v>67</v>
      </c>
      <c r="H239" s="171" t="s">
        <v>68</v>
      </c>
      <c r="I239" s="172" t="s">
        <v>69</v>
      </c>
      <c r="J239" s="173" t="s">
        <v>67</v>
      </c>
      <c r="K239" s="171" t="s">
        <v>68</v>
      </c>
      <c r="L239" s="172" t="s">
        <v>69</v>
      </c>
      <c r="M239" s="174" t="s">
        <v>80</v>
      </c>
      <c r="N239" s="175" t="s">
        <v>81</v>
      </c>
      <c r="O239" s="176" t="s">
        <v>76</v>
      </c>
      <c r="P239" s="147"/>
    </row>
    <row r="240" spans="2:16" ht="18" customHeight="1" thickBot="1">
      <c r="B240" s="154"/>
      <c r="C240" s="528" t="s">
        <v>70</v>
      </c>
      <c r="D240" s="529"/>
      <c r="E240" s="31"/>
      <c r="F240" s="180" t="s">
        <v>71</v>
      </c>
      <c r="G240" s="190"/>
      <c r="H240" s="191"/>
      <c r="I240" s="192">
        <f>'2011 Existing Rates'!$C$9</f>
        <v>11.06</v>
      </c>
      <c r="J240" s="190"/>
      <c r="K240" s="191"/>
      <c r="L240" s="195">
        <f>'Rate Schedule (Part 1)'!$E$20</f>
        <v>14.96</v>
      </c>
      <c r="M240" s="204">
        <f aca="true" t="shared" si="18" ref="M240:M247">+L240-I240</f>
        <v>3.9000000000000004</v>
      </c>
      <c r="N240" s="205">
        <f aca="true" t="shared" si="19" ref="N240:N257">+M240/I240</f>
        <v>0.352622061482821</v>
      </c>
      <c r="O240" s="206">
        <f>L240/L257</f>
        <v>0.011088822533218351</v>
      </c>
      <c r="P240" s="147"/>
    </row>
    <row r="241" spans="2:16" ht="18" customHeight="1" thickBot="1">
      <c r="B241" s="154"/>
      <c r="C241" s="152">
        <v>10000</v>
      </c>
      <c r="D241" s="153" t="s">
        <v>16</v>
      </c>
      <c r="E241" s="31"/>
      <c r="F241" s="181" t="s">
        <v>72</v>
      </c>
      <c r="G241" s="184">
        <f>+C241</f>
        <v>10000</v>
      </c>
      <c r="H241" s="178">
        <f>'2011 Existing Rates'!$E$9</f>
        <v>0.0017</v>
      </c>
      <c r="I241" s="193">
        <f>+G241*H241</f>
        <v>17</v>
      </c>
      <c r="J241" s="184">
        <f>+C241</f>
        <v>10000</v>
      </c>
      <c r="K241" s="177">
        <f>'Rate Schedule (Part 1)'!$E$21</f>
        <v>0.0063</v>
      </c>
      <c r="L241" s="197">
        <f>+J241*K241</f>
        <v>63</v>
      </c>
      <c r="M241" s="207">
        <f t="shared" si="18"/>
        <v>46</v>
      </c>
      <c r="N241" s="201">
        <f t="shared" si="19"/>
        <v>2.7058823529411766</v>
      </c>
      <c r="O241" s="208">
        <f>L241/L257</f>
        <v>0.04669758152357995</v>
      </c>
      <c r="P241" s="147"/>
    </row>
    <row r="242" spans="2:16" ht="18" customHeight="1">
      <c r="B242" s="154"/>
      <c r="C242" s="63"/>
      <c r="D242" s="64"/>
      <c r="E242" s="31"/>
      <c r="F242" s="181" t="s">
        <v>222</v>
      </c>
      <c r="G242" s="184">
        <f>G241</f>
        <v>10000</v>
      </c>
      <c r="H242" s="178">
        <f>'2011 Existing Rates'!$B$35</f>
        <v>0.0014</v>
      </c>
      <c r="I242" s="193">
        <f>+G242*H242</f>
        <v>14</v>
      </c>
      <c r="J242" s="184">
        <f>J241</f>
        <v>10000</v>
      </c>
      <c r="K242" s="177">
        <f>'Rate Schedule (Part 1)'!$E$22</f>
        <v>0.0011</v>
      </c>
      <c r="L242" s="197">
        <f>+J242*K242</f>
        <v>11</v>
      </c>
      <c r="M242" s="207">
        <f t="shared" si="18"/>
        <v>-3</v>
      </c>
      <c r="N242" s="201">
        <f t="shared" si="19"/>
        <v>-0.21428571428571427</v>
      </c>
      <c r="O242" s="208">
        <f>L242/L257</f>
        <v>0.008153545980307611</v>
      </c>
      <c r="P242" s="147"/>
    </row>
    <row r="243" spans="2:16" ht="18" customHeight="1">
      <c r="B243" s="154"/>
      <c r="C243" s="63"/>
      <c r="D243" s="64"/>
      <c r="E243" s="31"/>
      <c r="F243" s="181" t="s">
        <v>271</v>
      </c>
      <c r="G243" s="203"/>
      <c r="H243" s="202"/>
      <c r="I243" s="193">
        <f>'2011 Existing Rates'!$B$48</f>
        <v>1.45</v>
      </c>
      <c r="J243" s="203"/>
      <c r="K243" s="202"/>
      <c r="L243" s="197">
        <f>'Rate Schedule (Part 1)'!$E$24</f>
        <v>0.9492644326503402</v>
      </c>
      <c r="M243" s="207">
        <f t="shared" si="18"/>
        <v>-0.5007355673496597</v>
      </c>
      <c r="N243" s="201">
        <f t="shared" si="19"/>
        <v>-0.3453348740342481</v>
      </c>
      <c r="O243" s="208">
        <f>L243/L257</f>
        <v>0.0007036246544622879</v>
      </c>
      <c r="P243" s="147"/>
    </row>
    <row r="244" spans="1:16" ht="18" customHeight="1" thickBot="1">
      <c r="A244" s="147"/>
      <c r="B244" s="25"/>
      <c r="C244" s="31"/>
      <c r="D244" s="31"/>
      <c r="E244" s="31"/>
      <c r="F244" s="181" t="s">
        <v>160</v>
      </c>
      <c r="G244" s="184">
        <f>C241</f>
        <v>10000</v>
      </c>
      <c r="H244" s="178">
        <f>H190</f>
        <v>0</v>
      </c>
      <c r="I244" s="189">
        <f>+G244*H244</f>
        <v>0</v>
      </c>
      <c r="J244" s="184">
        <f>C241</f>
        <v>10000</v>
      </c>
      <c r="K244" s="177">
        <f>'Rate Schedule (Part 1)'!$E$23</f>
        <v>0.0002</v>
      </c>
      <c r="L244" s="197">
        <f>J244*K244</f>
        <v>2</v>
      </c>
      <c r="M244" s="207">
        <f t="shared" si="18"/>
        <v>2</v>
      </c>
      <c r="N244" s="201" t="e">
        <f t="shared" si="19"/>
        <v>#DIV/0!</v>
      </c>
      <c r="O244" s="208">
        <f>L244/$L$257</f>
        <v>0.0014824629055104747</v>
      </c>
      <c r="P244" s="147"/>
    </row>
    <row r="245" spans="1:16" ht="18" customHeight="1">
      <c r="A245" s="147"/>
      <c r="B245" s="25"/>
      <c r="C245" s="31"/>
      <c r="D245" s="31"/>
      <c r="E245" s="31"/>
      <c r="F245" s="419" t="s">
        <v>270</v>
      </c>
      <c r="G245" s="203"/>
      <c r="H245" s="202"/>
      <c r="I245" s="192">
        <f>$I$63</f>
        <v>0</v>
      </c>
      <c r="J245" s="203"/>
      <c r="K245" s="202"/>
      <c r="L245" s="211">
        <f>'2012 Rate Rider'!$E$8</f>
        <v>5.9887322983164735</v>
      </c>
      <c r="M245" s="207">
        <f t="shared" si="18"/>
        <v>5.9887322983164735</v>
      </c>
      <c r="N245" s="201" t="e">
        <f t="shared" si="19"/>
        <v>#DIV/0!</v>
      </c>
      <c r="O245" s="208">
        <f>L245/$L$257</f>
        <v>0.004439036741643331</v>
      </c>
      <c r="P245" s="147"/>
    </row>
    <row r="246" spans="1:16" ht="18" customHeight="1">
      <c r="A246" s="147"/>
      <c r="B246" s="25"/>
      <c r="C246" s="31"/>
      <c r="D246" s="31"/>
      <c r="E246" s="31"/>
      <c r="F246" s="419" t="s">
        <v>272</v>
      </c>
      <c r="G246" s="203"/>
      <c r="H246" s="202"/>
      <c r="I246" s="193">
        <f>I192</f>
        <v>0.12</v>
      </c>
      <c r="J246" s="194">
        <f>G246</f>
        <v>0</v>
      </c>
      <c r="K246" s="420">
        <f>'2012 Rate Rider'!$F$8</f>
        <v>0</v>
      </c>
      <c r="L246" s="193">
        <f>+J246*K246</f>
        <v>0</v>
      </c>
      <c r="M246" s="207">
        <f t="shared" si="18"/>
        <v>-0.12</v>
      </c>
      <c r="N246" s="201">
        <f t="shared" si="19"/>
        <v>-1</v>
      </c>
      <c r="O246" s="208">
        <f>L246/$L$257</f>
        <v>0</v>
      </c>
      <c r="P246" s="147"/>
    </row>
    <row r="247" spans="1:16" ht="18" customHeight="1" thickBot="1">
      <c r="A247" s="147"/>
      <c r="B247" s="25"/>
      <c r="C247" s="31"/>
      <c r="D247" s="31"/>
      <c r="E247" s="31"/>
      <c r="F247" s="182" t="s">
        <v>221</v>
      </c>
      <c r="G247" s="209">
        <f>+C241</f>
        <v>10000</v>
      </c>
      <c r="H247" s="210">
        <f>'2011 Existing Rates'!$B$22</f>
        <v>0.0067</v>
      </c>
      <c r="I247" s="211">
        <f>+G247*H247</f>
        <v>67</v>
      </c>
      <c r="J247" s="209">
        <f>+C241</f>
        <v>10000</v>
      </c>
      <c r="K247" s="210">
        <f>K193</f>
        <v>-0.00857757417187244</v>
      </c>
      <c r="L247" s="211">
        <f>+J247*K247</f>
        <v>-85.77574171872439</v>
      </c>
      <c r="M247" s="207">
        <f t="shared" si="18"/>
        <v>-152.7757417187244</v>
      </c>
      <c r="N247" s="201">
        <f t="shared" si="19"/>
        <v>-2.2802349510257374</v>
      </c>
      <c r="O247" s="208">
        <f>L247/$L$257</f>
        <v>-0.0635796776453281</v>
      </c>
      <c r="P247" s="361"/>
    </row>
    <row r="248" spans="1:16" ht="18" customHeight="1" thickBot="1">
      <c r="A248" s="147"/>
      <c r="F248" s="218" t="s">
        <v>223</v>
      </c>
      <c r="G248" s="530"/>
      <c r="H248" s="531"/>
      <c r="I248" s="220">
        <f>SUM(I240:I247)</f>
        <v>110.63</v>
      </c>
      <c r="J248" s="530"/>
      <c r="K248" s="531"/>
      <c r="L248" s="220">
        <f>SUM(L240:L247)</f>
        <v>12.122255012242434</v>
      </c>
      <c r="M248" s="222">
        <f>SUM(M240:M247)</f>
        <v>-98.50774498775758</v>
      </c>
      <c r="N248" s="223">
        <f t="shared" si="19"/>
        <v>-0.8904252462058897</v>
      </c>
      <c r="O248" s="225">
        <f>L248/L257</f>
        <v>0.008985396693393917</v>
      </c>
      <c r="P248" s="361"/>
    </row>
    <row r="249" spans="1:16" ht="18" customHeight="1" thickBot="1">
      <c r="A249" s="147"/>
      <c r="F249" s="181" t="s">
        <v>224</v>
      </c>
      <c r="G249" s="348">
        <f>C241*'Other Electriciy Rates'!$L$11</f>
        <v>10791</v>
      </c>
      <c r="H249" s="349">
        <f>'Other Electriciy Rates'!$B$11</f>
        <v>0.0092</v>
      </c>
      <c r="I249" s="193">
        <f>+G249*H249</f>
        <v>99.2772</v>
      </c>
      <c r="J249" s="348">
        <f>'BILL IMPACTS '!C241*'Other Electriciy Rates'!$L$26</f>
        <v>10800</v>
      </c>
      <c r="K249" s="349">
        <f>'Other Electriciy Rates'!$B$26</f>
        <v>0.009364546153031724</v>
      </c>
      <c r="L249" s="193">
        <f>+J249*K249</f>
        <v>101.13709845274262</v>
      </c>
      <c r="M249" s="350">
        <f>+L249-I249</f>
        <v>1.8598984527426268</v>
      </c>
      <c r="N249" s="205">
        <f t="shared" si="19"/>
        <v>0.018734396747114412</v>
      </c>
      <c r="O249" s="206">
        <f>L249/L257</f>
        <v>0.07496599841357587</v>
      </c>
      <c r="P249" s="361"/>
    </row>
    <row r="250" spans="1:16" ht="18" customHeight="1" thickBot="1">
      <c r="A250" s="147"/>
      <c r="F250" s="218" t="s">
        <v>225</v>
      </c>
      <c r="G250" s="530"/>
      <c r="H250" s="531"/>
      <c r="I250" s="220">
        <f>I248+I249</f>
        <v>209.9072</v>
      </c>
      <c r="J250" s="530"/>
      <c r="K250" s="531"/>
      <c r="L250" s="220">
        <f>L248+L249</f>
        <v>113.25935346498505</v>
      </c>
      <c r="M250" s="220">
        <f>M248+M249</f>
        <v>-96.64784653501495</v>
      </c>
      <c r="N250" s="223">
        <f t="shared" si="19"/>
        <v>-0.4604313074302118</v>
      </c>
      <c r="O250" s="351">
        <f>L250/L257</f>
        <v>0.08395139510696979</v>
      </c>
      <c r="P250" s="361"/>
    </row>
    <row r="251" spans="1:16" ht="18" customHeight="1">
      <c r="A251" s="147"/>
      <c r="F251" s="183" t="s">
        <v>77</v>
      </c>
      <c r="G251" s="185">
        <f>+'Other Electriciy Rates'!$L$10*C241</f>
        <v>10791</v>
      </c>
      <c r="H251" s="186">
        <f>'Other Electriciy Rates'!$C$11+'Other Electriciy Rates'!$D$11</f>
        <v>0.012986887220832175</v>
      </c>
      <c r="I251" s="187">
        <f>+G251*H251</f>
        <v>140.1415</v>
      </c>
      <c r="J251" s="185">
        <f>J249</f>
        <v>10800</v>
      </c>
      <c r="K251" s="186">
        <f>'Other Electriciy Rates'!$C$26+'Other Electriciy Rates'!$D$26</f>
        <v>0.01278148148148148</v>
      </c>
      <c r="L251" s="214">
        <f>+J251*K251</f>
        <v>138.04</v>
      </c>
      <c r="M251" s="215">
        <f>+L251-I251</f>
        <v>-2.1015000000000157</v>
      </c>
      <c r="N251" s="216">
        <f t="shared" si="19"/>
        <v>-0.014995558060959927</v>
      </c>
      <c r="O251" s="282">
        <f>L251/L257</f>
        <v>0.10231958973833295</v>
      </c>
      <c r="P251" s="361"/>
    </row>
    <row r="252" spans="1:16" ht="18" customHeight="1">
      <c r="A252" s="147"/>
      <c r="B252" s="25"/>
      <c r="C252" s="31"/>
      <c r="D252" s="31"/>
      <c r="E252" s="31"/>
      <c r="F252" s="179" t="s">
        <v>78</v>
      </c>
      <c r="G252" s="185">
        <v>600</v>
      </c>
      <c r="H252" s="186">
        <f>'Other Electriciy Rates'!$J$11</f>
        <v>0.075</v>
      </c>
      <c r="I252" s="187">
        <f>+G252*H252</f>
        <v>45</v>
      </c>
      <c r="J252" s="185">
        <v>600</v>
      </c>
      <c r="K252" s="186">
        <f>'Other Electriciy Rates'!$J$26</f>
        <v>0.075</v>
      </c>
      <c r="L252" s="214">
        <f>+J252*K252</f>
        <v>45</v>
      </c>
      <c r="M252" s="215">
        <f>+L252-I252</f>
        <v>0</v>
      </c>
      <c r="N252" s="216">
        <f t="shared" si="19"/>
        <v>0</v>
      </c>
      <c r="O252" s="217">
        <f>L252/L257</f>
        <v>0.03335541537398568</v>
      </c>
      <c r="P252" s="361"/>
    </row>
    <row r="253" spans="2:16" ht="18" customHeight="1">
      <c r="B253" s="154"/>
      <c r="C253" s="31"/>
      <c r="D253" s="31"/>
      <c r="E253" s="31"/>
      <c r="F253" s="179" t="s">
        <v>78</v>
      </c>
      <c r="G253" s="185">
        <f>G251-G252</f>
        <v>10191</v>
      </c>
      <c r="H253" s="186">
        <f>'Other Electriciy Rates'!$K$11</f>
        <v>0.088</v>
      </c>
      <c r="I253" s="187">
        <f>+G253*H253</f>
        <v>896.808</v>
      </c>
      <c r="J253" s="185">
        <f>J251-J252</f>
        <v>10200</v>
      </c>
      <c r="K253" s="186">
        <f>'Other Electriciy Rates'!$K$26</f>
        <v>0.088</v>
      </c>
      <c r="L253" s="214">
        <f>+J253*K253</f>
        <v>897.5999999999999</v>
      </c>
      <c r="M253" s="215">
        <f>+L253-I253</f>
        <v>0.7919999999999163</v>
      </c>
      <c r="N253" s="216">
        <f t="shared" si="19"/>
        <v>0.0008831321754488322</v>
      </c>
      <c r="O253" s="217">
        <f>L253/L257</f>
        <v>0.665329351993101</v>
      </c>
      <c r="P253" s="147"/>
    </row>
    <row r="254" spans="2:16" ht="18" customHeight="1" thickBot="1">
      <c r="B254" s="154"/>
      <c r="C254" s="31"/>
      <c r="D254" s="31"/>
      <c r="E254" s="31"/>
      <c r="F254" s="181" t="s">
        <v>235</v>
      </c>
      <c r="G254" s="279">
        <f>G251</f>
        <v>10791</v>
      </c>
      <c r="H254" s="186">
        <f>'2012 Rate Rider'!$G$8</f>
        <v>0</v>
      </c>
      <c r="I254" s="189">
        <f>+G254*H254</f>
        <v>0</v>
      </c>
      <c r="J254" s="279">
        <f>G254</f>
        <v>10791</v>
      </c>
      <c r="K254" s="186">
        <f>'2012 Rate Rider'!$G$8</f>
        <v>0</v>
      </c>
      <c r="L254" s="211">
        <f>+J254*K254</f>
        <v>0</v>
      </c>
      <c r="M254" s="212">
        <f>+L254-I254</f>
        <v>0</v>
      </c>
      <c r="N254" s="213" t="e">
        <f t="shared" si="19"/>
        <v>#DIV/0!</v>
      </c>
      <c r="O254" s="226">
        <f>L254/L257</f>
        <v>0</v>
      </c>
      <c r="P254" s="147"/>
    </row>
    <row r="255" spans="2:16" ht="18" customHeight="1" thickBot="1">
      <c r="B255" s="154"/>
      <c r="C255" s="31"/>
      <c r="D255" s="31"/>
      <c r="E255" s="31"/>
      <c r="F255" s="218" t="s">
        <v>192</v>
      </c>
      <c r="G255" s="530"/>
      <c r="H255" s="531"/>
      <c r="I255" s="220">
        <f>SUM(I250:I254)</f>
        <v>1291.8567</v>
      </c>
      <c r="J255" s="530"/>
      <c r="K255" s="531"/>
      <c r="L255" s="220">
        <f>SUM(L250:L254)</f>
        <v>1193.8993534649849</v>
      </c>
      <c r="M255" s="362">
        <f>SUM(M250:M253)</f>
        <v>-97.95734653501505</v>
      </c>
      <c r="N255" s="223">
        <f t="shared" si="19"/>
        <v>-0.07582678987151983</v>
      </c>
      <c r="O255" s="351">
        <f>L255/L257</f>
        <v>0.8849557522123893</v>
      </c>
      <c r="P255" s="147"/>
    </row>
    <row r="256" spans="2:16" ht="18" customHeight="1" thickBot="1">
      <c r="B256" s="154"/>
      <c r="C256" s="31"/>
      <c r="D256" s="31"/>
      <c r="E256" s="31"/>
      <c r="F256" s="278" t="s">
        <v>193</v>
      </c>
      <c r="G256" s="279"/>
      <c r="H256" s="283">
        <f>$H$177</f>
        <v>0.13</v>
      </c>
      <c r="I256" s="280">
        <f>I255*H256</f>
        <v>167.941371</v>
      </c>
      <c r="J256" s="279"/>
      <c r="K256" s="283">
        <f>$K$177</f>
        <v>0.13</v>
      </c>
      <c r="L256" s="281">
        <f>L255*K256</f>
        <v>155.20691595044804</v>
      </c>
      <c r="M256" s="212">
        <f>+L256-I256</f>
        <v>-12.734455049551968</v>
      </c>
      <c r="N256" s="213">
        <f t="shared" si="19"/>
        <v>-0.07582678987151992</v>
      </c>
      <c r="O256" s="226">
        <f>L256/L257</f>
        <v>0.11504424778761062</v>
      </c>
      <c r="P256" s="147"/>
    </row>
    <row r="257" spans="2:16" ht="18" customHeight="1" thickBot="1">
      <c r="B257" s="154"/>
      <c r="C257" s="31"/>
      <c r="D257" s="31"/>
      <c r="E257" s="35"/>
      <c r="F257" s="219" t="s">
        <v>79</v>
      </c>
      <c r="G257" s="542"/>
      <c r="H257" s="543"/>
      <c r="I257" s="221">
        <f>I255+I256</f>
        <v>1459.7980710000002</v>
      </c>
      <c r="J257" s="542"/>
      <c r="K257" s="543"/>
      <c r="L257" s="221">
        <f>L255+L256</f>
        <v>1349.106269415433</v>
      </c>
      <c r="M257" s="363">
        <f>M255+M256</f>
        <v>-110.69180158456702</v>
      </c>
      <c r="N257" s="223">
        <f t="shared" si="19"/>
        <v>-0.07582678987151985</v>
      </c>
      <c r="O257" s="225">
        <f>SUM(O255:O256)</f>
        <v>0.9999999999999999</v>
      </c>
      <c r="P257" s="147"/>
    </row>
    <row r="258" spans="2:16" ht="18" customHeight="1" thickBot="1">
      <c r="B258" s="148"/>
      <c r="C258" s="160"/>
      <c r="D258" s="160"/>
      <c r="E258" s="160"/>
      <c r="F258" s="161"/>
      <c r="G258" s="162"/>
      <c r="H258" s="163"/>
      <c r="I258" s="164"/>
      <c r="J258" s="162"/>
      <c r="K258" s="165"/>
      <c r="L258" s="164"/>
      <c r="M258" s="169"/>
      <c r="N258" s="167"/>
      <c r="O258" s="168"/>
      <c r="P258" s="149"/>
    </row>
    <row r="259" spans="1:16" ht="18" customHeight="1" thickBot="1">
      <c r="A259" s="25"/>
      <c r="B259" s="25"/>
      <c r="C259" s="31"/>
      <c r="D259" s="31"/>
      <c r="E259" s="31"/>
      <c r="F259" s="49"/>
      <c r="G259" s="50"/>
      <c r="H259" s="51"/>
      <c r="I259" s="52"/>
      <c r="J259" s="50"/>
      <c r="K259" s="53"/>
      <c r="L259" s="52"/>
      <c r="M259" s="159"/>
      <c r="N259" s="157"/>
      <c r="O259" s="158"/>
      <c r="P259" s="423"/>
    </row>
    <row r="260" spans="2:16" ht="18" customHeight="1">
      <c r="B260" s="156"/>
      <c r="C260" s="539"/>
      <c r="D260" s="539"/>
      <c r="E260" s="539"/>
      <c r="F260" s="539"/>
      <c r="G260" s="539"/>
      <c r="H260" s="539"/>
      <c r="I260" s="539"/>
      <c r="J260" s="539"/>
      <c r="K260" s="539"/>
      <c r="L260" s="539"/>
      <c r="M260" s="539"/>
      <c r="N260" s="539"/>
      <c r="O260" s="539"/>
      <c r="P260" s="146"/>
    </row>
    <row r="261" spans="2:16" ht="23.25">
      <c r="B261" s="154"/>
      <c r="C261" s="540" t="s">
        <v>135</v>
      </c>
      <c r="D261" s="540"/>
      <c r="E261" s="540"/>
      <c r="F261" s="540"/>
      <c r="G261" s="540"/>
      <c r="H261" s="540"/>
      <c r="I261" s="540"/>
      <c r="J261" s="540"/>
      <c r="K261" s="540"/>
      <c r="L261" s="540"/>
      <c r="M261" s="540"/>
      <c r="N261" s="540"/>
      <c r="O261" s="540"/>
      <c r="P261" s="147"/>
    </row>
    <row r="262" spans="2:16" ht="18" customHeight="1" thickBot="1">
      <c r="B262" s="154"/>
      <c r="C262" s="541"/>
      <c r="D262" s="541"/>
      <c r="E262" s="541"/>
      <c r="F262" s="541"/>
      <c r="G262" s="541"/>
      <c r="H262" s="541"/>
      <c r="I262" s="541"/>
      <c r="J262" s="541"/>
      <c r="K262" s="541"/>
      <c r="L262" s="541"/>
      <c r="M262" s="541"/>
      <c r="N262" s="541"/>
      <c r="O262" s="541"/>
      <c r="P262" s="147"/>
    </row>
    <row r="263" spans="2:16" ht="18" customHeight="1" thickBot="1">
      <c r="B263" s="154"/>
      <c r="C263" s="155"/>
      <c r="D263" s="155"/>
      <c r="E263" s="31"/>
      <c r="F263" s="37"/>
      <c r="G263" s="534" t="str">
        <f>$G$10</f>
        <v>2011 BILL</v>
      </c>
      <c r="H263" s="535"/>
      <c r="I263" s="536"/>
      <c r="J263" s="534" t="str">
        <f>$J$10</f>
        <v>2012 BILL</v>
      </c>
      <c r="K263" s="535"/>
      <c r="L263" s="536"/>
      <c r="M263" s="534" t="s">
        <v>73</v>
      </c>
      <c r="N263" s="535"/>
      <c r="O263" s="536"/>
      <c r="P263" s="147"/>
    </row>
    <row r="264" spans="2:16" ht="39" thickBot="1">
      <c r="B264" s="154"/>
      <c r="C264" s="31"/>
      <c r="D264" s="31"/>
      <c r="E264" s="33"/>
      <c r="F264" s="38"/>
      <c r="G264" s="170" t="s">
        <v>67</v>
      </c>
      <c r="H264" s="171" t="s">
        <v>68</v>
      </c>
      <c r="I264" s="172" t="s">
        <v>69</v>
      </c>
      <c r="J264" s="173" t="s">
        <v>67</v>
      </c>
      <c r="K264" s="171" t="s">
        <v>68</v>
      </c>
      <c r="L264" s="172" t="s">
        <v>69</v>
      </c>
      <c r="M264" s="174" t="s">
        <v>80</v>
      </c>
      <c r="N264" s="175" t="s">
        <v>81</v>
      </c>
      <c r="O264" s="176" t="s">
        <v>76</v>
      </c>
      <c r="P264" s="147"/>
    </row>
    <row r="265" spans="2:16" ht="18" customHeight="1" thickBot="1">
      <c r="B265" s="154"/>
      <c r="C265" s="528" t="s">
        <v>70</v>
      </c>
      <c r="D265" s="529"/>
      <c r="E265" s="31"/>
      <c r="F265" s="180" t="s">
        <v>71</v>
      </c>
      <c r="G265" s="190"/>
      <c r="H265" s="191"/>
      <c r="I265" s="192">
        <f>'2011 Existing Rates'!$C$9</f>
        <v>11.06</v>
      </c>
      <c r="J265" s="190"/>
      <c r="K265" s="191"/>
      <c r="L265" s="195">
        <f>'Rate Schedule (Part 1)'!$E$20</f>
        <v>14.96</v>
      </c>
      <c r="M265" s="204">
        <f aca="true" t="shared" si="20" ref="M265:M272">+L265-I265</f>
        <v>3.9000000000000004</v>
      </c>
      <c r="N265" s="205">
        <f aca="true" t="shared" si="21" ref="N265:N282">+M265/I265</f>
        <v>0.352622061482821</v>
      </c>
      <c r="O265" s="206">
        <f>L265/L282</f>
        <v>0.008892058156352118</v>
      </c>
      <c r="P265" s="147"/>
    </row>
    <row r="266" spans="2:16" ht="18" customHeight="1" thickBot="1">
      <c r="B266" s="154"/>
      <c r="C266" s="152">
        <v>12500</v>
      </c>
      <c r="D266" s="153" t="s">
        <v>16</v>
      </c>
      <c r="E266" s="31"/>
      <c r="F266" s="181" t="s">
        <v>72</v>
      </c>
      <c r="G266" s="184">
        <f>+C266</f>
        <v>12500</v>
      </c>
      <c r="H266" s="178">
        <f>'2011 Existing Rates'!$E$9</f>
        <v>0.0017</v>
      </c>
      <c r="I266" s="193">
        <f>+G266*H266</f>
        <v>21.25</v>
      </c>
      <c r="J266" s="184">
        <f>+C266</f>
        <v>12500</v>
      </c>
      <c r="K266" s="177">
        <f>'Rate Schedule (Part 1)'!$E$21</f>
        <v>0.0063</v>
      </c>
      <c r="L266" s="197">
        <f>+J266*K266</f>
        <v>78.75</v>
      </c>
      <c r="M266" s="207">
        <f t="shared" si="20"/>
        <v>57.5</v>
      </c>
      <c r="N266" s="201">
        <f t="shared" si="21"/>
        <v>2.7058823529411766</v>
      </c>
      <c r="O266" s="208">
        <f>L266/L282</f>
        <v>0.0468081269928295</v>
      </c>
      <c r="P266" s="147"/>
    </row>
    <row r="267" spans="2:16" ht="18" customHeight="1">
      <c r="B267" s="154"/>
      <c r="C267" s="63"/>
      <c r="D267" s="64"/>
      <c r="E267" s="31"/>
      <c r="F267" s="181" t="s">
        <v>222</v>
      </c>
      <c r="G267" s="184">
        <f>G266</f>
        <v>12500</v>
      </c>
      <c r="H267" s="178">
        <f>'2011 Existing Rates'!$B$35</f>
        <v>0.0014</v>
      </c>
      <c r="I267" s="193">
        <f>+G267*H267</f>
        <v>17.5</v>
      </c>
      <c r="J267" s="184">
        <f>J266</f>
        <v>12500</v>
      </c>
      <c r="K267" s="177">
        <f>'Rate Schedule (Part 1)'!$E$22</f>
        <v>0.0011</v>
      </c>
      <c r="L267" s="197">
        <f>+J267*K267</f>
        <v>13.75</v>
      </c>
      <c r="M267" s="207">
        <f t="shared" si="20"/>
        <v>-3.75</v>
      </c>
      <c r="N267" s="201">
        <f t="shared" si="21"/>
        <v>-0.21428571428571427</v>
      </c>
      <c r="O267" s="208">
        <f>L267/L282</f>
        <v>0.008172847570176578</v>
      </c>
      <c r="P267" s="147"/>
    </row>
    <row r="268" spans="2:16" ht="18" customHeight="1">
      <c r="B268" s="154"/>
      <c r="C268" s="63"/>
      <c r="D268" s="64"/>
      <c r="E268" s="31"/>
      <c r="F268" s="181" t="s">
        <v>271</v>
      </c>
      <c r="G268" s="203"/>
      <c r="H268" s="202"/>
      <c r="I268" s="193">
        <f>'2011 Existing Rates'!$B$48</f>
        <v>1.45</v>
      </c>
      <c r="J268" s="203"/>
      <c r="K268" s="202"/>
      <c r="L268" s="197">
        <f>'Rate Schedule (Part 1)'!$E$24</f>
        <v>0.9492644326503402</v>
      </c>
      <c r="M268" s="207">
        <f t="shared" si="20"/>
        <v>-0.5007355673496597</v>
      </c>
      <c r="N268" s="201">
        <f t="shared" si="21"/>
        <v>-0.3453348740342481</v>
      </c>
      <c r="O268" s="208">
        <f>L268/L282</f>
        <v>0.0005642322554066459</v>
      </c>
      <c r="P268" s="147"/>
    </row>
    <row r="269" spans="1:16" ht="18" customHeight="1" thickBot="1">
      <c r="A269" s="147"/>
      <c r="B269" s="25"/>
      <c r="C269" s="31"/>
      <c r="D269" s="31"/>
      <c r="E269" s="31"/>
      <c r="F269" s="181" t="s">
        <v>160</v>
      </c>
      <c r="G269" s="184">
        <f>C266</f>
        <v>12500</v>
      </c>
      <c r="H269" s="178">
        <f>H190</f>
        <v>0</v>
      </c>
      <c r="I269" s="189">
        <f>+G269*H269</f>
        <v>0</v>
      </c>
      <c r="J269" s="184">
        <f>C266</f>
        <v>12500</v>
      </c>
      <c r="K269" s="177">
        <f>'Rate Schedule (Part 1)'!$E$23</f>
        <v>0.0002</v>
      </c>
      <c r="L269" s="197">
        <f>J269*K269</f>
        <v>2.5</v>
      </c>
      <c r="M269" s="207">
        <f t="shared" si="20"/>
        <v>2.5</v>
      </c>
      <c r="N269" s="201" t="e">
        <f t="shared" si="21"/>
        <v>#DIV/0!</v>
      </c>
      <c r="O269" s="208">
        <f>L269/$L$282</f>
        <v>0.0014859722854866507</v>
      </c>
      <c r="P269" s="147"/>
    </row>
    <row r="270" spans="1:16" ht="18" customHeight="1">
      <c r="A270" s="147"/>
      <c r="B270" s="25"/>
      <c r="C270" s="31"/>
      <c r="D270" s="31"/>
      <c r="E270" s="31"/>
      <c r="F270" s="419" t="s">
        <v>270</v>
      </c>
      <c r="G270" s="203"/>
      <c r="H270" s="202"/>
      <c r="I270" s="192">
        <f>$I$63</f>
        <v>0</v>
      </c>
      <c r="J270" s="203"/>
      <c r="K270" s="202"/>
      <c r="L270" s="211">
        <f>'2012 Rate Rider'!$E$8</f>
        <v>5.9887322983164735</v>
      </c>
      <c r="M270" s="207">
        <f t="shared" si="20"/>
        <v>5.9887322983164735</v>
      </c>
      <c r="N270" s="201" t="e">
        <f t="shared" si="21"/>
        <v>#DIV/0!</v>
      </c>
      <c r="O270" s="208">
        <f>L270/$L$282</f>
        <v>0.0035596360881988208</v>
      </c>
      <c r="P270" s="147"/>
    </row>
    <row r="271" spans="1:16" ht="18" customHeight="1">
      <c r="A271" s="147"/>
      <c r="B271" s="25"/>
      <c r="C271" s="31"/>
      <c r="D271" s="31"/>
      <c r="E271" s="31"/>
      <c r="F271" s="419" t="s">
        <v>272</v>
      </c>
      <c r="G271" s="203"/>
      <c r="H271" s="202"/>
      <c r="I271" s="193">
        <f>I192</f>
        <v>0.12</v>
      </c>
      <c r="J271" s="194">
        <f>G271</f>
        <v>0</v>
      </c>
      <c r="K271" s="420">
        <f>'2012 Rate Rider'!$F$8</f>
        <v>0</v>
      </c>
      <c r="L271" s="193">
        <f>+J271*K271</f>
        <v>0</v>
      </c>
      <c r="M271" s="207">
        <f t="shared" si="20"/>
        <v>-0.12</v>
      </c>
      <c r="N271" s="201">
        <f t="shared" si="21"/>
        <v>-1</v>
      </c>
      <c r="O271" s="208">
        <f>L271/$L$282</f>
        <v>0</v>
      </c>
      <c r="P271" s="147"/>
    </row>
    <row r="272" spans="1:16" ht="18" customHeight="1" thickBot="1">
      <c r="A272" s="147"/>
      <c r="B272" s="25"/>
      <c r="C272" s="31"/>
      <c r="D272" s="31"/>
      <c r="E272" s="31"/>
      <c r="F272" s="182" t="s">
        <v>221</v>
      </c>
      <c r="G272" s="209">
        <f>+C266</f>
        <v>12500</v>
      </c>
      <c r="H272" s="210">
        <f>'2011 Existing Rates'!$B$22</f>
        <v>0.0067</v>
      </c>
      <c r="I272" s="211">
        <f>+G272*H272</f>
        <v>83.75</v>
      </c>
      <c r="J272" s="209">
        <f>+C266</f>
        <v>12500</v>
      </c>
      <c r="K272" s="210">
        <f>K193</f>
        <v>-0.00857757417187244</v>
      </c>
      <c r="L272" s="211">
        <f>+J272*K272</f>
        <v>-107.2196771484055</v>
      </c>
      <c r="M272" s="207">
        <f t="shared" si="20"/>
        <v>-190.96967714840548</v>
      </c>
      <c r="N272" s="201">
        <f t="shared" si="21"/>
        <v>-2.280234951025737</v>
      </c>
      <c r="O272" s="208">
        <f>L272/$L$282</f>
        <v>-0.06373018748054277</v>
      </c>
      <c r="P272" s="361"/>
    </row>
    <row r="273" spans="1:16" ht="18" customHeight="1" thickBot="1">
      <c r="A273" s="147"/>
      <c r="F273" s="218" t="s">
        <v>223</v>
      </c>
      <c r="G273" s="530"/>
      <c r="H273" s="531"/>
      <c r="I273" s="220">
        <f>SUM(I265:I272)</f>
        <v>135.13</v>
      </c>
      <c r="J273" s="530"/>
      <c r="K273" s="531"/>
      <c r="L273" s="220">
        <f>SUM(L265:L272)</f>
        <v>9.678319582561329</v>
      </c>
      <c r="M273" s="222">
        <f>SUM(M265:M272)</f>
        <v>-125.45168041743867</v>
      </c>
      <c r="N273" s="223">
        <f t="shared" si="21"/>
        <v>-0.9283777134421569</v>
      </c>
      <c r="O273" s="225">
        <f>L273/L282</f>
        <v>0.005752685867907546</v>
      </c>
      <c r="P273" s="361"/>
    </row>
    <row r="274" spans="1:16" ht="18" customHeight="1" thickBot="1">
      <c r="A274" s="147"/>
      <c r="F274" s="181" t="s">
        <v>224</v>
      </c>
      <c r="G274" s="348">
        <f>C266*'Other Electriciy Rates'!$L$11</f>
        <v>13488.75</v>
      </c>
      <c r="H274" s="349">
        <f>'Other Electriciy Rates'!$B$11</f>
        <v>0.0092</v>
      </c>
      <c r="I274" s="193">
        <f>+G274*H274</f>
        <v>124.09649999999999</v>
      </c>
      <c r="J274" s="348">
        <f>'BILL IMPACTS '!C266*'Other Electriciy Rates'!$L$26</f>
        <v>13500</v>
      </c>
      <c r="K274" s="349">
        <f>'Other Electriciy Rates'!$B$26</f>
        <v>0.009364546153031724</v>
      </c>
      <c r="L274" s="193">
        <f>+J274*K274</f>
        <v>126.42137306592828</v>
      </c>
      <c r="M274" s="350">
        <f>+L274-I274</f>
        <v>2.324873065928287</v>
      </c>
      <c r="N274" s="205">
        <f t="shared" si="21"/>
        <v>0.01873439674711444</v>
      </c>
      <c r="O274" s="206">
        <f>L274/L282</f>
        <v>0.07514346266765518</v>
      </c>
      <c r="P274" s="361"/>
    </row>
    <row r="275" spans="1:16" ht="18" customHeight="1" thickBot="1">
      <c r="A275" s="147"/>
      <c r="F275" s="218" t="s">
        <v>225</v>
      </c>
      <c r="G275" s="530"/>
      <c r="H275" s="531"/>
      <c r="I275" s="220">
        <f>I273+I274</f>
        <v>259.2265</v>
      </c>
      <c r="J275" s="530"/>
      <c r="K275" s="531"/>
      <c r="L275" s="220">
        <f>L273+L274</f>
        <v>136.09969264848962</v>
      </c>
      <c r="M275" s="220">
        <f>M273+M274</f>
        <v>-123.12680735151038</v>
      </c>
      <c r="N275" s="223">
        <f t="shared" si="21"/>
        <v>-0.47497770232406944</v>
      </c>
      <c r="O275" s="351">
        <f>L275/L282</f>
        <v>0.08089614853556273</v>
      </c>
      <c r="P275" s="361"/>
    </row>
    <row r="276" spans="1:16" ht="18" customHeight="1">
      <c r="A276" s="147"/>
      <c r="F276" s="183" t="s">
        <v>77</v>
      </c>
      <c r="G276" s="185">
        <f>+'Other Electriciy Rates'!$L$10*C266</f>
        <v>13488.75</v>
      </c>
      <c r="H276" s="186">
        <f>'Other Electriciy Rates'!$C$11+'Other Electriciy Rates'!$D$11</f>
        <v>0.012986887220832175</v>
      </c>
      <c r="I276" s="187">
        <f>+G276*H276</f>
        <v>175.176875</v>
      </c>
      <c r="J276" s="185">
        <f>J274</f>
        <v>13500</v>
      </c>
      <c r="K276" s="186">
        <f>'Other Electriciy Rates'!$C$26+'Other Electriciy Rates'!$D$26</f>
        <v>0.01278148148148148</v>
      </c>
      <c r="L276" s="214">
        <f>+J276*K276</f>
        <v>172.54999999999998</v>
      </c>
      <c r="M276" s="215">
        <f>+L276-I276</f>
        <v>-2.6268750000000125</v>
      </c>
      <c r="N276" s="216">
        <f t="shared" si="21"/>
        <v>-0.014995558060959887</v>
      </c>
      <c r="O276" s="282">
        <f>L276/L282</f>
        <v>0.10256180714428861</v>
      </c>
      <c r="P276" s="361"/>
    </row>
    <row r="277" spans="1:16" ht="18" customHeight="1">
      <c r="A277" s="147"/>
      <c r="B277" s="25"/>
      <c r="C277" s="31"/>
      <c r="D277" s="31"/>
      <c r="E277" s="31"/>
      <c r="F277" s="179" t="s">
        <v>78</v>
      </c>
      <c r="G277" s="185">
        <v>600</v>
      </c>
      <c r="H277" s="186">
        <f>'Other Electriciy Rates'!$J$11</f>
        <v>0.075</v>
      </c>
      <c r="I277" s="187">
        <f>+G277*H277</f>
        <v>45</v>
      </c>
      <c r="J277" s="185">
        <v>600</v>
      </c>
      <c r="K277" s="186">
        <f>'Other Electriciy Rates'!$J$26</f>
        <v>0.075</v>
      </c>
      <c r="L277" s="214">
        <f>+J277*K277</f>
        <v>45</v>
      </c>
      <c r="M277" s="215">
        <f>+L277-I277</f>
        <v>0</v>
      </c>
      <c r="N277" s="216">
        <f t="shared" si="21"/>
        <v>0</v>
      </c>
      <c r="O277" s="217">
        <f>L277/L282</f>
        <v>0.026747501138759712</v>
      </c>
      <c r="P277" s="361"/>
    </row>
    <row r="278" spans="2:16" ht="18" customHeight="1">
      <c r="B278" s="154"/>
      <c r="C278" s="31"/>
      <c r="D278" s="31"/>
      <c r="E278" s="31"/>
      <c r="F278" s="179" t="s">
        <v>78</v>
      </c>
      <c r="G278" s="185">
        <f>G276-G277</f>
        <v>12888.75</v>
      </c>
      <c r="H278" s="186">
        <f>'Other Electriciy Rates'!$K$11</f>
        <v>0.088</v>
      </c>
      <c r="I278" s="187">
        <f>+G278*H278</f>
        <v>1134.21</v>
      </c>
      <c r="J278" s="185">
        <f>J276-J277</f>
        <v>12900</v>
      </c>
      <c r="K278" s="186">
        <f>'Other Electriciy Rates'!$K$26</f>
        <v>0.088</v>
      </c>
      <c r="L278" s="214">
        <f>+J278*K278</f>
        <v>1135.2</v>
      </c>
      <c r="M278" s="215">
        <f>+L278-I278</f>
        <v>0.9900000000000091</v>
      </c>
      <c r="N278" s="216">
        <f t="shared" si="21"/>
        <v>0.0008728542333430397</v>
      </c>
      <c r="O278" s="217">
        <f>L278/L282</f>
        <v>0.6747502953937784</v>
      </c>
      <c r="P278" s="147"/>
    </row>
    <row r="279" spans="2:16" ht="18" customHeight="1" thickBot="1">
      <c r="B279" s="154"/>
      <c r="C279" s="31"/>
      <c r="D279" s="31"/>
      <c r="E279" s="31"/>
      <c r="F279" s="181" t="s">
        <v>235</v>
      </c>
      <c r="G279" s="279">
        <f>G276</f>
        <v>13488.75</v>
      </c>
      <c r="H279" s="186">
        <f>'2012 Rate Rider'!$G$8</f>
        <v>0</v>
      </c>
      <c r="I279" s="189">
        <f>+G279*H279</f>
        <v>0</v>
      </c>
      <c r="J279" s="279">
        <f>G279</f>
        <v>13488.75</v>
      </c>
      <c r="K279" s="186">
        <f>'2012 Rate Rider'!$G$8</f>
        <v>0</v>
      </c>
      <c r="L279" s="211">
        <f>+J279*K279</f>
        <v>0</v>
      </c>
      <c r="M279" s="212">
        <f>+L279-I279</f>
        <v>0</v>
      </c>
      <c r="N279" s="213" t="e">
        <f t="shared" si="21"/>
        <v>#DIV/0!</v>
      </c>
      <c r="O279" s="226">
        <f>L279/L282</f>
        <v>0</v>
      </c>
      <c r="P279" s="147"/>
    </row>
    <row r="280" spans="2:16" ht="18" customHeight="1" thickBot="1">
      <c r="B280" s="154"/>
      <c r="C280" s="31"/>
      <c r="D280" s="31"/>
      <c r="E280" s="31"/>
      <c r="F280" s="218" t="s">
        <v>192</v>
      </c>
      <c r="G280" s="530"/>
      <c r="H280" s="531"/>
      <c r="I280" s="220">
        <f>SUM(I275:I279)</f>
        <v>1613.613375</v>
      </c>
      <c r="J280" s="530"/>
      <c r="K280" s="531"/>
      <c r="L280" s="220">
        <f>SUM(L275:L279)</f>
        <v>1488.8496926484895</v>
      </c>
      <c r="M280" s="362">
        <f>SUM(M275:M278)</f>
        <v>-124.76368235151038</v>
      </c>
      <c r="N280" s="223">
        <f t="shared" si="21"/>
        <v>-0.07731943988844936</v>
      </c>
      <c r="O280" s="351">
        <f>L280/L282</f>
        <v>0.8849557522123893</v>
      </c>
      <c r="P280" s="147"/>
    </row>
    <row r="281" spans="2:16" ht="18" customHeight="1" thickBot="1">
      <c r="B281" s="154"/>
      <c r="C281" s="31"/>
      <c r="D281" s="31"/>
      <c r="E281" s="31"/>
      <c r="F281" s="278" t="s">
        <v>193</v>
      </c>
      <c r="G281" s="279"/>
      <c r="H281" s="283">
        <f>$H$177</f>
        <v>0.13</v>
      </c>
      <c r="I281" s="280">
        <f>I280*H281</f>
        <v>209.76973875</v>
      </c>
      <c r="J281" s="279"/>
      <c r="K281" s="283">
        <f>$K$177</f>
        <v>0.13</v>
      </c>
      <c r="L281" s="281">
        <f>L280*K281</f>
        <v>193.55046004430363</v>
      </c>
      <c r="M281" s="212">
        <f>+L281-I281</f>
        <v>-16.219278705696354</v>
      </c>
      <c r="N281" s="213">
        <f t="shared" si="21"/>
        <v>-0.07731943988844937</v>
      </c>
      <c r="O281" s="226">
        <f>L281/L282</f>
        <v>0.11504424778761062</v>
      </c>
      <c r="P281" s="147"/>
    </row>
    <row r="282" spans="2:16" ht="18" customHeight="1" thickBot="1">
      <c r="B282" s="154"/>
      <c r="C282" s="31"/>
      <c r="D282" s="31"/>
      <c r="E282" s="35"/>
      <c r="F282" s="219" t="s">
        <v>79</v>
      </c>
      <c r="G282" s="542"/>
      <c r="H282" s="543"/>
      <c r="I282" s="221">
        <f>I280+I281</f>
        <v>1823.38311375</v>
      </c>
      <c r="J282" s="542"/>
      <c r="K282" s="543"/>
      <c r="L282" s="221">
        <f>L280+L281</f>
        <v>1682.4001526927932</v>
      </c>
      <c r="M282" s="363">
        <f>M280+M281</f>
        <v>-140.98296105720675</v>
      </c>
      <c r="N282" s="223">
        <f t="shared" si="21"/>
        <v>-0.07731943988844937</v>
      </c>
      <c r="O282" s="225">
        <f>SUM(O280:O281)</f>
        <v>0.9999999999999999</v>
      </c>
      <c r="P282" s="147"/>
    </row>
    <row r="283" spans="2:16" ht="18" customHeight="1" thickBot="1">
      <c r="B283" s="148"/>
      <c r="C283" s="160"/>
      <c r="D283" s="160"/>
      <c r="E283" s="160"/>
      <c r="F283" s="161"/>
      <c r="G283" s="162"/>
      <c r="H283" s="163"/>
      <c r="I283" s="164"/>
      <c r="J283" s="162"/>
      <c r="K283" s="165"/>
      <c r="L283" s="164"/>
      <c r="M283" s="169"/>
      <c r="N283" s="167"/>
      <c r="O283" s="168"/>
      <c r="P283" s="149"/>
    </row>
    <row r="284" spans="2:16" ht="18" customHeight="1" thickBot="1">
      <c r="B284" s="25"/>
      <c r="C284" s="31"/>
      <c r="D284" s="31"/>
      <c r="E284" s="31"/>
      <c r="F284" s="49"/>
      <c r="G284" s="50"/>
      <c r="H284" s="51"/>
      <c r="I284" s="52"/>
      <c r="J284" s="50"/>
      <c r="K284" s="53"/>
      <c r="L284" s="52"/>
      <c r="M284" s="159"/>
      <c r="N284" s="157"/>
      <c r="O284" s="158"/>
      <c r="P284" s="25"/>
    </row>
    <row r="285" spans="2:16" ht="18" customHeight="1">
      <c r="B285" s="156"/>
      <c r="C285" s="539"/>
      <c r="D285" s="539"/>
      <c r="E285" s="539"/>
      <c r="F285" s="539"/>
      <c r="G285" s="539"/>
      <c r="H285" s="539"/>
      <c r="I285" s="539"/>
      <c r="J285" s="539"/>
      <c r="K285" s="539"/>
      <c r="L285" s="539"/>
      <c r="M285" s="539"/>
      <c r="N285" s="539"/>
      <c r="O285" s="539"/>
      <c r="P285" s="146"/>
    </row>
    <row r="286" spans="2:16" ht="23.25">
      <c r="B286" s="154"/>
      <c r="C286" s="540" t="s">
        <v>135</v>
      </c>
      <c r="D286" s="540"/>
      <c r="E286" s="540"/>
      <c r="F286" s="540"/>
      <c r="G286" s="540"/>
      <c r="H286" s="540"/>
      <c r="I286" s="540"/>
      <c r="J286" s="540"/>
      <c r="K286" s="540"/>
      <c r="L286" s="540"/>
      <c r="M286" s="540"/>
      <c r="N286" s="540"/>
      <c r="O286" s="540"/>
      <c r="P286" s="147"/>
    </row>
    <row r="287" spans="2:16" ht="18" customHeight="1" thickBot="1">
      <c r="B287" s="154"/>
      <c r="C287" s="541"/>
      <c r="D287" s="541"/>
      <c r="E287" s="541"/>
      <c r="F287" s="541"/>
      <c r="G287" s="541"/>
      <c r="H287" s="541"/>
      <c r="I287" s="541"/>
      <c r="J287" s="541"/>
      <c r="K287" s="541"/>
      <c r="L287" s="541"/>
      <c r="M287" s="541"/>
      <c r="N287" s="541"/>
      <c r="O287" s="541"/>
      <c r="P287" s="147"/>
    </row>
    <row r="288" spans="2:16" ht="18" customHeight="1" thickBot="1">
      <c r="B288" s="154"/>
      <c r="C288" s="155"/>
      <c r="D288" s="155"/>
      <c r="E288" s="31"/>
      <c r="F288" s="37"/>
      <c r="G288" s="534" t="str">
        <f>$G$10</f>
        <v>2011 BILL</v>
      </c>
      <c r="H288" s="535"/>
      <c r="I288" s="536"/>
      <c r="J288" s="534" t="str">
        <f>$J$10</f>
        <v>2012 BILL</v>
      </c>
      <c r="K288" s="535"/>
      <c r="L288" s="536"/>
      <c r="M288" s="534" t="s">
        <v>73</v>
      </c>
      <c r="N288" s="535"/>
      <c r="O288" s="536"/>
      <c r="P288" s="147"/>
    </row>
    <row r="289" spans="2:16" ht="39" thickBot="1">
      <c r="B289" s="154"/>
      <c r="C289" s="31"/>
      <c r="D289" s="31"/>
      <c r="E289" s="33"/>
      <c r="F289" s="38"/>
      <c r="G289" s="170" t="s">
        <v>67</v>
      </c>
      <c r="H289" s="171" t="s">
        <v>68</v>
      </c>
      <c r="I289" s="172" t="s">
        <v>69</v>
      </c>
      <c r="J289" s="173" t="s">
        <v>67</v>
      </c>
      <c r="K289" s="171" t="s">
        <v>68</v>
      </c>
      <c r="L289" s="172" t="s">
        <v>69</v>
      </c>
      <c r="M289" s="174" t="s">
        <v>80</v>
      </c>
      <c r="N289" s="175" t="s">
        <v>81</v>
      </c>
      <c r="O289" s="176" t="s">
        <v>76</v>
      </c>
      <c r="P289" s="147"/>
    </row>
    <row r="290" spans="2:16" ht="18" customHeight="1" thickBot="1">
      <c r="B290" s="154"/>
      <c r="C290" s="528" t="s">
        <v>70</v>
      </c>
      <c r="D290" s="529"/>
      <c r="E290" s="31"/>
      <c r="F290" s="180" t="s">
        <v>71</v>
      </c>
      <c r="G290" s="190"/>
      <c r="H290" s="191"/>
      <c r="I290" s="192">
        <f>'2011 Existing Rates'!$C$9</f>
        <v>11.06</v>
      </c>
      <c r="J290" s="190"/>
      <c r="K290" s="191"/>
      <c r="L290" s="195">
        <f>'Rate Schedule (Part 1)'!$E$20</f>
        <v>14.96</v>
      </c>
      <c r="M290" s="204">
        <f aca="true" t="shared" si="22" ref="M290:M297">+L290-I290</f>
        <v>3.9000000000000004</v>
      </c>
      <c r="N290" s="205">
        <f aca="true" t="shared" si="23" ref="N290:N307">+M290/I290</f>
        <v>0.352622061482821</v>
      </c>
      <c r="O290" s="206">
        <f>L290/L307</f>
        <v>0.007421761305554368</v>
      </c>
      <c r="P290" s="147"/>
    </row>
    <row r="291" spans="2:16" ht="18" customHeight="1" thickBot="1">
      <c r="B291" s="154"/>
      <c r="C291" s="152">
        <v>15000</v>
      </c>
      <c r="D291" s="153" t="s">
        <v>16</v>
      </c>
      <c r="E291" s="31"/>
      <c r="F291" s="181" t="s">
        <v>72</v>
      </c>
      <c r="G291" s="184">
        <f>+C291</f>
        <v>15000</v>
      </c>
      <c r="H291" s="178">
        <f>'2011 Existing Rates'!$E$9</f>
        <v>0.0017</v>
      </c>
      <c r="I291" s="193">
        <f>+G291*H291</f>
        <v>25.5</v>
      </c>
      <c r="J291" s="184">
        <f>+C291</f>
        <v>15000</v>
      </c>
      <c r="K291" s="177">
        <f>'Rate Schedule (Part 1)'!$E$21</f>
        <v>0.0063</v>
      </c>
      <c r="L291" s="197">
        <f>+J291*K291</f>
        <v>94.5</v>
      </c>
      <c r="M291" s="207">
        <f t="shared" si="22"/>
        <v>69</v>
      </c>
      <c r="N291" s="201">
        <f t="shared" si="23"/>
        <v>2.7058823529411766</v>
      </c>
      <c r="O291" s="208">
        <f>L291/L307</f>
        <v>0.046882115198856135</v>
      </c>
      <c r="P291" s="147"/>
    </row>
    <row r="292" spans="2:16" ht="18" customHeight="1">
      <c r="B292" s="154"/>
      <c r="C292" s="63"/>
      <c r="D292" s="64"/>
      <c r="E292" s="31"/>
      <c r="F292" s="181" t="s">
        <v>222</v>
      </c>
      <c r="G292" s="184">
        <f>G291</f>
        <v>15000</v>
      </c>
      <c r="H292" s="178">
        <f>'2011 Existing Rates'!$B$35</f>
        <v>0.0014</v>
      </c>
      <c r="I292" s="193">
        <f>+G292*H292</f>
        <v>21</v>
      </c>
      <c r="J292" s="184">
        <f>J291</f>
        <v>15000</v>
      </c>
      <c r="K292" s="177">
        <f>'Rate Schedule (Part 1)'!$E$22</f>
        <v>0.0011</v>
      </c>
      <c r="L292" s="197">
        <f>+J292*K292</f>
        <v>16.5</v>
      </c>
      <c r="M292" s="207">
        <f t="shared" si="22"/>
        <v>-4.5</v>
      </c>
      <c r="N292" s="201">
        <f t="shared" si="23"/>
        <v>-0.21428571428571427</v>
      </c>
      <c r="O292" s="208">
        <f>L292/L307</f>
        <v>0.008185766145832022</v>
      </c>
      <c r="P292" s="147"/>
    </row>
    <row r="293" spans="2:16" ht="18" customHeight="1">
      <c r="B293" s="154"/>
      <c r="C293" s="63"/>
      <c r="D293" s="64"/>
      <c r="E293" s="31"/>
      <c r="F293" s="181" t="s">
        <v>271</v>
      </c>
      <c r="G293" s="203"/>
      <c r="H293" s="202"/>
      <c r="I293" s="193">
        <f>'2011 Existing Rates'!$B$48</f>
        <v>1.45</v>
      </c>
      <c r="J293" s="203"/>
      <c r="K293" s="202"/>
      <c r="L293" s="197">
        <f>'Rate Schedule (Part 1)'!$E$24</f>
        <v>0.9492644326503402</v>
      </c>
      <c r="M293" s="207">
        <f t="shared" si="22"/>
        <v>-0.5007355673496597</v>
      </c>
      <c r="N293" s="201">
        <f t="shared" si="23"/>
        <v>-0.3453348740342481</v>
      </c>
      <c r="O293" s="208">
        <f>L293/L307</f>
        <v>0.00047093676704433926</v>
      </c>
      <c r="P293" s="147"/>
    </row>
    <row r="294" spans="1:16" ht="18" customHeight="1" thickBot="1">
      <c r="A294" s="147"/>
      <c r="B294" s="25"/>
      <c r="C294" s="31"/>
      <c r="D294" s="31"/>
      <c r="E294" s="31"/>
      <c r="F294" s="181" t="s">
        <v>160</v>
      </c>
      <c r="G294" s="184">
        <f>C291</f>
        <v>15000</v>
      </c>
      <c r="H294" s="178">
        <f>H190</f>
        <v>0</v>
      </c>
      <c r="I294" s="189">
        <f>+G294*H294</f>
        <v>0</v>
      </c>
      <c r="J294" s="184">
        <f>C291</f>
        <v>15000</v>
      </c>
      <c r="K294" s="177">
        <f>'Rate Schedule (Part 1)'!$E$23</f>
        <v>0.0002</v>
      </c>
      <c r="L294" s="197">
        <f>J294*K294</f>
        <v>3</v>
      </c>
      <c r="M294" s="207">
        <f t="shared" si="22"/>
        <v>3</v>
      </c>
      <c r="N294" s="201" t="e">
        <f t="shared" si="23"/>
        <v>#DIV/0!</v>
      </c>
      <c r="O294" s="208">
        <f>L294/$L$307</f>
        <v>0.0014883211174240042</v>
      </c>
      <c r="P294" s="147"/>
    </row>
    <row r="295" spans="1:16" ht="18" customHeight="1">
      <c r="A295" s="147"/>
      <c r="B295" s="25"/>
      <c r="C295" s="31"/>
      <c r="D295" s="31"/>
      <c r="E295" s="31"/>
      <c r="F295" s="419" t="s">
        <v>270</v>
      </c>
      <c r="G295" s="203"/>
      <c r="H295" s="202"/>
      <c r="I295" s="192">
        <f>$I$63</f>
        <v>0</v>
      </c>
      <c r="J295" s="203"/>
      <c r="K295" s="202"/>
      <c r="L295" s="211">
        <f>'2012 Rate Rider'!$E$8</f>
        <v>5.9887322983164735</v>
      </c>
      <c r="M295" s="207">
        <f t="shared" si="22"/>
        <v>5.9887322983164735</v>
      </c>
      <c r="N295" s="201" t="e">
        <f t="shared" si="23"/>
        <v>#DIV/0!</v>
      </c>
      <c r="O295" s="208">
        <f>L295/$L$307</f>
        <v>0.002971052248727866</v>
      </c>
      <c r="P295" s="147"/>
    </row>
    <row r="296" spans="1:16" ht="18" customHeight="1">
      <c r="A296" s="147"/>
      <c r="B296" s="25"/>
      <c r="C296" s="31"/>
      <c r="D296" s="31"/>
      <c r="E296" s="31"/>
      <c r="F296" s="419" t="s">
        <v>272</v>
      </c>
      <c r="G296" s="203"/>
      <c r="H296" s="202"/>
      <c r="I296" s="193">
        <f>I192</f>
        <v>0.12</v>
      </c>
      <c r="J296" s="194">
        <f>G296</f>
        <v>0</v>
      </c>
      <c r="K296" s="420">
        <f>'2012 Rate Rider'!$F$8</f>
        <v>0</v>
      </c>
      <c r="L296" s="193">
        <f>+J296*K296</f>
        <v>0</v>
      </c>
      <c r="M296" s="207">
        <f t="shared" si="22"/>
        <v>-0.12</v>
      </c>
      <c r="N296" s="201">
        <f t="shared" si="23"/>
        <v>-1</v>
      </c>
      <c r="O296" s="208">
        <f>L296/$L$307</f>
        <v>0</v>
      </c>
      <c r="P296" s="147"/>
    </row>
    <row r="297" spans="1:16" ht="18" customHeight="1" thickBot="1">
      <c r="A297" s="147"/>
      <c r="B297" s="25"/>
      <c r="C297" s="31"/>
      <c r="D297" s="31"/>
      <c r="E297" s="31"/>
      <c r="F297" s="182" t="s">
        <v>221</v>
      </c>
      <c r="G297" s="209">
        <f>+C291</f>
        <v>15000</v>
      </c>
      <c r="H297" s="210">
        <f>'2011 Existing Rates'!$B$22</f>
        <v>0.0067</v>
      </c>
      <c r="I297" s="211">
        <f>+G297*H297</f>
        <v>100.5</v>
      </c>
      <c r="J297" s="209">
        <f>+C291</f>
        <v>15000</v>
      </c>
      <c r="K297" s="210">
        <f>K193</f>
        <v>-0.00857757417187244</v>
      </c>
      <c r="L297" s="211">
        <f>+J297*K297</f>
        <v>-128.6636125780866</v>
      </c>
      <c r="M297" s="207">
        <f t="shared" si="22"/>
        <v>-229.1636125780866</v>
      </c>
      <c r="N297" s="201">
        <f t="shared" si="23"/>
        <v>-2.2802349510257374</v>
      </c>
      <c r="O297" s="208">
        <f>L297/$L$307</f>
        <v>-0.06383092388134233</v>
      </c>
      <c r="P297" s="361"/>
    </row>
    <row r="298" spans="1:16" ht="18" customHeight="1" thickBot="1">
      <c r="A298" s="147"/>
      <c r="F298" s="218" t="s">
        <v>223</v>
      </c>
      <c r="G298" s="530"/>
      <c r="H298" s="531"/>
      <c r="I298" s="220">
        <f>SUM(I290:I297)</f>
        <v>159.63</v>
      </c>
      <c r="J298" s="530"/>
      <c r="K298" s="531"/>
      <c r="L298" s="220">
        <f>SUM(L290:L297)</f>
        <v>7.23438415288021</v>
      </c>
      <c r="M298" s="222">
        <f>SUM(M290:M297)</f>
        <v>-152.39561584711979</v>
      </c>
      <c r="N298" s="223">
        <f t="shared" si="23"/>
        <v>-0.9546802972318473</v>
      </c>
      <c r="O298" s="225">
        <f>L298/L307</f>
        <v>0.0035890289020963943</v>
      </c>
      <c r="P298" s="361"/>
    </row>
    <row r="299" spans="1:16" ht="18" customHeight="1" thickBot="1">
      <c r="A299" s="147"/>
      <c r="F299" s="181" t="s">
        <v>224</v>
      </c>
      <c r="G299" s="348">
        <f>C291*'Other Electriciy Rates'!$L$11</f>
        <v>16186.5</v>
      </c>
      <c r="H299" s="349">
        <f>'Other Electriciy Rates'!$B$11</f>
        <v>0.0092</v>
      </c>
      <c r="I299" s="193">
        <f>+G299*H299</f>
        <v>148.9158</v>
      </c>
      <c r="J299" s="348">
        <f>'BILL IMPACTS '!C291*'Other Electriciy Rates'!$L$26</f>
        <v>16200.000000000002</v>
      </c>
      <c r="K299" s="177">
        <f>'Other Electriciy Rates'!$B$26</f>
        <v>0.009364546153031724</v>
      </c>
      <c r="L299" s="193">
        <f>+J299*K299</f>
        <v>151.70564767911395</v>
      </c>
      <c r="M299" s="350">
        <f>+L299-I299</f>
        <v>2.7898476791139615</v>
      </c>
      <c r="N299" s="205">
        <f t="shared" si="23"/>
        <v>0.018734396747114555</v>
      </c>
      <c r="O299" s="206">
        <f>L299/L307</f>
        <v>0.07526223969110372</v>
      </c>
      <c r="P299" s="361"/>
    </row>
    <row r="300" spans="1:16" ht="18" customHeight="1" thickBot="1">
      <c r="A300" s="147"/>
      <c r="F300" s="218" t="s">
        <v>225</v>
      </c>
      <c r="G300" s="530"/>
      <c r="H300" s="531"/>
      <c r="I300" s="220">
        <f>I298+I299</f>
        <v>308.5458</v>
      </c>
      <c r="J300" s="530"/>
      <c r="K300" s="531"/>
      <c r="L300" s="220">
        <f>L298+L299</f>
        <v>158.94003183199416</v>
      </c>
      <c r="M300" s="220">
        <f>M298+M299</f>
        <v>-149.60576816800582</v>
      </c>
      <c r="N300" s="223">
        <f t="shared" si="23"/>
        <v>-0.4848737794129942</v>
      </c>
      <c r="O300" s="351">
        <f>L300/L307</f>
        <v>0.07885126859320012</v>
      </c>
      <c r="P300" s="361"/>
    </row>
    <row r="301" spans="1:16" ht="18" customHeight="1">
      <c r="A301" s="147"/>
      <c r="F301" s="183" t="s">
        <v>77</v>
      </c>
      <c r="G301" s="185">
        <f>+'Other Electriciy Rates'!$L$10*C291</f>
        <v>16186.5</v>
      </c>
      <c r="H301" s="186">
        <f>'Other Electriciy Rates'!$C$11+'Other Electriciy Rates'!$D$11</f>
        <v>0.012986887220832175</v>
      </c>
      <c r="I301" s="187">
        <f>+G301*H301</f>
        <v>210.21224999999998</v>
      </c>
      <c r="J301" s="185">
        <f>J299</f>
        <v>16200.000000000002</v>
      </c>
      <c r="K301" s="186">
        <f>'Other Electriciy Rates'!$C$26+'Other Electriciy Rates'!$D$26</f>
        <v>0.01278148148148148</v>
      </c>
      <c r="L301" s="214">
        <f>+J301*K301</f>
        <v>207.06</v>
      </c>
      <c r="M301" s="215">
        <f>+L301-I301</f>
        <v>-3.152249999999981</v>
      </c>
      <c r="N301" s="216">
        <f t="shared" si="23"/>
        <v>-0.014995558060959726</v>
      </c>
      <c r="O301" s="282">
        <f>L301/L307</f>
        <v>0.10272392352460477</v>
      </c>
      <c r="P301" s="361"/>
    </row>
    <row r="302" spans="1:16" ht="18" customHeight="1">
      <c r="A302" s="147"/>
      <c r="B302" s="25"/>
      <c r="C302" s="31"/>
      <c r="D302" s="31"/>
      <c r="E302" s="31"/>
      <c r="F302" s="179" t="s">
        <v>78</v>
      </c>
      <c r="G302" s="185">
        <v>600</v>
      </c>
      <c r="H302" s="186">
        <f>'Other Electriciy Rates'!$J$11</f>
        <v>0.075</v>
      </c>
      <c r="I302" s="187">
        <f>+G302*H302</f>
        <v>45</v>
      </c>
      <c r="J302" s="185">
        <v>600</v>
      </c>
      <c r="K302" s="186">
        <f>'Other Electriciy Rates'!$J$26</f>
        <v>0.075</v>
      </c>
      <c r="L302" s="214">
        <f>+J302*K302</f>
        <v>45</v>
      </c>
      <c r="M302" s="215">
        <f>+L302-I302</f>
        <v>0</v>
      </c>
      <c r="N302" s="216">
        <f t="shared" si="23"/>
        <v>0</v>
      </c>
      <c r="O302" s="217">
        <f>L302/L307</f>
        <v>0.022324816761360063</v>
      </c>
      <c r="P302" s="361"/>
    </row>
    <row r="303" spans="2:16" ht="18" customHeight="1">
      <c r="B303" s="154"/>
      <c r="C303" s="31"/>
      <c r="D303" s="31"/>
      <c r="E303" s="31"/>
      <c r="F303" s="179" t="s">
        <v>78</v>
      </c>
      <c r="G303" s="185">
        <f>G301-G302</f>
        <v>15586.5</v>
      </c>
      <c r="H303" s="186">
        <f>'Other Electriciy Rates'!$K$11</f>
        <v>0.088</v>
      </c>
      <c r="I303" s="187">
        <f>+G303*H303</f>
        <v>1371.6119999999999</v>
      </c>
      <c r="J303" s="185">
        <f>J301-J302</f>
        <v>15600.000000000002</v>
      </c>
      <c r="K303" s="186">
        <f>'Other Electriciy Rates'!$K$26</f>
        <v>0.088</v>
      </c>
      <c r="L303" s="214">
        <f>+J303*K303</f>
        <v>1372.8000000000002</v>
      </c>
      <c r="M303" s="215">
        <f>+L303-I303</f>
        <v>1.1880000000003292</v>
      </c>
      <c r="N303" s="216">
        <f t="shared" si="23"/>
        <v>0.0008661341545570682</v>
      </c>
      <c r="O303" s="217">
        <f>L303/L307</f>
        <v>0.6810557433332244</v>
      </c>
      <c r="P303" s="147"/>
    </row>
    <row r="304" spans="2:16" ht="18" customHeight="1" thickBot="1">
      <c r="B304" s="154"/>
      <c r="C304" s="31"/>
      <c r="D304" s="31"/>
      <c r="E304" s="31"/>
      <c r="F304" s="181" t="s">
        <v>235</v>
      </c>
      <c r="G304" s="279">
        <f>G301</f>
        <v>16186.5</v>
      </c>
      <c r="H304" s="186">
        <f>'2012 Rate Rider'!$G$8</f>
        <v>0</v>
      </c>
      <c r="I304" s="189">
        <f>+G304*H304</f>
        <v>0</v>
      </c>
      <c r="J304" s="279">
        <f>G304</f>
        <v>16186.5</v>
      </c>
      <c r="K304" s="186">
        <f>'2012 Rate Rider'!$G$8</f>
        <v>0</v>
      </c>
      <c r="L304" s="211">
        <f>+J304*K304</f>
        <v>0</v>
      </c>
      <c r="M304" s="212">
        <f>+L304-I304</f>
        <v>0</v>
      </c>
      <c r="N304" s="213" t="e">
        <f t="shared" si="23"/>
        <v>#DIV/0!</v>
      </c>
      <c r="O304" s="226">
        <f>L304/L307</f>
        <v>0</v>
      </c>
      <c r="P304" s="147"/>
    </row>
    <row r="305" spans="2:16" ht="18" customHeight="1" thickBot="1">
      <c r="B305" s="154"/>
      <c r="C305" s="31"/>
      <c r="D305" s="31"/>
      <c r="E305" s="31"/>
      <c r="F305" s="218" t="s">
        <v>192</v>
      </c>
      <c r="G305" s="530"/>
      <c r="H305" s="531"/>
      <c r="I305" s="220">
        <f>SUM(I300:I304)</f>
        <v>1935.3700499999998</v>
      </c>
      <c r="J305" s="530"/>
      <c r="K305" s="531"/>
      <c r="L305" s="220">
        <f>SUM(L300:L304)</f>
        <v>1783.8000318319944</v>
      </c>
      <c r="M305" s="362">
        <f>SUM(M300:M303)</f>
        <v>-151.57001816800548</v>
      </c>
      <c r="N305" s="223">
        <f t="shared" si="23"/>
        <v>-0.07831578160879646</v>
      </c>
      <c r="O305" s="351">
        <f>L305/L307</f>
        <v>0.8849557522123894</v>
      </c>
      <c r="P305" s="147"/>
    </row>
    <row r="306" spans="2:16" ht="18" customHeight="1" thickBot="1">
      <c r="B306" s="154"/>
      <c r="C306" s="31"/>
      <c r="D306" s="31"/>
      <c r="E306" s="31"/>
      <c r="F306" s="278" t="s">
        <v>193</v>
      </c>
      <c r="G306" s="279"/>
      <c r="H306" s="283">
        <f>$H$177</f>
        <v>0.13</v>
      </c>
      <c r="I306" s="280">
        <f>I305*H306</f>
        <v>251.59810649999997</v>
      </c>
      <c r="J306" s="279"/>
      <c r="K306" s="283">
        <f>$K$177</f>
        <v>0.13</v>
      </c>
      <c r="L306" s="281">
        <f>L305*K306</f>
        <v>231.8940041381593</v>
      </c>
      <c r="M306" s="212">
        <f>+L306-I306</f>
        <v>-19.704102361840683</v>
      </c>
      <c r="N306" s="213">
        <f t="shared" si="23"/>
        <v>-0.07831578160879635</v>
      </c>
      <c r="O306" s="226">
        <f>L306/L307</f>
        <v>0.11504424778761063</v>
      </c>
      <c r="P306" s="147"/>
    </row>
    <row r="307" spans="2:16" ht="18" customHeight="1" thickBot="1">
      <c r="B307" s="154"/>
      <c r="C307" s="31"/>
      <c r="D307" s="31"/>
      <c r="E307" s="35"/>
      <c r="F307" s="219" t="s">
        <v>79</v>
      </c>
      <c r="G307" s="542"/>
      <c r="H307" s="543"/>
      <c r="I307" s="221">
        <f>I305+I306</f>
        <v>2186.9681564999996</v>
      </c>
      <c r="J307" s="542"/>
      <c r="K307" s="543"/>
      <c r="L307" s="221">
        <f>L305+L306</f>
        <v>2015.6940359701537</v>
      </c>
      <c r="M307" s="363">
        <f>M305+M306</f>
        <v>-171.27412052984616</v>
      </c>
      <c r="N307" s="223">
        <f t="shared" si="23"/>
        <v>-0.07831578160879646</v>
      </c>
      <c r="O307" s="225">
        <f>SUM(O305:O306)</f>
        <v>1</v>
      </c>
      <c r="P307" s="147"/>
    </row>
    <row r="308" spans="2:16" ht="18" customHeight="1" thickBot="1">
      <c r="B308" s="148"/>
      <c r="C308" s="160"/>
      <c r="D308" s="160"/>
      <c r="E308" s="160"/>
      <c r="F308" s="161"/>
      <c r="G308" s="162"/>
      <c r="H308" s="163"/>
      <c r="I308" s="164"/>
      <c r="J308" s="162"/>
      <c r="K308" s="165"/>
      <c r="L308" s="164"/>
      <c r="M308" s="169"/>
      <c r="N308" s="167"/>
      <c r="O308" s="168"/>
      <c r="P308" s="149"/>
    </row>
    <row r="309" spans="2:16" ht="18" customHeight="1" thickBot="1">
      <c r="B309" s="25"/>
      <c r="C309" s="31"/>
      <c r="D309" s="31"/>
      <c r="E309" s="31"/>
      <c r="F309" s="49"/>
      <c r="G309" s="50"/>
      <c r="H309" s="51"/>
      <c r="I309" s="52"/>
      <c r="J309" s="50"/>
      <c r="K309" s="53"/>
      <c r="L309" s="52"/>
      <c r="M309" s="159"/>
      <c r="N309" s="157"/>
      <c r="O309" s="158"/>
      <c r="P309" s="25"/>
    </row>
    <row r="310" spans="2:16" ht="17.25" customHeight="1">
      <c r="B310" s="156"/>
      <c r="C310" s="539"/>
      <c r="D310" s="539"/>
      <c r="E310" s="539"/>
      <c r="F310" s="539"/>
      <c r="G310" s="539"/>
      <c r="H310" s="539"/>
      <c r="I310" s="539"/>
      <c r="J310" s="539"/>
      <c r="K310" s="539"/>
      <c r="L310" s="539"/>
      <c r="M310" s="539"/>
      <c r="N310" s="539"/>
      <c r="O310" s="539"/>
      <c r="P310" s="146"/>
    </row>
    <row r="311" spans="2:16" ht="23.25">
      <c r="B311" s="154"/>
      <c r="C311" s="540" t="s">
        <v>91</v>
      </c>
      <c r="D311" s="540"/>
      <c r="E311" s="540"/>
      <c r="F311" s="540"/>
      <c r="G311" s="540"/>
      <c r="H311" s="540"/>
      <c r="I311" s="540"/>
      <c r="J311" s="540"/>
      <c r="K311" s="540"/>
      <c r="L311" s="540"/>
      <c r="M311" s="540"/>
      <c r="N311" s="540"/>
      <c r="O311" s="540"/>
      <c r="P311" s="147"/>
    </row>
    <row r="312" spans="2:16" ht="17.25" customHeight="1" thickBot="1">
      <c r="B312" s="154"/>
      <c r="C312" s="541"/>
      <c r="D312" s="541"/>
      <c r="E312" s="541"/>
      <c r="F312" s="541"/>
      <c r="G312" s="541"/>
      <c r="H312" s="541"/>
      <c r="I312" s="541"/>
      <c r="J312" s="541"/>
      <c r="K312" s="541"/>
      <c r="L312" s="541"/>
      <c r="M312" s="541"/>
      <c r="N312" s="541"/>
      <c r="O312" s="541"/>
      <c r="P312" s="147"/>
    </row>
    <row r="313" spans="2:16" ht="17.25" customHeight="1" thickBot="1">
      <c r="B313" s="154"/>
      <c r="C313" s="155"/>
      <c r="D313" s="155"/>
      <c r="E313" s="31"/>
      <c r="F313" s="32"/>
      <c r="G313" s="534" t="str">
        <f>$G$10</f>
        <v>2011 BILL</v>
      </c>
      <c r="H313" s="535"/>
      <c r="I313" s="536"/>
      <c r="J313" s="534" t="str">
        <f>$J$10</f>
        <v>2012 BILL</v>
      </c>
      <c r="K313" s="535"/>
      <c r="L313" s="536"/>
      <c r="M313" s="534" t="s">
        <v>73</v>
      </c>
      <c r="N313" s="535"/>
      <c r="O313" s="536"/>
      <c r="P313" s="147"/>
    </row>
    <row r="314" spans="2:16" ht="39" thickBot="1">
      <c r="B314" s="154"/>
      <c r="C314" s="31"/>
      <c r="D314" s="31"/>
      <c r="E314" s="33"/>
      <c r="F314" s="34"/>
      <c r="G314" s="366" t="s">
        <v>67</v>
      </c>
      <c r="H314" s="367" t="s">
        <v>68</v>
      </c>
      <c r="I314" s="368" t="s">
        <v>69</v>
      </c>
      <c r="J314" s="369" t="s">
        <v>67</v>
      </c>
      <c r="K314" s="367" t="s">
        <v>68</v>
      </c>
      <c r="L314" s="368" t="s">
        <v>69</v>
      </c>
      <c r="M314" s="174" t="s">
        <v>74</v>
      </c>
      <c r="N314" s="175" t="s">
        <v>75</v>
      </c>
      <c r="O314" s="176" t="s">
        <v>76</v>
      </c>
      <c r="P314" s="147"/>
    </row>
    <row r="315" spans="2:17" ht="17.25" customHeight="1" thickBot="1">
      <c r="B315" s="154"/>
      <c r="C315" s="528" t="s">
        <v>70</v>
      </c>
      <c r="D315" s="529"/>
      <c r="E315" s="31"/>
      <c r="F315" s="372" t="s">
        <v>71</v>
      </c>
      <c r="G315" s="370"/>
      <c r="H315" s="364"/>
      <c r="I315" s="187">
        <f>+'2011 Existing Rates'!$C$10</f>
        <v>436.99</v>
      </c>
      <c r="J315" s="185"/>
      <c r="K315" s="365"/>
      <c r="L315" s="214">
        <f>+'Distribution Rate Schedule'!$C$37</f>
        <v>177.32</v>
      </c>
      <c r="M315" s="215">
        <f aca="true" t="shared" si="24" ref="M315:M322">+L315-I315</f>
        <v>-259.67</v>
      </c>
      <c r="N315" s="216">
        <f aca="true" t="shared" si="25" ref="N315:N331">+M315/I315</f>
        <v>-0.5942241241218335</v>
      </c>
      <c r="O315" s="208">
        <f>L315/L331</f>
        <v>0.04596270911376134</v>
      </c>
      <c r="P315" s="361"/>
      <c r="Q315" s="25"/>
    </row>
    <row r="316" spans="2:16" ht="17.25" customHeight="1" thickBot="1">
      <c r="B316" s="154"/>
      <c r="C316" s="152">
        <v>30000</v>
      </c>
      <c r="D316" s="153" t="s">
        <v>16</v>
      </c>
      <c r="E316" s="31"/>
      <c r="F316" s="373" t="s">
        <v>82</v>
      </c>
      <c r="G316" s="371">
        <f>+C317</f>
        <v>100</v>
      </c>
      <c r="H316" s="178">
        <f>'2011 Existing Rates'!$D$62</f>
        <v>2.8308</v>
      </c>
      <c r="I316" s="193">
        <f>+G316*H316</f>
        <v>283.08</v>
      </c>
      <c r="J316" s="184">
        <f>G316</f>
        <v>100</v>
      </c>
      <c r="K316" s="177">
        <f>'Rate Schedule (Part 1)'!$E$29</f>
        <v>1.5002</v>
      </c>
      <c r="L316" s="197">
        <f>+J316*K316</f>
        <v>150.02</v>
      </c>
      <c r="M316" s="215">
        <f t="shared" si="24"/>
        <v>-133.05999999999997</v>
      </c>
      <c r="N316" s="216">
        <f t="shared" si="25"/>
        <v>-0.470043803871697</v>
      </c>
      <c r="O316" s="208">
        <f>L316/L331</f>
        <v>0.03888633894228782</v>
      </c>
      <c r="P316" s="147"/>
    </row>
    <row r="317" spans="2:16" ht="17.25" customHeight="1" thickBot="1">
      <c r="B317" s="154"/>
      <c r="C317" s="152">
        <v>100</v>
      </c>
      <c r="D317" s="153" t="s">
        <v>17</v>
      </c>
      <c r="E317" s="31"/>
      <c r="F317" s="373" t="s">
        <v>226</v>
      </c>
      <c r="G317" s="310">
        <f>G316</f>
        <v>100</v>
      </c>
      <c r="H317" s="374">
        <f>'2011 Existing Rates'!$D$36</f>
        <v>0.5822</v>
      </c>
      <c r="I317" s="193">
        <f>+G317*H317</f>
        <v>58.220000000000006</v>
      </c>
      <c r="J317" s="184">
        <f>+C317</f>
        <v>100</v>
      </c>
      <c r="K317" s="177">
        <f>'Rate Schedule (Part 1)'!$E$30</f>
        <v>0.4332</v>
      </c>
      <c r="L317" s="197">
        <f>+J317*K317</f>
        <v>43.32</v>
      </c>
      <c r="M317" s="215">
        <f t="shared" si="24"/>
        <v>-14.900000000000006</v>
      </c>
      <c r="N317" s="216">
        <f t="shared" si="25"/>
        <v>-0.25592579869460674</v>
      </c>
      <c r="O317" s="208">
        <f>L317/L331</f>
        <v>0.011228877502865673</v>
      </c>
      <c r="P317" s="147"/>
    </row>
    <row r="318" spans="2:16" ht="17.25" customHeight="1">
      <c r="B318" s="154"/>
      <c r="C318" s="63"/>
      <c r="D318" s="64"/>
      <c r="E318" s="31"/>
      <c r="F318" s="181" t="s">
        <v>271</v>
      </c>
      <c r="G318" s="203"/>
      <c r="H318" s="202"/>
      <c r="I318" s="193">
        <f>'2011 Existing Rates'!$B$48</f>
        <v>1.45</v>
      </c>
      <c r="J318" s="203"/>
      <c r="K318" s="202"/>
      <c r="L318" s="193"/>
      <c r="M318" s="215">
        <f t="shared" si="24"/>
        <v>-1.45</v>
      </c>
      <c r="N318" s="216">
        <f t="shared" si="25"/>
        <v>-1</v>
      </c>
      <c r="O318" s="208">
        <f>L318/L331</f>
        <v>0</v>
      </c>
      <c r="P318" s="147"/>
    </row>
    <row r="319" spans="2:16" ht="17.25" customHeight="1" thickBot="1">
      <c r="B319" s="154"/>
      <c r="C319" s="63"/>
      <c r="D319" s="64"/>
      <c r="E319" s="31"/>
      <c r="F319" s="181" t="s">
        <v>227</v>
      </c>
      <c r="G319" s="184">
        <f>G317</f>
        <v>100</v>
      </c>
      <c r="H319" s="178"/>
      <c r="I319" s="193">
        <f>+G319*H319</f>
        <v>0</v>
      </c>
      <c r="J319" s="184">
        <f>G319</f>
        <v>100</v>
      </c>
      <c r="K319" s="177">
        <f>'Rate Schedule (Part 1)'!$E$31</f>
        <v>0.0535</v>
      </c>
      <c r="L319" s="197">
        <f>+J319*K319</f>
        <v>5.35</v>
      </c>
      <c r="M319" s="215">
        <f t="shared" si="24"/>
        <v>5.35</v>
      </c>
      <c r="N319" s="216" t="e">
        <f t="shared" si="25"/>
        <v>#DIV/0!</v>
      </c>
      <c r="O319" s="208">
        <f>L319/$L$331</f>
        <v>0.0013867611874499386</v>
      </c>
      <c r="P319" s="147"/>
    </row>
    <row r="320" spans="2:16" ht="17.25" customHeight="1">
      <c r="B320" s="154"/>
      <c r="C320" s="63"/>
      <c r="D320" s="64"/>
      <c r="E320" s="31"/>
      <c r="F320" s="419" t="s">
        <v>270</v>
      </c>
      <c r="G320" s="203"/>
      <c r="H320" s="202"/>
      <c r="I320" s="192">
        <v>0</v>
      </c>
      <c r="J320" s="203"/>
      <c r="K320" s="202"/>
      <c r="L320" s="211">
        <f>'2012 Rate Rider'!E9</f>
        <v>0</v>
      </c>
      <c r="M320" s="207">
        <f t="shared" si="24"/>
        <v>0</v>
      </c>
      <c r="N320" s="201" t="e">
        <f t="shared" si="25"/>
        <v>#DIV/0!</v>
      </c>
      <c r="O320" s="208">
        <f>L320/$L$331</f>
        <v>0</v>
      </c>
      <c r="P320" s="147"/>
    </row>
    <row r="321" spans="2:16" ht="17.25" customHeight="1">
      <c r="B321" s="154"/>
      <c r="C321" s="63"/>
      <c r="D321" s="64"/>
      <c r="E321" s="31"/>
      <c r="F321" s="419" t="s">
        <v>272</v>
      </c>
      <c r="G321" s="203"/>
      <c r="H321" s="202"/>
      <c r="I321" s="193">
        <f>'2011 Existing Rates'!B76</f>
        <v>7.59</v>
      </c>
      <c r="J321" s="194">
        <f>G321</f>
        <v>0</v>
      </c>
      <c r="K321" s="420">
        <f>'2012 Rate Rider'!F9</f>
        <v>0</v>
      </c>
      <c r="L321" s="193">
        <f>+J321*K321</f>
        <v>0</v>
      </c>
      <c r="M321" s="207">
        <f t="shared" si="24"/>
        <v>-7.59</v>
      </c>
      <c r="N321" s="201">
        <f t="shared" si="25"/>
        <v>-1</v>
      </c>
      <c r="O321" s="208">
        <f>L321/$L$331</f>
        <v>0</v>
      </c>
      <c r="P321" s="147"/>
    </row>
    <row r="322" spans="2:16" ht="17.25" customHeight="1" thickBot="1">
      <c r="B322" s="154"/>
      <c r="C322" s="31"/>
      <c r="D322" s="31"/>
      <c r="E322" s="31"/>
      <c r="F322" s="182" t="s">
        <v>228</v>
      </c>
      <c r="G322" s="184">
        <f>+C317</f>
        <v>100</v>
      </c>
      <c r="H322" s="178">
        <f>'2011 Existing Rates'!$D$23</f>
        <v>5.9562</v>
      </c>
      <c r="I322" s="197">
        <f>+G322*H322</f>
        <v>595.62</v>
      </c>
      <c r="J322" s="184">
        <f>+C317</f>
        <v>100</v>
      </c>
      <c r="K322" s="177">
        <f>'2012 Rate Rider'!C9</f>
        <v>-3.096773231353598</v>
      </c>
      <c r="L322" s="197">
        <f>+J322*K322</f>
        <v>-309.67732313535976</v>
      </c>
      <c r="M322" s="215">
        <f t="shared" si="24"/>
        <v>-905.2973231353598</v>
      </c>
      <c r="N322" s="216">
        <f t="shared" si="25"/>
        <v>-1.519924319424062</v>
      </c>
      <c r="O322" s="208">
        <f>L322/$L$331</f>
        <v>-0.08027074623504858</v>
      </c>
      <c r="P322" s="147"/>
    </row>
    <row r="323" spans="2:16" ht="17.25" customHeight="1" thickBot="1">
      <c r="B323" s="154"/>
      <c r="C323" s="31"/>
      <c r="D323" s="31"/>
      <c r="E323" s="31"/>
      <c r="F323" s="218" t="s">
        <v>223</v>
      </c>
      <c r="G323" s="530"/>
      <c r="H323" s="531"/>
      <c r="I323" s="220">
        <f>SUM(I315:I322)</f>
        <v>1382.95</v>
      </c>
      <c r="J323" s="530"/>
      <c r="K323" s="531"/>
      <c r="L323" s="220">
        <f>SUM(L315:L322)</f>
        <v>66.33267686464029</v>
      </c>
      <c r="M323" s="222">
        <f>SUM(M315:M322)</f>
        <v>-1316.6173231353596</v>
      </c>
      <c r="N323" s="223">
        <f t="shared" si="25"/>
        <v>-0.9520353759249138</v>
      </c>
      <c r="O323" s="225">
        <f>SUM(O315:O322)</f>
        <v>0.01719394051131619</v>
      </c>
      <c r="P323" s="147"/>
    </row>
    <row r="324" spans="2:16" ht="17.25" customHeight="1" thickBot="1">
      <c r="B324" s="154"/>
      <c r="C324" s="31"/>
      <c r="D324" s="31"/>
      <c r="E324" s="31"/>
      <c r="F324" s="181" t="s">
        <v>229</v>
      </c>
      <c r="G324" s="348">
        <f>C317</f>
        <v>100</v>
      </c>
      <c r="H324" s="349">
        <f>'Other Electriciy Rates'!$F$12</f>
        <v>3.748</v>
      </c>
      <c r="I324" s="193">
        <f>+G324*H324</f>
        <v>374.8</v>
      </c>
      <c r="J324" s="348">
        <f>C317</f>
        <v>100</v>
      </c>
      <c r="K324" s="177">
        <f>'Other Electriciy Rates'!$F$27</f>
        <v>3.814790631678846</v>
      </c>
      <c r="L324" s="193">
        <f>+J324*K324</f>
        <v>381.4790631678846</v>
      </c>
      <c r="M324" s="350">
        <f>+L324-I324</f>
        <v>6.679063167884578</v>
      </c>
      <c r="N324" s="205">
        <f t="shared" si="25"/>
        <v>0.017820339295316377</v>
      </c>
      <c r="O324" s="208">
        <f>L324/L331</f>
        <v>0.09888231002354876</v>
      </c>
      <c r="P324" s="147"/>
    </row>
    <row r="325" spans="2:16" ht="17.25" customHeight="1" thickBot="1">
      <c r="B325" s="154"/>
      <c r="C325" s="31"/>
      <c r="D325" s="31"/>
      <c r="E325" s="31"/>
      <c r="F325" s="218" t="s">
        <v>225</v>
      </c>
      <c r="G325" s="530"/>
      <c r="H325" s="531"/>
      <c r="I325" s="220">
        <f>I323+I324</f>
        <v>1757.75</v>
      </c>
      <c r="J325" s="530"/>
      <c r="K325" s="531"/>
      <c r="L325" s="220">
        <f>L323+L324</f>
        <v>447.8117400325249</v>
      </c>
      <c r="M325" s="220">
        <f>M323+M324</f>
        <v>-1309.938259967475</v>
      </c>
      <c r="N325" s="223">
        <f t="shared" si="25"/>
        <v>-0.745235818499488</v>
      </c>
      <c r="O325" s="351">
        <f>L325/L331</f>
        <v>0.11607625053486495</v>
      </c>
      <c r="P325" s="147"/>
    </row>
    <row r="326" spans="2:16" ht="17.25" customHeight="1">
      <c r="B326" s="154"/>
      <c r="C326" s="31"/>
      <c r="D326" s="31"/>
      <c r="E326" s="31"/>
      <c r="F326" s="179" t="s">
        <v>77</v>
      </c>
      <c r="G326" s="185">
        <f>C316*'Other Electriciy Rates'!$L$12</f>
        <v>32373</v>
      </c>
      <c r="H326" s="186">
        <f>'Other Electriciy Rates'!$C$12+'Other Electriciy Rates'!$D$12</f>
        <v>0.012986887220832175</v>
      </c>
      <c r="I326" s="187">
        <f>+G326*H326</f>
        <v>420.42449999999997</v>
      </c>
      <c r="J326" s="185">
        <f>C316*'Other Electriciy Rates'!$L$27</f>
        <v>32400.000000000004</v>
      </c>
      <c r="K326" s="186">
        <f>'Other Electriciy Rates'!$C$27+'Other Electriciy Rates'!$D$27</f>
        <v>0.01278148148148148</v>
      </c>
      <c r="L326" s="214">
        <f>+J326*K326</f>
        <v>414.12</v>
      </c>
      <c r="M326" s="215">
        <f>+L326-I326</f>
        <v>-6.304499999999962</v>
      </c>
      <c r="N326" s="216">
        <f t="shared" si="25"/>
        <v>-0.014995558060959726</v>
      </c>
      <c r="O326" s="208">
        <f>L326/L331</f>
        <v>0.10734309213958293</v>
      </c>
      <c r="P326" s="147"/>
    </row>
    <row r="327" spans="2:16" ht="17.25" customHeight="1">
      <c r="B327" s="154"/>
      <c r="C327" s="31"/>
      <c r="D327" s="31"/>
      <c r="E327" s="31"/>
      <c r="F327" s="179" t="s">
        <v>78</v>
      </c>
      <c r="G327" s="185">
        <f>G326</f>
        <v>32373</v>
      </c>
      <c r="H327" s="186">
        <f>+'Other Electriciy Rates'!$J$12</f>
        <v>0.07877</v>
      </c>
      <c r="I327" s="187">
        <f>+G327*H327</f>
        <v>2550.0212100000003</v>
      </c>
      <c r="J327" s="185">
        <f>J326</f>
        <v>32400.000000000004</v>
      </c>
      <c r="K327" s="186">
        <f>'Other Electriciy Rates'!$J$27</f>
        <v>0.07877</v>
      </c>
      <c r="L327" s="214">
        <f>+J327*K327</f>
        <v>2552.1480000000006</v>
      </c>
      <c r="M327" s="215">
        <f>+L327-I327</f>
        <v>2.1267900000002555</v>
      </c>
      <c r="N327" s="216">
        <f t="shared" si="25"/>
        <v>0.0008340283569642369</v>
      </c>
      <c r="O327" s="208">
        <f>L327/L331</f>
        <v>0.6615364095379416</v>
      </c>
      <c r="P327" s="147"/>
    </row>
    <row r="328" spans="2:16" ht="18" customHeight="1" thickBot="1">
      <c r="B328" s="154"/>
      <c r="C328" s="31"/>
      <c r="D328" s="31"/>
      <c r="E328" s="31"/>
      <c r="F328" s="181" t="s">
        <v>235</v>
      </c>
      <c r="G328" s="279">
        <f>G327</f>
        <v>32373</v>
      </c>
      <c r="H328" s="186">
        <f>'2012 Rate Rider'!$G$9</f>
        <v>0</v>
      </c>
      <c r="I328" s="189">
        <f>+G328*H328</f>
        <v>0</v>
      </c>
      <c r="J328" s="279">
        <f>G328</f>
        <v>32373</v>
      </c>
      <c r="K328" s="186">
        <f>'2012 Rate Rider'!$G$9</f>
        <v>0</v>
      </c>
      <c r="L328" s="211">
        <f>+J328*K328</f>
        <v>0</v>
      </c>
      <c r="M328" s="212">
        <f>+L328-I328</f>
        <v>0</v>
      </c>
      <c r="N328" s="213" t="e">
        <f t="shared" si="25"/>
        <v>#DIV/0!</v>
      </c>
      <c r="O328" s="226">
        <f>L328/L331</f>
        <v>0</v>
      </c>
      <c r="P328" s="147"/>
    </row>
    <row r="329" spans="2:16" ht="17.25" customHeight="1" thickBot="1">
      <c r="B329" s="154"/>
      <c r="C329" s="31"/>
      <c r="D329" s="31"/>
      <c r="E329" s="31"/>
      <c r="F329" s="218" t="s">
        <v>192</v>
      </c>
      <c r="G329" s="530"/>
      <c r="H329" s="531"/>
      <c r="I329" s="220">
        <f>SUM(I325:I328)</f>
        <v>4728.19571</v>
      </c>
      <c r="J329" s="530"/>
      <c r="K329" s="531"/>
      <c r="L329" s="220">
        <f>SUM(L325:L328)</f>
        <v>3414.0797400325255</v>
      </c>
      <c r="M329" s="220">
        <f>SUM(M325:M328)</f>
        <v>-1314.1159699674747</v>
      </c>
      <c r="N329" s="223">
        <f t="shared" si="25"/>
        <v>-0.27793180540055834</v>
      </c>
      <c r="O329" s="351">
        <f>L329/L331</f>
        <v>0.8849557522123894</v>
      </c>
      <c r="P329" s="147"/>
    </row>
    <row r="330" spans="2:16" ht="17.25" customHeight="1" thickBot="1">
      <c r="B330" s="154"/>
      <c r="C330" s="31"/>
      <c r="D330" s="31"/>
      <c r="E330" s="31"/>
      <c r="F330" s="278" t="s">
        <v>193</v>
      </c>
      <c r="G330" s="279"/>
      <c r="H330" s="283">
        <f>H306</f>
        <v>0.13</v>
      </c>
      <c r="I330" s="280">
        <f>I329*H330</f>
        <v>614.6654423</v>
      </c>
      <c r="J330" s="279"/>
      <c r="K330" s="283">
        <f>K306</f>
        <v>0.13</v>
      </c>
      <c r="L330" s="281">
        <f>L329*K330</f>
        <v>443.8303662042283</v>
      </c>
      <c r="M330" s="212">
        <f>+L330-I330</f>
        <v>-170.83507609577168</v>
      </c>
      <c r="N330" s="213">
        <f t="shared" si="25"/>
        <v>-0.2779318054005583</v>
      </c>
      <c r="O330" s="226">
        <f>L330/L331</f>
        <v>0.11504424778761063</v>
      </c>
      <c r="P330" s="147"/>
    </row>
    <row r="331" spans="2:16" ht="17.25" customHeight="1" thickBot="1">
      <c r="B331" s="154"/>
      <c r="C331" s="31"/>
      <c r="D331" s="31"/>
      <c r="E331" s="35"/>
      <c r="F331" s="224" t="s">
        <v>79</v>
      </c>
      <c r="G331" s="530"/>
      <c r="H331" s="531"/>
      <c r="I331" s="220">
        <f>I329+I330</f>
        <v>5342.8611523</v>
      </c>
      <c r="J331" s="530"/>
      <c r="K331" s="531"/>
      <c r="L331" s="220">
        <f>L329+L330</f>
        <v>3857.9101062367536</v>
      </c>
      <c r="M331" s="220">
        <f>M329+M330</f>
        <v>-1484.9510460632464</v>
      </c>
      <c r="N331" s="223">
        <f t="shared" si="25"/>
        <v>-0.27793180540055834</v>
      </c>
      <c r="O331" s="225">
        <f>O329+O330</f>
        <v>1</v>
      </c>
      <c r="P331" s="147"/>
    </row>
    <row r="332" spans="2:16" ht="17.25" customHeight="1" thickBot="1">
      <c r="B332" s="148"/>
      <c r="C332" s="160"/>
      <c r="D332" s="160"/>
      <c r="E332" s="160"/>
      <c r="F332" s="161"/>
      <c r="G332" s="162"/>
      <c r="H332" s="163"/>
      <c r="I332" s="164"/>
      <c r="J332" s="162"/>
      <c r="K332" s="165"/>
      <c r="L332" s="164"/>
      <c r="M332" s="166"/>
      <c r="N332" s="167"/>
      <c r="O332" s="168"/>
      <c r="P332" s="149"/>
    </row>
    <row r="333" spans="2:16" ht="17.25" customHeight="1" thickBot="1">
      <c r="B333" s="25"/>
      <c r="C333" s="31"/>
      <c r="D333" s="31"/>
      <c r="E333" s="31"/>
      <c r="F333" s="49"/>
      <c r="G333" s="50"/>
      <c r="H333" s="51"/>
      <c r="I333" s="52"/>
      <c r="J333" s="50"/>
      <c r="K333" s="53"/>
      <c r="L333" s="52"/>
      <c r="M333" s="54"/>
      <c r="N333" s="157"/>
      <c r="O333" s="158"/>
      <c r="P333" s="25"/>
    </row>
    <row r="334" spans="2:16" ht="17.25" customHeight="1">
      <c r="B334" s="156"/>
      <c r="C334" s="539"/>
      <c r="D334" s="539"/>
      <c r="E334" s="539"/>
      <c r="F334" s="539"/>
      <c r="G334" s="539"/>
      <c r="H334" s="539"/>
      <c r="I334" s="539"/>
      <c r="J334" s="539"/>
      <c r="K334" s="539"/>
      <c r="L334" s="539"/>
      <c r="M334" s="539"/>
      <c r="N334" s="539"/>
      <c r="O334" s="539"/>
      <c r="P334" s="146"/>
    </row>
    <row r="335" spans="2:16" ht="23.25">
      <c r="B335" s="154"/>
      <c r="C335" s="540" t="s">
        <v>91</v>
      </c>
      <c r="D335" s="540"/>
      <c r="E335" s="540"/>
      <c r="F335" s="540"/>
      <c r="G335" s="540"/>
      <c r="H335" s="540"/>
      <c r="I335" s="540"/>
      <c r="J335" s="540"/>
      <c r="K335" s="540"/>
      <c r="L335" s="540"/>
      <c r="M335" s="540"/>
      <c r="N335" s="540"/>
      <c r="O335" s="540"/>
      <c r="P335" s="147"/>
    </row>
    <row r="336" spans="2:16" ht="17.25" customHeight="1" thickBot="1">
      <c r="B336" s="154"/>
      <c r="C336" s="541"/>
      <c r="D336" s="541"/>
      <c r="E336" s="541"/>
      <c r="F336" s="541"/>
      <c r="G336" s="541"/>
      <c r="H336" s="541"/>
      <c r="I336" s="541"/>
      <c r="J336" s="541"/>
      <c r="K336" s="541"/>
      <c r="L336" s="541"/>
      <c r="M336" s="541"/>
      <c r="N336" s="541"/>
      <c r="O336" s="541"/>
      <c r="P336" s="147"/>
    </row>
    <row r="337" spans="2:16" ht="17.25" customHeight="1" thickBot="1">
      <c r="B337" s="154"/>
      <c r="C337" s="155"/>
      <c r="D337" s="155"/>
      <c r="E337" s="31"/>
      <c r="F337" s="32"/>
      <c r="G337" s="534" t="str">
        <f>$G$10</f>
        <v>2011 BILL</v>
      </c>
      <c r="H337" s="535"/>
      <c r="I337" s="536"/>
      <c r="J337" s="534" t="str">
        <f>$J$10</f>
        <v>2012 BILL</v>
      </c>
      <c r="K337" s="535"/>
      <c r="L337" s="536"/>
      <c r="M337" s="534" t="s">
        <v>73</v>
      </c>
      <c r="N337" s="535"/>
      <c r="O337" s="536"/>
      <c r="P337" s="147"/>
    </row>
    <row r="338" spans="2:16" ht="39" thickBot="1">
      <c r="B338" s="154"/>
      <c r="C338" s="31"/>
      <c r="D338" s="31"/>
      <c r="E338" s="33"/>
      <c r="F338" s="34"/>
      <c r="G338" s="366" t="s">
        <v>67</v>
      </c>
      <c r="H338" s="367" t="s">
        <v>68</v>
      </c>
      <c r="I338" s="368" t="s">
        <v>69</v>
      </c>
      <c r="J338" s="369" t="s">
        <v>67</v>
      </c>
      <c r="K338" s="367" t="s">
        <v>68</v>
      </c>
      <c r="L338" s="368" t="s">
        <v>69</v>
      </c>
      <c r="M338" s="174" t="s">
        <v>74</v>
      </c>
      <c r="N338" s="175" t="s">
        <v>75</v>
      </c>
      <c r="O338" s="176" t="s">
        <v>76</v>
      </c>
      <c r="P338" s="147"/>
    </row>
    <row r="339" spans="2:17" ht="17.25" customHeight="1" thickBot="1">
      <c r="B339" s="154"/>
      <c r="C339" s="528" t="s">
        <v>70</v>
      </c>
      <c r="D339" s="529"/>
      <c r="E339" s="31"/>
      <c r="F339" s="372" t="s">
        <v>71</v>
      </c>
      <c r="G339" s="370"/>
      <c r="H339" s="364"/>
      <c r="I339" s="187">
        <f>+'2011 Existing Rates'!$C$10</f>
        <v>436.99</v>
      </c>
      <c r="J339" s="185"/>
      <c r="K339" s="365"/>
      <c r="L339" s="214">
        <f>+'Distribution Rate Schedule'!$C$37</f>
        <v>177.32</v>
      </c>
      <c r="M339" s="215">
        <f aca="true" t="shared" si="26" ref="M339:M346">+L339-I339</f>
        <v>-259.67</v>
      </c>
      <c r="N339" s="216">
        <f aca="true" t="shared" si="27" ref="N339:N355">+M339/I339</f>
        <v>-0.5942241241218335</v>
      </c>
      <c r="O339" s="208">
        <f>L339/L355</f>
        <v>0.018976441105139852</v>
      </c>
      <c r="P339" s="361"/>
      <c r="Q339" s="25"/>
    </row>
    <row r="340" spans="2:16" ht="17.25" customHeight="1" thickBot="1">
      <c r="B340" s="154"/>
      <c r="C340" s="152">
        <v>75000</v>
      </c>
      <c r="D340" s="153" t="s">
        <v>16</v>
      </c>
      <c r="E340" s="31"/>
      <c r="F340" s="373" t="s">
        <v>82</v>
      </c>
      <c r="G340" s="371">
        <f>+C341</f>
        <v>250</v>
      </c>
      <c r="H340" s="178">
        <f>'2011 Existing Rates'!$D$62</f>
        <v>2.8308</v>
      </c>
      <c r="I340" s="193">
        <f>+G340*H340</f>
        <v>707.7</v>
      </c>
      <c r="J340" s="184">
        <f>G340</f>
        <v>250</v>
      </c>
      <c r="K340" s="177">
        <f>'Rate Schedule (Part 1)'!$E$29</f>
        <v>1.5002</v>
      </c>
      <c r="L340" s="197">
        <f>+J340*K340</f>
        <v>375.05</v>
      </c>
      <c r="M340" s="215">
        <f t="shared" si="26"/>
        <v>-332.65000000000003</v>
      </c>
      <c r="N340" s="216">
        <f t="shared" si="27"/>
        <v>-0.4700438038716971</v>
      </c>
      <c r="O340" s="208">
        <f>L340/L355</f>
        <v>0.04013712066592997</v>
      </c>
      <c r="P340" s="147"/>
    </row>
    <row r="341" spans="2:16" ht="17.25" customHeight="1" thickBot="1">
      <c r="B341" s="154"/>
      <c r="C341" s="152">
        <v>250</v>
      </c>
      <c r="D341" s="153" t="s">
        <v>17</v>
      </c>
      <c r="E341" s="31"/>
      <c r="F341" s="373" t="s">
        <v>226</v>
      </c>
      <c r="G341" s="310">
        <f>G340</f>
        <v>250</v>
      </c>
      <c r="H341" s="374">
        <f>'2011 Existing Rates'!$D$36</f>
        <v>0.5822</v>
      </c>
      <c r="I341" s="193">
        <f>+G341*H341</f>
        <v>145.55</v>
      </c>
      <c r="J341" s="184">
        <f>+C341</f>
        <v>250</v>
      </c>
      <c r="K341" s="177">
        <f>'Rate Schedule (Part 1)'!$E$30</f>
        <v>0.4332</v>
      </c>
      <c r="L341" s="197">
        <f>+J341*K341</f>
        <v>108.3</v>
      </c>
      <c r="M341" s="215">
        <f t="shared" si="26"/>
        <v>-37.250000000000014</v>
      </c>
      <c r="N341" s="216">
        <f t="shared" si="27"/>
        <v>-0.25592579869460674</v>
      </c>
      <c r="O341" s="208">
        <f>L341/L355</f>
        <v>0.011590055107639555</v>
      </c>
      <c r="P341" s="147"/>
    </row>
    <row r="342" spans="2:16" ht="17.25" customHeight="1">
      <c r="B342" s="154"/>
      <c r="C342" s="63"/>
      <c r="D342" s="64"/>
      <c r="E342" s="31"/>
      <c r="F342" s="181" t="s">
        <v>271</v>
      </c>
      <c r="G342" s="203"/>
      <c r="H342" s="202"/>
      <c r="I342" s="193">
        <f>'2011 Existing Rates'!$B$48</f>
        <v>1.45</v>
      </c>
      <c r="J342" s="203"/>
      <c r="K342" s="202"/>
      <c r="L342" s="193">
        <f>L318</f>
        <v>0</v>
      </c>
      <c r="M342" s="215">
        <f t="shared" si="26"/>
        <v>-1.45</v>
      </c>
      <c r="N342" s="216">
        <f t="shared" si="27"/>
        <v>-1</v>
      </c>
      <c r="O342" s="208">
        <f>L342/L355</f>
        <v>0</v>
      </c>
      <c r="P342" s="147"/>
    </row>
    <row r="343" spans="2:16" ht="17.25" customHeight="1" thickBot="1">
      <c r="B343" s="154"/>
      <c r="C343" s="63"/>
      <c r="D343" s="64"/>
      <c r="E343" s="31"/>
      <c r="F343" s="181" t="s">
        <v>227</v>
      </c>
      <c r="G343" s="184">
        <f>G341</f>
        <v>250</v>
      </c>
      <c r="H343" s="178"/>
      <c r="I343" s="193">
        <f>+G343*H343</f>
        <v>0</v>
      </c>
      <c r="J343" s="184">
        <f>G343</f>
        <v>250</v>
      </c>
      <c r="K343" s="177">
        <f>'Rate Schedule (Part 1)'!$E$31</f>
        <v>0.0535</v>
      </c>
      <c r="L343" s="197">
        <f>+J343*K343</f>
        <v>13.375</v>
      </c>
      <c r="M343" s="215">
        <f t="shared" si="26"/>
        <v>13.375</v>
      </c>
      <c r="N343" s="216" t="e">
        <f t="shared" si="27"/>
        <v>#DIV/0!</v>
      </c>
      <c r="O343" s="208">
        <f>L343/$L$355</f>
        <v>0.0014313664548908501</v>
      </c>
      <c r="P343" s="147"/>
    </row>
    <row r="344" spans="2:16" ht="17.25" customHeight="1">
      <c r="B344" s="154"/>
      <c r="C344" s="63"/>
      <c r="D344" s="64"/>
      <c r="E344" s="31"/>
      <c r="F344" s="419" t="s">
        <v>270</v>
      </c>
      <c r="G344" s="203"/>
      <c r="H344" s="202"/>
      <c r="I344" s="192">
        <v>0</v>
      </c>
      <c r="J344" s="203"/>
      <c r="K344" s="202"/>
      <c r="L344" s="211">
        <f>$L$320</f>
        <v>0</v>
      </c>
      <c r="M344" s="207">
        <f t="shared" si="26"/>
        <v>0</v>
      </c>
      <c r="N344" s="201" t="e">
        <f t="shared" si="27"/>
        <v>#DIV/0!</v>
      </c>
      <c r="O344" s="208">
        <f>L344/$L$355</f>
        <v>0</v>
      </c>
      <c r="P344" s="147"/>
    </row>
    <row r="345" spans="2:16" ht="17.25" customHeight="1">
      <c r="B345" s="154"/>
      <c r="C345" s="63"/>
      <c r="D345" s="64"/>
      <c r="E345" s="31"/>
      <c r="F345" s="419" t="s">
        <v>272</v>
      </c>
      <c r="G345" s="203"/>
      <c r="H345" s="202"/>
      <c r="I345" s="193">
        <f>I321</f>
        <v>7.59</v>
      </c>
      <c r="J345" s="194">
        <f>G345</f>
        <v>0</v>
      </c>
      <c r="K345" s="420">
        <f>$K$321</f>
        <v>0</v>
      </c>
      <c r="L345" s="193">
        <f>+J345*K345</f>
        <v>0</v>
      </c>
      <c r="M345" s="207">
        <f t="shared" si="26"/>
        <v>-7.59</v>
      </c>
      <c r="N345" s="201">
        <f t="shared" si="27"/>
        <v>-1</v>
      </c>
      <c r="O345" s="208">
        <f>L345/$L$355</f>
        <v>0</v>
      </c>
      <c r="P345" s="147"/>
    </row>
    <row r="346" spans="2:16" ht="17.25" customHeight="1" thickBot="1">
      <c r="B346" s="154"/>
      <c r="C346" s="31"/>
      <c r="D346" s="31"/>
      <c r="E346" s="31"/>
      <c r="F346" s="182" t="s">
        <v>228</v>
      </c>
      <c r="G346" s="184">
        <f>+C341</f>
        <v>250</v>
      </c>
      <c r="H346" s="178">
        <f>'2011 Existing Rates'!$D$23</f>
        <v>5.9562</v>
      </c>
      <c r="I346" s="197">
        <f>+G346*H346</f>
        <v>1489.05</v>
      </c>
      <c r="J346" s="184">
        <f>+C341</f>
        <v>250</v>
      </c>
      <c r="K346" s="177">
        <f>K322</f>
        <v>-3.096773231353598</v>
      </c>
      <c r="L346" s="197">
        <f>+J346*K346</f>
        <v>-774.1933078383995</v>
      </c>
      <c r="M346" s="215">
        <f t="shared" si="26"/>
        <v>-2263.2433078383992</v>
      </c>
      <c r="N346" s="216">
        <f t="shared" si="27"/>
        <v>-1.519924319424062</v>
      </c>
      <c r="O346" s="208">
        <f>L346/$L$355</f>
        <v>-0.08285266021987817</v>
      </c>
      <c r="P346" s="147"/>
    </row>
    <row r="347" spans="2:16" ht="17.25" customHeight="1" thickBot="1">
      <c r="B347" s="154"/>
      <c r="C347" s="31"/>
      <c r="D347" s="31"/>
      <c r="E347" s="31"/>
      <c r="F347" s="218" t="s">
        <v>223</v>
      </c>
      <c r="G347" s="530"/>
      <c r="H347" s="531"/>
      <c r="I347" s="220">
        <f>SUM(I339:I346)</f>
        <v>2788.33</v>
      </c>
      <c r="J347" s="530"/>
      <c r="K347" s="531"/>
      <c r="L347" s="220">
        <f>SUM(L339:L346)</f>
        <v>-100.14830783839955</v>
      </c>
      <c r="M347" s="222">
        <f>SUM(M339:M346)</f>
        <v>-2888.4783078383994</v>
      </c>
      <c r="N347" s="223">
        <f t="shared" si="27"/>
        <v>-1.03591694951401</v>
      </c>
      <c r="O347" s="225">
        <f>SUM(O339:O346)</f>
        <v>-0.010717676886277935</v>
      </c>
      <c r="P347" s="147"/>
    </row>
    <row r="348" spans="2:16" ht="17.25" customHeight="1" thickBot="1">
      <c r="B348" s="154"/>
      <c r="C348" s="31"/>
      <c r="D348" s="31"/>
      <c r="E348" s="31"/>
      <c r="F348" s="181" t="s">
        <v>229</v>
      </c>
      <c r="G348" s="348">
        <f>C341</f>
        <v>250</v>
      </c>
      <c r="H348" s="349">
        <f>'Other Electriciy Rates'!$F$12</f>
        <v>3.748</v>
      </c>
      <c r="I348" s="193">
        <f>+G348*H348</f>
        <v>937</v>
      </c>
      <c r="J348" s="348">
        <f>C341</f>
        <v>250</v>
      </c>
      <c r="K348" s="177">
        <f>'Other Electriciy Rates'!$F$27</f>
        <v>3.814790631678846</v>
      </c>
      <c r="L348" s="193">
        <f>+J348*K348</f>
        <v>953.6976579197116</v>
      </c>
      <c r="M348" s="350">
        <f>+L348-I348</f>
        <v>16.69765791971156</v>
      </c>
      <c r="N348" s="205">
        <f t="shared" si="27"/>
        <v>0.017820339295316498</v>
      </c>
      <c r="O348" s="208">
        <f>L348/L355</f>
        <v>0.10206286621713975</v>
      </c>
      <c r="P348" s="147"/>
    </row>
    <row r="349" spans="2:16" ht="17.25" customHeight="1" thickBot="1">
      <c r="B349" s="154"/>
      <c r="C349" s="31"/>
      <c r="D349" s="31"/>
      <c r="E349" s="31"/>
      <c r="F349" s="218" t="s">
        <v>225</v>
      </c>
      <c r="G349" s="530"/>
      <c r="H349" s="531"/>
      <c r="I349" s="220">
        <f>I347+I348</f>
        <v>3725.33</v>
      </c>
      <c r="J349" s="530"/>
      <c r="K349" s="531"/>
      <c r="L349" s="220">
        <f>L347+L348</f>
        <v>853.549350081312</v>
      </c>
      <c r="M349" s="220">
        <f>M347+M348</f>
        <v>-2871.7806499186877</v>
      </c>
      <c r="N349" s="223">
        <f t="shared" si="27"/>
        <v>-0.7708795327980844</v>
      </c>
      <c r="O349" s="351">
        <f>L349/L355</f>
        <v>0.0913451893308618</v>
      </c>
      <c r="P349" s="147"/>
    </row>
    <row r="350" spans="2:16" ht="17.25" customHeight="1">
      <c r="B350" s="154"/>
      <c r="C350" s="31"/>
      <c r="D350" s="31"/>
      <c r="E350" s="31"/>
      <c r="F350" s="179" t="s">
        <v>77</v>
      </c>
      <c r="G350" s="185">
        <f>C340*'Other Electriciy Rates'!$L$12</f>
        <v>80932.5</v>
      </c>
      <c r="H350" s="186">
        <f>'Other Electriciy Rates'!$C$12+'Other Electriciy Rates'!$D$12</f>
        <v>0.012986887220832175</v>
      </c>
      <c r="I350" s="187">
        <f>+G350*H350</f>
        <v>1051.06125</v>
      </c>
      <c r="J350" s="185">
        <f>C340*'Other Electriciy Rates'!$L$27</f>
        <v>81000</v>
      </c>
      <c r="K350" s="186">
        <f>'Other Electriciy Rates'!$C$27+'Other Electriciy Rates'!$D$27</f>
        <v>0.01278148148148148</v>
      </c>
      <c r="L350" s="214">
        <f>+J350*K350</f>
        <v>1035.3</v>
      </c>
      <c r="M350" s="215">
        <f>+L350-I350</f>
        <v>-15.761250000000018</v>
      </c>
      <c r="N350" s="216">
        <f t="shared" si="27"/>
        <v>-0.014995558060959834</v>
      </c>
      <c r="O350" s="208">
        <f>L350/L355</f>
        <v>0.11079578996250446</v>
      </c>
      <c r="P350" s="147"/>
    </row>
    <row r="351" spans="2:16" ht="17.25" customHeight="1">
      <c r="B351" s="154"/>
      <c r="C351" s="31"/>
      <c r="D351" s="31"/>
      <c r="E351" s="31"/>
      <c r="F351" s="179" t="s">
        <v>78</v>
      </c>
      <c r="G351" s="185">
        <f>G350</f>
        <v>80932.5</v>
      </c>
      <c r="H351" s="186">
        <f>+'Other Electriciy Rates'!$J$12</f>
        <v>0.07877</v>
      </c>
      <c r="I351" s="187">
        <f>+G351*H351</f>
        <v>6375.053025</v>
      </c>
      <c r="J351" s="185">
        <f>J350</f>
        <v>81000</v>
      </c>
      <c r="K351" s="186">
        <f>'Other Electriciy Rates'!$J$27</f>
        <v>0.07877</v>
      </c>
      <c r="L351" s="214">
        <f>+J351*K351</f>
        <v>6380.370000000001</v>
      </c>
      <c r="M351" s="215">
        <f>+L351-I351</f>
        <v>5.316975000000639</v>
      </c>
      <c r="N351" s="216">
        <f t="shared" si="27"/>
        <v>0.0008340283569642369</v>
      </c>
      <c r="O351" s="208">
        <f>L351/L355</f>
        <v>0.6828147729190231</v>
      </c>
      <c r="P351" s="147"/>
    </row>
    <row r="352" spans="2:16" ht="18" customHeight="1" thickBot="1">
      <c r="B352" s="154"/>
      <c r="C352" s="31"/>
      <c r="D352" s="31"/>
      <c r="E352" s="31"/>
      <c r="F352" s="181" t="s">
        <v>235</v>
      </c>
      <c r="G352" s="279">
        <f>G351</f>
        <v>80932.5</v>
      </c>
      <c r="H352" s="186">
        <f>'2012 Rate Rider'!$G$9</f>
        <v>0</v>
      </c>
      <c r="I352" s="189">
        <f>+G352*H352</f>
        <v>0</v>
      </c>
      <c r="J352" s="279">
        <f>G352</f>
        <v>80932.5</v>
      </c>
      <c r="K352" s="186">
        <f>'2012 Rate Rider'!$G$9</f>
        <v>0</v>
      </c>
      <c r="L352" s="211">
        <f>+J352*K352</f>
        <v>0</v>
      </c>
      <c r="M352" s="212">
        <f>+L352-I352</f>
        <v>0</v>
      </c>
      <c r="N352" s="213" t="e">
        <f t="shared" si="27"/>
        <v>#DIV/0!</v>
      </c>
      <c r="O352" s="226">
        <f>L352/L355</f>
        <v>0</v>
      </c>
      <c r="P352" s="147"/>
    </row>
    <row r="353" spans="2:16" ht="17.25" customHeight="1" thickBot="1">
      <c r="B353" s="154"/>
      <c r="C353" s="31"/>
      <c r="D353" s="31"/>
      <c r="E353" s="31"/>
      <c r="F353" s="218" t="s">
        <v>192</v>
      </c>
      <c r="G353" s="530"/>
      <c r="H353" s="531"/>
      <c r="I353" s="220">
        <f>SUM(I349:I352)</f>
        <v>11151.444275</v>
      </c>
      <c r="J353" s="530"/>
      <c r="K353" s="531"/>
      <c r="L353" s="220">
        <f>SUM(L349:L352)</f>
        <v>8269.219350081312</v>
      </c>
      <c r="M353" s="220">
        <f>SUM(M349:M352)</f>
        <v>-2882.224924918687</v>
      </c>
      <c r="N353" s="223">
        <f t="shared" si="27"/>
        <v>-0.25846203001527235</v>
      </c>
      <c r="O353" s="351">
        <f>L353/L355</f>
        <v>0.8849557522123893</v>
      </c>
      <c r="P353" s="147"/>
    </row>
    <row r="354" spans="2:16" ht="17.25" customHeight="1" thickBot="1">
      <c r="B354" s="154"/>
      <c r="C354" s="31"/>
      <c r="D354" s="31"/>
      <c r="E354" s="31"/>
      <c r="F354" s="278" t="s">
        <v>193</v>
      </c>
      <c r="G354" s="279"/>
      <c r="H354" s="283">
        <f>H330</f>
        <v>0.13</v>
      </c>
      <c r="I354" s="280">
        <f>I353*H354</f>
        <v>1449.68775575</v>
      </c>
      <c r="J354" s="279"/>
      <c r="K354" s="283">
        <f>K330</f>
        <v>0.13</v>
      </c>
      <c r="L354" s="281">
        <f>L353*K354</f>
        <v>1074.9985155105705</v>
      </c>
      <c r="M354" s="212">
        <f>+L354-I354</f>
        <v>-374.6892402394294</v>
      </c>
      <c r="N354" s="213">
        <f t="shared" si="27"/>
        <v>-0.2584620300152724</v>
      </c>
      <c r="O354" s="226">
        <f>L354/L355</f>
        <v>0.1150442477876106</v>
      </c>
      <c r="P354" s="147"/>
    </row>
    <row r="355" spans="2:16" ht="17.25" customHeight="1" thickBot="1">
      <c r="B355" s="154"/>
      <c r="C355" s="31"/>
      <c r="D355" s="31"/>
      <c r="E355" s="35"/>
      <c r="F355" s="224" t="s">
        <v>79</v>
      </c>
      <c r="G355" s="530"/>
      <c r="H355" s="531"/>
      <c r="I355" s="220">
        <f>I353+I354</f>
        <v>12601.13203075</v>
      </c>
      <c r="J355" s="530"/>
      <c r="K355" s="531"/>
      <c r="L355" s="220">
        <f>L353+L354</f>
        <v>9344.217865591883</v>
      </c>
      <c r="M355" s="220">
        <f>M353+M354</f>
        <v>-3256.9141651581167</v>
      </c>
      <c r="N355" s="223">
        <f t="shared" si="27"/>
        <v>-0.2584620300152724</v>
      </c>
      <c r="O355" s="225">
        <f>O353+O354</f>
        <v>0.9999999999999999</v>
      </c>
      <c r="P355" s="147"/>
    </row>
    <row r="356" spans="2:16" ht="17.25" customHeight="1" thickBot="1">
      <c r="B356" s="148"/>
      <c r="C356" s="160"/>
      <c r="D356" s="160"/>
      <c r="E356" s="160"/>
      <c r="F356" s="161"/>
      <c r="G356" s="162"/>
      <c r="H356" s="163"/>
      <c r="I356" s="164"/>
      <c r="J356" s="162"/>
      <c r="K356" s="165"/>
      <c r="L356" s="164"/>
      <c r="M356" s="166"/>
      <c r="N356" s="167"/>
      <c r="O356" s="168"/>
      <c r="P356" s="149"/>
    </row>
    <row r="357" spans="2:16" ht="18" customHeight="1" thickBot="1">
      <c r="B357" s="25"/>
      <c r="C357" s="31"/>
      <c r="D357" s="31"/>
      <c r="E357" s="31"/>
      <c r="F357" s="49"/>
      <c r="G357" s="50"/>
      <c r="H357" s="51"/>
      <c r="I357" s="52"/>
      <c r="J357" s="50"/>
      <c r="K357" s="53"/>
      <c r="L357" s="52"/>
      <c r="M357" s="54"/>
      <c r="N357" s="157"/>
      <c r="O357" s="158"/>
      <c r="P357" s="25"/>
    </row>
    <row r="358" spans="2:16" ht="17.25" customHeight="1">
      <c r="B358" s="156"/>
      <c r="C358" s="539"/>
      <c r="D358" s="539"/>
      <c r="E358" s="539"/>
      <c r="F358" s="539"/>
      <c r="G358" s="539"/>
      <c r="H358" s="539"/>
      <c r="I358" s="539"/>
      <c r="J358" s="539"/>
      <c r="K358" s="539"/>
      <c r="L358" s="539"/>
      <c r="M358" s="539"/>
      <c r="N358" s="539"/>
      <c r="O358" s="539"/>
      <c r="P358" s="146"/>
    </row>
    <row r="359" spans="2:16" ht="23.25">
      <c r="B359" s="154"/>
      <c r="C359" s="540" t="s">
        <v>91</v>
      </c>
      <c r="D359" s="540"/>
      <c r="E359" s="540"/>
      <c r="F359" s="540"/>
      <c r="G359" s="540"/>
      <c r="H359" s="540"/>
      <c r="I359" s="540"/>
      <c r="J359" s="540"/>
      <c r="K359" s="540"/>
      <c r="L359" s="540"/>
      <c r="M359" s="540"/>
      <c r="N359" s="540"/>
      <c r="O359" s="540"/>
      <c r="P359" s="147"/>
    </row>
    <row r="360" spans="2:16" ht="17.25" customHeight="1" thickBot="1">
      <c r="B360" s="154"/>
      <c r="C360" s="541"/>
      <c r="D360" s="541"/>
      <c r="E360" s="541"/>
      <c r="F360" s="541"/>
      <c r="G360" s="541"/>
      <c r="H360" s="541"/>
      <c r="I360" s="541"/>
      <c r="J360" s="541"/>
      <c r="K360" s="541"/>
      <c r="L360" s="541"/>
      <c r="M360" s="541"/>
      <c r="N360" s="541"/>
      <c r="O360" s="541"/>
      <c r="P360" s="147"/>
    </row>
    <row r="361" spans="2:16" ht="17.25" customHeight="1" thickBot="1">
      <c r="B361" s="154"/>
      <c r="C361" s="155"/>
      <c r="D361" s="155"/>
      <c r="E361" s="31"/>
      <c r="F361" s="32"/>
      <c r="G361" s="534" t="str">
        <f>$G$10</f>
        <v>2011 BILL</v>
      </c>
      <c r="H361" s="535"/>
      <c r="I361" s="536"/>
      <c r="J361" s="534" t="str">
        <f>$J$10</f>
        <v>2012 BILL</v>
      </c>
      <c r="K361" s="535"/>
      <c r="L361" s="536"/>
      <c r="M361" s="534" t="s">
        <v>73</v>
      </c>
      <c r="N361" s="535"/>
      <c r="O361" s="536"/>
      <c r="P361" s="147"/>
    </row>
    <row r="362" spans="2:16" ht="39" thickBot="1">
      <c r="B362" s="154"/>
      <c r="C362" s="31"/>
      <c r="D362" s="31"/>
      <c r="E362" s="33"/>
      <c r="F362" s="34"/>
      <c r="G362" s="366" t="s">
        <v>67</v>
      </c>
      <c r="H362" s="367" t="s">
        <v>68</v>
      </c>
      <c r="I362" s="368" t="s">
        <v>69</v>
      </c>
      <c r="J362" s="369" t="s">
        <v>67</v>
      </c>
      <c r="K362" s="367" t="s">
        <v>68</v>
      </c>
      <c r="L362" s="368" t="s">
        <v>69</v>
      </c>
      <c r="M362" s="174" t="s">
        <v>74</v>
      </c>
      <c r="N362" s="175" t="s">
        <v>75</v>
      </c>
      <c r="O362" s="176" t="s">
        <v>76</v>
      </c>
      <c r="P362" s="147"/>
    </row>
    <row r="363" spans="2:17" ht="17.25" customHeight="1" thickBot="1">
      <c r="B363" s="154"/>
      <c r="C363" s="528" t="s">
        <v>70</v>
      </c>
      <c r="D363" s="529"/>
      <c r="E363" s="31"/>
      <c r="F363" s="372" t="s">
        <v>71</v>
      </c>
      <c r="G363" s="370"/>
      <c r="H363" s="364"/>
      <c r="I363" s="187">
        <f>+'2011 Existing Rates'!$C$10</f>
        <v>436.99</v>
      </c>
      <c r="J363" s="185"/>
      <c r="K363" s="365"/>
      <c r="L363" s="214">
        <f>+'Distribution Rate Schedule'!$C$37</f>
        <v>177.32</v>
      </c>
      <c r="M363" s="215">
        <f aca="true" t="shared" si="28" ref="M363:M370">+L363-I363</f>
        <v>-259.67</v>
      </c>
      <c r="N363" s="216">
        <f aca="true" t="shared" si="29" ref="N363:N379">+M363/I363</f>
        <v>-0.5942241241218335</v>
      </c>
      <c r="O363" s="208">
        <f>L363/L379</f>
        <v>0.014250457558182272</v>
      </c>
      <c r="P363" s="361"/>
      <c r="Q363" s="25"/>
    </row>
    <row r="364" spans="2:16" ht="17.25" customHeight="1" thickBot="1">
      <c r="B364" s="154"/>
      <c r="C364" s="152">
        <v>100000</v>
      </c>
      <c r="D364" s="153" t="s">
        <v>16</v>
      </c>
      <c r="E364" s="31"/>
      <c r="F364" s="373" t="s">
        <v>82</v>
      </c>
      <c r="G364" s="371">
        <f>+C365</f>
        <v>350</v>
      </c>
      <c r="H364" s="178">
        <f>'2011 Existing Rates'!$D$62</f>
        <v>2.8308</v>
      </c>
      <c r="I364" s="193">
        <f>+G364*H364</f>
        <v>990.78</v>
      </c>
      <c r="J364" s="184">
        <f>G364</f>
        <v>350</v>
      </c>
      <c r="K364" s="177">
        <f>'Rate Schedule (Part 1)'!$E$29</f>
        <v>1.5002</v>
      </c>
      <c r="L364" s="197">
        <f>+J364*K364</f>
        <v>525.0699999999999</v>
      </c>
      <c r="M364" s="215">
        <f t="shared" si="28"/>
        <v>-465.71000000000004</v>
      </c>
      <c r="N364" s="216">
        <f t="shared" si="29"/>
        <v>-0.4700438038716971</v>
      </c>
      <c r="O364" s="208">
        <f>L364/L379</f>
        <v>0.04219765254948548</v>
      </c>
      <c r="P364" s="147"/>
    </row>
    <row r="365" spans="2:16" ht="17.25" customHeight="1" thickBot="1">
      <c r="B365" s="154"/>
      <c r="C365" s="152">
        <v>350</v>
      </c>
      <c r="D365" s="153" t="s">
        <v>17</v>
      </c>
      <c r="E365" s="31"/>
      <c r="F365" s="373" t="s">
        <v>226</v>
      </c>
      <c r="G365" s="310">
        <f>G364</f>
        <v>350</v>
      </c>
      <c r="H365" s="374">
        <f>'2011 Existing Rates'!$D$36</f>
        <v>0.5822</v>
      </c>
      <c r="I365" s="193">
        <f>+G365*H365</f>
        <v>203.77</v>
      </c>
      <c r="J365" s="184">
        <f>+C365</f>
        <v>350</v>
      </c>
      <c r="K365" s="177">
        <f>'Rate Schedule (Part 1)'!$E$30</f>
        <v>0.4332</v>
      </c>
      <c r="L365" s="197">
        <f>+J365*K365</f>
        <v>151.62</v>
      </c>
      <c r="M365" s="215">
        <f t="shared" si="28"/>
        <v>-52.150000000000006</v>
      </c>
      <c r="N365" s="216">
        <f t="shared" si="29"/>
        <v>-0.2559257986946067</v>
      </c>
      <c r="O365" s="208">
        <f>L365/L379</f>
        <v>0.012185057381973813</v>
      </c>
      <c r="P365" s="147"/>
    </row>
    <row r="366" spans="2:16" ht="17.25" customHeight="1">
      <c r="B366" s="154"/>
      <c r="C366" s="63"/>
      <c r="D366" s="64"/>
      <c r="E366" s="31"/>
      <c r="F366" s="181" t="s">
        <v>271</v>
      </c>
      <c r="G366" s="203"/>
      <c r="H366" s="202"/>
      <c r="I366" s="193">
        <f>'2011 Existing Rates'!$B$48</f>
        <v>1.45</v>
      </c>
      <c r="J366" s="203"/>
      <c r="K366" s="202"/>
      <c r="L366" s="193">
        <f>L318</f>
        <v>0</v>
      </c>
      <c r="M366" s="215">
        <f t="shared" si="28"/>
        <v>-1.45</v>
      </c>
      <c r="N366" s="216">
        <f t="shared" si="29"/>
        <v>-1</v>
      </c>
      <c r="O366" s="208">
        <f>L366/L379</f>
        <v>0</v>
      </c>
      <c r="P366" s="147"/>
    </row>
    <row r="367" spans="2:16" ht="17.25" customHeight="1" thickBot="1">
      <c r="B367" s="154"/>
      <c r="C367" s="63"/>
      <c r="D367" s="64"/>
      <c r="E367" s="31"/>
      <c r="F367" s="181" t="s">
        <v>227</v>
      </c>
      <c r="G367" s="184">
        <f>G365</f>
        <v>350</v>
      </c>
      <c r="H367" s="178"/>
      <c r="I367" s="193">
        <f>+G367*H367</f>
        <v>0</v>
      </c>
      <c r="J367" s="184">
        <f>G367</f>
        <v>350</v>
      </c>
      <c r="K367" s="177">
        <f>'Rate Schedule (Part 1)'!$E$31</f>
        <v>0.0535</v>
      </c>
      <c r="L367" s="197">
        <f>+J367*K367</f>
        <v>18.724999999999998</v>
      </c>
      <c r="M367" s="215">
        <f t="shared" si="28"/>
        <v>18.724999999999998</v>
      </c>
      <c r="N367" s="216" t="e">
        <f t="shared" si="29"/>
        <v>#DIV/0!</v>
      </c>
      <c r="O367" s="208">
        <f>L367/$L$379</f>
        <v>0.0015048489610701727</v>
      </c>
      <c r="P367" s="147"/>
    </row>
    <row r="368" spans="2:16" ht="17.25" customHeight="1">
      <c r="B368" s="154"/>
      <c r="C368" s="63"/>
      <c r="D368" s="64"/>
      <c r="E368" s="31"/>
      <c r="F368" s="419" t="s">
        <v>270</v>
      </c>
      <c r="G368" s="203"/>
      <c r="H368" s="202"/>
      <c r="I368" s="192">
        <v>0</v>
      </c>
      <c r="J368" s="203"/>
      <c r="K368" s="202"/>
      <c r="L368" s="211">
        <f>$L$320</f>
        <v>0</v>
      </c>
      <c r="M368" s="207">
        <f t="shared" si="28"/>
        <v>0</v>
      </c>
      <c r="N368" s="201" t="e">
        <f t="shared" si="29"/>
        <v>#DIV/0!</v>
      </c>
      <c r="O368" s="208">
        <f>L368/$L$379</f>
        <v>0</v>
      </c>
      <c r="P368" s="147"/>
    </row>
    <row r="369" spans="2:16" ht="17.25" customHeight="1">
      <c r="B369" s="154"/>
      <c r="C369" s="63"/>
      <c r="D369" s="64"/>
      <c r="E369" s="31"/>
      <c r="F369" s="419" t="s">
        <v>272</v>
      </c>
      <c r="G369" s="203"/>
      <c r="H369" s="202"/>
      <c r="I369" s="193">
        <f>I321</f>
        <v>7.59</v>
      </c>
      <c r="J369" s="194">
        <f>G369</f>
        <v>0</v>
      </c>
      <c r="K369" s="420">
        <f>$K$321</f>
        <v>0</v>
      </c>
      <c r="L369" s="193">
        <f>+J369*K369</f>
        <v>0</v>
      </c>
      <c r="M369" s="207">
        <f t="shared" si="28"/>
        <v>-7.59</v>
      </c>
      <c r="N369" s="201">
        <f t="shared" si="29"/>
        <v>-1</v>
      </c>
      <c r="O369" s="208">
        <f>L369/$L$379</f>
        <v>0</v>
      </c>
      <c r="P369" s="147"/>
    </row>
    <row r="370" spans="2:16" ht="17.25" customHeight="1" thickBot="1">
      <c r="B370" s="154"/>
      <c r="C370" s="31"/>
      <c r="D370" s="31"/>
      <c r="E370" s="31"/>
      <c r="F370" s="182" t="s">
        <v>228</v>
      </c>
      <c r="G370" s="184">
        <f>+C365</f>
        <v>350</v>
      </c>
      <c r="H370" s="178">
        <f>'2011 Existing Rates'!$D$23</f>
        <v>5.9562</v>
      </c>
      <c r="I370" s="197">
        <f>+G370*H370</f>
        <v>2084.67</v>
      </c>
      <c r="J370" s="184">
        <f>+C365</f>
        <v>350</v>
      </c>
      <c r="K370" s="177">
        <f>K322</f>
        <v>-3.096773231353598</v>
      </c>
      <c r="L370" s="197">
        <f>+J370*K370</f>
        <v>-1083.8706309737593</v>
      </c>
      <c r="M370" s="215">
        <f t="shared" si="28"/>
        <v>-3168.540630973759</v>
      </c>
      <c r="N370" s="216">
        <f t="shared" si="29"/>
        <v>-1.519924319424062</v>
      </c>
      <c r="O370" s="208">
        <f>L370/$L$379</f>
        <v>-0.0871060930817268</v>
      </c>
      <c r="P370" s="147"/>
    </row>
    <row r="371" spans="2:16" ht="17.25" customHeight="1" thickBot="1">
      <c r="B371" s="154"/>
      <c r="C371" s="31"/>
      <c r="D371" s="31"/>
      <c r="E371" s="31"/>
      <c r="F371" s="218" t="s">
        <v>223</v>
      </c>
      <c r="G371" s="530"/>
      <c r="H371" s="531"/>
      <c r="I371" s="220">
        <f>SUM(I363:I370)</f>
        <v>3725.25</v>
      </c>
      <c r="J371" s="530"/>
      <c r="K371" s="531"/>
      <c r="L371" s="220">
        <f>SUM(L363:L370)</f>
        <v>-211.13563097375936</v>
      </c>
      <c r="M371" s="222">
        <f>SUM(M363:M370)</f>
        <v>-3936.3856309737594</v>
      </c>
      <c r="N371" s="223">
        <f t="shared" si="29"/>
        <v>-1.0566769024827218</v>
      </c>
      <c r="O371" s="225">
        <f>SUM(O363:O370)</f>
        <v>-0.016968076631015058</v>
      </c>
      <c r="P371" s="147"/>
    </row>
    <row r="372" spans="2:16" ht="17.25" customHeight="1" thickBot="1">
      <c r="B372" s="154"/>
      <c r="C372" s="31"/>
      <c r="D372" s="31"/>
      <c r="E372" s="31"/>
      <c r="F372" s="181" t="s">
        <v>229</v>
      </c>
      <c r="G372" s="348">
        <f>C365</f>
        <v>350</v>
      </c>
      <c r="H372" s="349">
        <f>'Other Electriciy Rates'!$F$12</f>
        <v>3.748</v>
      </c>
      <c r="I372" s="193">
        <f>+G372*H372</f>
        <v>1311.8000000000002</v>
      </c>
      <c r="J372" s="348">
        <f>C365</f>
        <v>350</v>
      </c>
      <c r="K372" s="177">
        <f>'Other Electriciy Rates'!$F$27</f>
        <v>3.814790631678846</v>
      </c>
      <c r="L372" s="193">
        <f>+J372*K372</f>
        <v>1335.1767210875962</v>
      </c>
      <c r="M372" s="350">
        <f>+L372-I372</f>
        <v>23.376721087596025</v>
      </c>
      <c r="N372" s="205">
        <f t="shared" si="29"/>
        <v>0.017820339295316377</v>
      </c>
      <c r="O372" s="208">
        <f>L372/L379</f>
        <v>0.10730249941648862</v>
      </c>
      <c r="P372" s="147"/>
    </row>
    <row r="373" spans="2:16" ht="17.25" customHeight="1" thickBot="1">
      <c r="B373" s="154"/>
      <c r="C373" s="31"/>
      <c r="D373" s="31"/>
      <c r="E373" s="31"/>
      <c r="F373" s="218" t="s">
        <v>225</v>
      </c>
      <c r="G373" s="530"/>
      <c r="H373" s="531"/>
      <c r="I373" s="220">
        <f>I371+I372</f>
        <v>5037.05</v>
      </c>
      <c r="J373" s="530"/>
      <c r="K373" s="531"/>
      <c r="L373" s="220">
        <f>L371+L372</f>
        <v>1124.0410901138368</v>
      </c>
      <c r="M373" s="220">
        <f>M371+M372</f>
        <v>-3913.0089098861636</v>
      </c>
      <c r="N373" s="223">
        <f t="shared" si="29"/>
        <v>-0.7768453578753761</v>
      </c>
      <c r="O373" s="351">
        <f>L373/L379</f>
        <v>0.09033442278547354</v>
      </c>
      <c r="P373" s="147"/>
    </row>
    <row r="374" spans="2:16" ht="17.25" customHeight="1">
      <c r="B374" s="154"/>
      <c r="C374" s="31"/>
      <c r="D374" s="31"/>
      <c r="E374" s="31"/>
      <c r="F374" s="179" t="s">
        <v>77</v>
      </c>
      <c r="G374" s="185">
        <f>C364*'Other Electriciy Rates'!$L$12</f>
        <v>107910</v>
      </c>
      <c r="H374" s="186">
        <f>'Other Electriciy Rates'!$C$12+'Other Electriciy Rates'!$D$12</f>
        <v>0.012986887220832175</v>
      </c>
      <c r="I374" s="187">
        <f>+G374*H374</f>
        <v>1401.415</v>
      </c>
      <c r="J374" s="185">
        <f>C364*'Other Electriciy Rates'!$L$27</f>
        <v>108000</v>
      </c>
      <c r="K374" s="186">
        <f>'Other Electriciy Rates'!$C$27+'Other Electriciy Rates'!$D$27</f>
        <v>0.01278148148148148</v>
      </c>
      <c r="L374" s="214">
        <f>+J374*K374</f>
        <v>1380.3999999999999</v>
      </c>
      <c r="M374" s="215">
        <f>+L374-I374</f>
        <v>-21.0150000000001</v>
      </c>
      <c r="N374" s="216">
        <f t="shared" si="29"/>
        <v>-0.014995558060959887</v>
      </c>
      <c r="O374" s="208">
        <f>L374/L379</f>
        <v>0.11093690284973386</v>
      </c>
      <c r="P374" s="147"/>
    </row>
    <row r="375" spans="2:16" ht="17.25" customHeight="1">
      <c r="B375" s="154"/>
      <c r="C375" s="31"/>
      <c r="D375" s="31"/>
      <c r="E375" s="31"/>
      <c r="F375" s="179" t="s">
        <v>78</v>
      </c>
      <c r="G375" s="185">
        <f>G374</f>
        <v>107910</v>
      </c>
      <c r="H375" s="186">
        <f>+'Other Electriciy Rates'!$J$12</f>
        <v>0.07877</v>
      </c>
      <c r="I375" s="187">
        <f>+G375*H375</f>
        <v>8500.0707</v>
      </c>
      <c r="J375" s="185">
        <f>J374</f>
        <v>108000</v>
      </c>
      <c r="K375" s="186">
        <f>'Other Electriciy Rates'!$J$27</f>
        <v>0.07877</v>
      </c>
      <c r="L375" s="214">
        <f>+J375*K375</f>
        <v>8507.16</v>
      </c>
      <c r="M375" s="215">
        <f>+L375-I375</f>
        <v>7.089299999999639</v>
      </c>
      <c r="N375" s="216">
        <f t="shared" si="29"/>
        <v>0.0008340283569640944</v>
      </c>
      <c r="O375" s="208">
        <f>L375/L379</f>
        <v>0.683684426577182</v>
      </c>
      <c r="P375" s="147"/>
    </row>
    <row r="376" spans="2:16" ht="18" customHeight="1" thickBot="1">
      <c r="B376" s="154"/>
      <c r="C376" s="31"/>
      <c r="D376" s="31"/>
      <c r="E376" s="31"/>
      <c r="F376" s="181" t="s">
        <v>235</v>
      </c>
      <c r="G376" s="279">
        <f>G375</f>
        <v>107910</v>
      </c>
      <c r="H376" s="186">
        <f>'2012 Rate Rider'!$G$9</f>
        <v>0</v>
      </c>
      <c r="I376" s="189">
        <f>+G376*H376</f>
        <v>0</v>
      </c>
      <c r="J376" s="279">
        <f>G376</f>
        <v>107910</v>
      </c>
      <c r="K376" s="186">
        <f>'2012 Rate Rider'!$G$9</f>
        <v>0</v>
      </c>
      <c r="L376" s="211">
        <f>+J376*K376</f>
        <v>0</v>
      </c>
      <c r="M376" s="212">
        <f>+L376-I376</f>
        <v>0</v>
      </c>
      <c r="N376" s="213" t="e">
        <f t="shared" si="29"/>
        <v>#DIV/0!</v>
      </c>
      <c r="O376" s="226">
        <f>L376/L379</f>
        <v>0</v>
      </c>
      <c r="P376" s="147"/>
    </row>
    <row r="377" spans="2:16" ht="17.25" customHeight="1" thickBot="1">
      <c r="B377" s="154"/>
      <c r="C377" s="31"/>
      <c r="D377" s="31"/>
      <c r="E377" s="31"/>
      <c r="F377" s="218" t="s">
        <v>192</v>
      </c>
      <c r="G377" s="530"/>
      <c r="H377" s="531"/>
      <c r="I377" s="220">
        <f>SUM(I373:I376)</f>
        <v>14938.5357</v>
      </c>
      <c r="J377" s="530"/>
      <c r="K377" s="531"/>
      <c r="L377" s="220">
        <f>SUM(L373:L376)</f>
        <v>11011.601090113836</v>
      </c>
      <c r="M377" s="220">
        <f>SUM(M373:M376)</f>
        <v>-3926.9346098861643</v>
      </c>
      <c r="N377" s="223">
        <f t="shared" si="29"/>
        <v>-0.26287279347507697</v>
      </c>
      <c r="O377" s="351">
        <f>L377/L379</f>
        <v>0.8849557522123893</v>
      </c>
      <c r="P377" s="147"/>
    </row>
    <row r="378" spans="2:16" ht="17.25" customHeight="1" thickBot="1">
      <c r="B378" s="154"/>
      <c r="C378" s="31"/>
      <c r="D378" s="31"/>
      <c r="E378" s="31"/>
      <c r="F378" s="278" t="s">
        <v>193</v>
      </c>
      <c r="G378" s="279"/>
      <c r="H378" s="283">
        <f>H354</f>
        <v>0.13</v>
      </c>
      <c r="I378" s="280">
        <f>I377*H378</f>
        <v>1942.009641</v>
      </c>
      <c r="J378" s="279"/>
      <c r="K378" s="283">
        <f>K354</f>
        <v>0.13</v>
      </c>
      <c r="L378" s="281">
        <f>L377*K378</f>
        <v>1431.5081417147987</v>
      </c>
      <c r="M378" s="212">
        <f>+L378-I378</f>
        <v>-510.50149928520136</v>
      </c>
      <c r="N378" s="213">
        <f t="shared" si="29"/>
        <v>-0.26287279347507697</v>
      </c>
      <c r="O378" s="226">
        <f>L378/L379</f>
        <v>0.11504424778761062</v>
      </c>
      <c r="P378" s="147"/>
    </row>
    <row r="379" spans="2:16" ht="17.25" customHeight="1" thickBot="1">
      <c r="B379" s="154"/>
      <c r="C379" s="31"/>
      <c r="D379" s="31"/>
      <c r="E379" s="35"/>
      <c r="F379" s="224" t="s">
        <v>79</v>
      </c>
      <c r="G379" s="530"/>
      <c r="H379" s="531"/>
      <c r="I379" s="220">
        <f>I377+I378</f>
        <v>16880.545341</v>
      </c>
      <c r="J379" s="530"/>
      <c r="K379" s="531"/>
      <c r="L379" s="220">
        <f>L377+L378</f>
        <v>12443.109231828636</v>
      </c>
      <c r="M379" s="220">
        <f>M377+M378</f>
        <v>-4437.436109171365</v>
      </c>
      <c r="N379" s="223">
        <f t="shared" si="29"/>
        <v>-0.2628727934750769</v>
      </c>
      <c r="O379" s="225">
        <f>O377+O378</f>
        <v>0.9999999999999999</v>
      </c>
      <c r="P379" s="147"/>
    </row>
    <row r="380" spans="2:16" ht="17.25" customHeight="1" thickBot="1">
      <c r="B380" s="148"/>
      <c r="C380" s="160"/>
      <c r="D380" s="160"/>
      <c r="E380" s="160"/>
      <c r="F380" s="161"/>
      <c r="G380" s="162"/>
      <c r="H380" s="163"/>
      <c r="I380" s="164"/>
      <c r="J380" s="162"/>
      <c r="K380" s="165"/>
      <c r="L380" s="164"/>
      <c r="M380" s="166"/>
      <c r="N380" s="167"/>
      <c r="O380" s="168"/>
      <c r="P380" s="149"/>
    </row>
    <row r="381" spans="2:16" ht="14.25" customHeight="1" thickBot="1">
      <c r="B381" s="25"/>
      <c r="C381" s="31"/>
      <c r="D381" s="31"/>
      <c r="E381" s="31"/>
      <c r="F381" s="49"/>
      <c r="G381" s="50"/>
      <c r="H381" s="51"/>
      <c r="I381" s="52"/>
      <c r="J381" s="50"/>
      <c r="K381" s="53"/>
      <c r="L381" s="52"/>
      <c r="M381" s="54"/>
      <c r="N381" s="157"/>
      <c r="O381" s="158"/>
      <c r="P381" s="25"/>
    </row>
    <row r="382" spans="2:16" ht="17.25" customHeight="1">
      <c r="B382" s="156"/>
      <c r="C382" s="539"/>
      <c r="D382" s="539"/>
      <c r="E382" s="539"/>
      <c r="F382" s="539"/>
      <c r="G382" s="539"/>
      <c r="H382" s="539"/>
      <c r="I382" s="539"/>
      <c r="J382" s="539"/>
      <c r="K382" s="539"/>
      <c r="L382" s="539"/>
      <c r="M382" s="539"/>
      <c r="N382" s="539"/>
      <c r="O382" s="539"/>
      <c r="P382" s="146"/>
    </row>
    <row r="383" spans="2:16" ht="23.25">
      <c r="B383" s="154"/>
      <c r="C383" s="540" t="s">
        <v>91</v>
      </c>
      <c r="D383" s="540"/>
      <c r="E383" s="540"/>
      <c r="F383" s="540"/>
      <c r="G383" s="540"/>
      <c r="H383" s="540"/>
      <c r="I383" s="540"/>
      <c r="J383" s="540"/>
      <c r="K383" s="540"/>
      <c r="L383" s="540"/>
      <c r="M383" s="540"/>
      <c r="N383" s="540"/>
      <c r="O383" s="540"/>
      <c r="P383" s="147"/>
    </row>
    <row r="384" spans="2:16" ht="17.25" customHeight="1" thickBot="1">
      <c r="B384" s="154"/>
      <c r="C384" s="541"/>
      <c r="D384" s="541"/>
      <c r="E384" s="541"/>
      <c r="F384" s="541"/>
      <c r="G384" s="541"/>
      <c r="H384" s="541"/>
      <c r="I384" s="541"/>
      <c r="J384" s="541"/>
      <c r="K384" s="541"/>
      <c r="L384" s="541"/>
      <c r="M384" s="541"/>
      <c r="N384" s="541"/>
      <c r="O384" s="541"/>
      <c r="P384" s="147"/>
    </row>
    <row r="385" spans="2:16" ht="17.25" customHeight="1" thickBot="1">
      <c r="B385" s="154"/>
      <c r="C385" s="155"/>
      <c r="D385" s="155"/>
      <c r="E385" s="31"/>
      <c r="F385" s="32"/>
      <c r="G385" s="534" t="str">
        <f>$G$10</f>
        <v>2011 BILL</v>
      </c>
      <c r="H385" s="535"/>
      <c r="I385" s="536"/>
      <c r="J385" s="534" t="str">
        <f>$J$10</f>
        <v>2012 BILL</v>
      </c>
      <c r="K385" s="535"/>
      <c r="L385" s="536"/>
      <c r="M385" s="534" t="s">
        <v>73</v>
      </c>
      <c r="N385" s="535"/>
      <c r="O385" s="536"/>
      <c r="P385" s="147"/>
    </row>
    <row r="386" spans="2:16" ht="39" thickBot="1">
      <c r="B386" s="154"/>
      <c r="C386" s="31"/>
      <c r="D386" s="31"/>
      <c r="E386" s="33"/>
      <c r="F386" s="34"/>
      <c r="G386" s="366" t="s">
        <v>67</v>
      </c>
      <c r="H386" s="367" t="s">
        <v>68</v>
      </c>
      <c r="I386" s="368" t="s">
        <v>69</v>
      </c>
      <c r="J386" s="369" t="s">
        <v>67</v>
      </c>
      <c r="K386" s="367" t="s">
        <v>68</v>
      </c>
      <c r="L386" s="368" t="s">
        <v>69</v>
      </c>
      <c r="M386" s="174" t="s">
        <v>74</v>
      </c>
      <c r="N386" s="175" t="s">
        <v>75</v>
      </c>
      <c r="O386" s="176" t="s">
        <v>76</v>
      </c>
      <c r="P386" s="147"/>
    </row>
    <row r="387" spans="2:17" ht="17.25" customHeight="1" thickBot="1">
      <c r="B387" s="154"/>
      <c r="C387" s="528" t="s">
        <v>70</v>
      </c>
      <c r="D387" s="529"/>
      <c r="E387" s="31"/>
      <c r="F387" s="372" t="s">
        <v>71</v>
      </c>
      <c r="G387" s="370"/>
      <c r="H387" s="364"/>
      <c r="I387" s="187">
        <f>+'2011 Existing Rates'!$C$10</f>
        <v>436.99</v>
      </c>
      <c r="J387" s="185"/>
      <c r="K387" s="365"/>
      <c r="L387" s="214">
        <f>+'Distribution Rate Schedule'!$C$37</f>
        <v>177.32</v>
      </c>
      <c r="M387" s="215">
        <f aca="true" t="shared" si="30" ref="M387:M394">+L387-I387</f>
        <v>-259.67</v>
      </c>
      <c r="N387" s="216">
        <f aca="true" t="shared" si="31" ref="N387:N403">+M387/I387</f>
        <v>-0.5942241241218335</v>
      </c>
      <c r="O387" s="208">
        <f>L387/L403</f>
        <v>0.0018529311197754165</v>
      </c>
      <c r="P387" s="361"/>
      <c r="Q387" s="25"/>
    </row>
    <row r="388" spans="2:16" ht="17.25" customHeight="1" thickBot="1">
      <c r="B388" s="154"/>
      <c r="C388" s="152">
        <v>800000</v>
      </c>
      <c r="D388" s="153" t="s">
        <v>16</v>
      </c>
      <c r="E388" s="31"/>
      <c r="F388" s="373" t="s">
        <v>82</v>
      </c>
      <c r="G388" s="371">
        <f>+C389</f>
        <v>2000</v>
      </c>
      <c r="H388" s="178">
        <f>'2011 Existing Rates'!$D$62</f>
        <v>2.8308</v>
      </c>
      <c r="I388" s="193">
        <f>+G388*H388</f>
        <v>5661.6</v>
      </c>
      <c r="J388" s="184">
        <f>G388</f>
        <v>2000</v>
      </c>
      <c r="K388" s="177">
        <f>'Rate Schedule (Part 1)'!$E$29</f>
        <v>1.5002</v>
      </c>
      <c r="L388" s="197">
        <f>+J388*K388</f>
        <v>3000.4</v>
      </c>
      <c r="M388" s="215">
        <f t="shared" si="30"/>
        <v>-2661.2000000000003</v>
      </c>
      <c r="N388" s="216">
        <f t="shared" si="31"/>
        <v>-0.4700438038716971</v>
      </c>
      <c r="O388" s="208">
        <f>L388/L403</f>
        <v>0.031353116014968194</v>
      </c>
      <c r="P388" s="147"/>
    </row>
    <row r="389" spans="2:16" ht="17.25" customHeight="1" thickBot="1">
      <c r="B389" s="154"/>
      <c r="C389" s="152">
        <v>2000</v>
      </c>
      <c r="D389" s="153" t="s">
        <v>17</v>
      </c>
      <c r="E389" s="31"/>
      <c r="F389" s="373" t="s">
        <v>226</v>
      </c>
      <c r="G389" s="310">
        <f>G388</f>
        <v>2000</v>
      </c>
      <c r="H389" s="374">
        <f>'2011 Existing Rates'!$D$36</f>
        <v>0.5822</v>
      </c>
      <c r="I389" s="193">
        <f>+G389*H389</f>
        <v>1164.4</v>
      </c>
      <c r="J389" s="184">
        <f>+C389</f>
        <v>2000</v>
      </c>
      <c r="K389" s="177">
        <f>'Rate Schedule (Part 1)'!$E$30</f>
        <v>0.4332</v>
      </c>
      <c r="L389" s="197">
        <f>+J389*K389</f>
        <v>866.4</v>
      </c>
      <c r="M389" s="215">
        <f t="shared" si="30"/>
        <v>-298.0000000000001</v>
      </c>
      <c r="N389" s="216">
        <f t="shared" si="31"/>
        <v>-0.25592579869460674</v>
      </c>
      <c r="O389" s="208">
        <f>L389/L403</f>
        <v>0.00905357276208787</v>
      </c>
      <c r="P389" s="147"/>
    </row>
    <row r="390" spans="2:16" ht="17.25" customHeight="1">
      <c r="B390" s="154"/>
      <c r="C390" s="63"/>
      <c r="D390" s="64"/>
      <c r="E390" s="31"/>
      <c r="F390" s="181" t="s">
        <v>271</v>
      </c>
      <c r="G390" s="203"/>
      <c r="H390" s="202"/>
      <c r="I390" s="193">
        <f>'2011 Existing Rates'!$B$48</f>
        <v>1.45</v>
      </c>
      <c r="J390" s="203"/>
      <c r="K390" s="202"/>
      <c r="L390" s="193">
        <f>L318</f>
        <v>0</v>
      </c>
      <c r="M390" s="215">
        <f t="shared" si="30"/>
        <v>-1.45</v>
      </c>
      <c r="N390" s="216">
        <f t="shared" si="31"/>
        <v>-1</v>
      </c>
      <c r="O390" s="208">
        <f>L390/L403</f>
        <v>0</v>
      </c>
      <c r="P390" s="147"/>
    </row>
    <row r="391" spans="2:16" ht="17.25" customHeight="1" thickBot="1">
      <c r="B391" s="154"/>
      <c r="C391" s="63"/>
      <c r="D391" s="64"/>
      <c r="E391" s="31"/>
      <c r="F391" s="181" t="s">
        <v>227</v>
      </c>
      <c r="G391" s="184">
        <f>G389</f>
        <v>2000</v>
      </c>
      <c r="H391" s="178"/>
      <c r="I391" s="193">
        <f>+G391*H391</f>
        <v>0</v>
      </c>
      <c r="J391" s="184">
        <f>G391</f>
        <v>2000</v>
      </c>
      <c r="K391" s="177">
        <f>'Rate Schedule (Part 1)'!$E$31</f>
        <v>0.0535</v>
      </c>
      <c r="L391" s="197">
        <f>+J391*K391</f>
        <v>107</v>
      </c>
      <c r="M391" s="215">
        <f t="shared" si="30"/>
        <v>107</v>
      </c>
      <c r="N391" s="216" t="e">
        <f t="shared" si="31"/>
        <v>#DIV/0!</v>
      </c>
      <c r="O391" s="208">
        <f>L391/$L$403</f>
        <v>0.0011181120562596975</v>
      </c>
      <c r="P391" s="147"/>
    </row>
    <row r="392" spans="2:16" ht="17.25" customHeight="1">
      <c r="B392" s="154"/>
      <c r="C392" s="63"/>
      <c r="D392" s="64"/>
      <c r="E392" s="31"/>
      <c r="F392" s="419" t="s">
        <v>270</v>
      </c>
      <c r="G392" s="203"/>
      <c r="H392" s="202"/>
      <c r="I392" s="192">
        <v>0</v>
      </c>
      <c r="J392" s="203"/>
      <c r="K392" s="202"/>
      <c r="L392" s="211">
        <f>$L$320</f>
        <v>0</v>
      </c>
      <c r="M392" s="207">
        <f t="shared" si="30"/>
        <v>0</v>
      </c>
      <c r="N392" s="201" t="e">
        <f t="shared" si="31"/>
        <v>#DIV/0!</v>
      </c>
      <c r="O392" s="208">
        <f>L392/$L$403</f>
        <v>0</v>
      </c>
      <c r="P392" s="147"/>
    </row>
    <row r="393" spans="2:16" ht="17.25" customHeight="1">
      <c r="B393" s="154"/>
      <c r="C393" s="63"/>
      <c r="D393" s="64"/>
      <c r="E393" s="31"/>
      <c r="F393" s="419" t="s">
        <v>272</v>
      </c>
      <c r="G393" s="203"/>
      <c r="H393" s="202"/>
      <c r="I393" s="193">
        <f>I321</f>
        <v>7.59</v>
      </c>
      <c r="J393" s="194">
        <f>G393</f>
        <v>0</v>
      </c>
      <c r="K393" s="420">
        <f>$K$321</f>
        <v>0</v>
      </c>
      <c r="L393" s="193">
        <f>+J393*K393</f>
        <v>0</v>
      </c>
      <c r="M393" s="207">
        <f t="shared" si="30"/>
        <v>-7.59</v>
      </c>
      <c r="N393" s="201">
        <f t="shared" si="31"/>
        <v>-1</v>
      </c>
      <c r="O393" s="208">
        <f>L393/$L$403</f>
        <v>0</v>
      </c>
      <c r="P393" s="147"/>
    </row>
    <row r="394" spans="2:16" ht="17.25" customHeight="1" thickBot="1">
      <c r="B394" s="154"/>
      <c r="C394" s="31"/>
      <c r="D394" s="31"/>
      <c r="E394" s="31"/>
      <c r="F394" s="182" t="s">
        <v>228</v>
      </c>
      <c r="G394" s="184">
        <f>+C389</f>
        <v>2000</v>
      </c>
      <c r="H394" s="178">
        <f>'2011 Existing Rates'!$D$23</f>
        <v>5.9562</v>
      </c>
      <c r="I394" s="197">
        <f>+G394*H394</f>
        <v>11912.4</v>
      </c>
      <c r="J394" s="184">
        <f>+C389</f>
        <v>2000</v>
      </c>
      <c r="K394" s="177">
        <f>K322</f>
        <v>-3.096773231353598</v>
      </c>
      <c r="L394" s="197">
        <f>+J394*K394</f>
        <v>-6193.546462707196</v>
      </c>
      <c r="M394" s="215">
        <f t="shared" si="30"/>
        <v>-18105.946462707194</v>
      </c>
      <c r="N394" s="216">
        <f t="shared" si="31"/>
        <v>-1.519924319424062</v>
      </c>
      <c r="O394" s="208">
        <f>L394/$L$403</f>
        <v>-0.06472036421455626</v>
      </c>
      <c r="P394" s="147"/>
    </row>
    <row r="395" spans="2:16" ht="17.25" customHeight="1" thickBot="1">
      <c r="B395" s="154"/>
      <c r="C395" s="31"/>
      <c r="D395" s="31"/>
      <c r="E395" s="31"/>
      <c r="F395" s="218" t="s">
        <v>223</v>
      </c>
      <c r="G395" s="530"/>
      <c r="H395" s="531"/>
      <c r="I395" s="220">
        <f>SUM(I387:I394)</f>
        <v>19184.43</v>
      </c>
      <c r="J395" s="530"/>
      <c r="K395" s="531"/>
      <c r="L395" s="220">
        <f>SUM(L387:L394)</f>
        <v>-2042.4264627071952</v>
      </c>
      <c r="M395" s="222">
        <f>SUM(M387:M394)</f>
        <v>-21226.856462707194</v>
      </c>
      <c r="N395" s="223">
        <f t="shared" si="31"/>
        <v>-1.1064627128722195</v>
      </c>
      <c r="O395" s="225">
        <f>SUM(O387:O394)</f>
        <v>-0.021342632261465093</v>
      </c>
      <c r="P395" s="147"/>
    </row>
    <row r="396" spans="2:16" ht="17.25" customHeight="1" thickBot="1">
      <c r="B396" s="154"/>
      <c r="C396" s="31"/>
      <c r="D396" s="31"/>
      <c r="E396" s="31"/>
      <c r="F396" s="181" t="s">
        <v>229</v>
      </c>
      <c r="G396" s="348">
        <f>C389</f>
        <v>2000</v>
      </c>
      <c r="H396" s="349">
        <f>'Other Electriciy Rates'!$F$12</f>
        <v>3.748</v>
      </c>
      <c r="I396" s="193">
        <f>+G396*H396</f>
        <v>7496</v>
      </c>
      <c r="J396" s="348">
        <f>C389</f>
        <v>2000</v>
      </c>
      <c r="K396" s="177">
        <f>'Other Electriciy Rates'!$F$27</f>
        <v>3.814790631678846</v>
      </c>
      <c r="L396" s="193">
        <f>+J396*K396</f>
        <v>7629.5812633576925</v>
      </c>
      <c r="M396" s="350">
        <f>+L396-I396</f>
        <v>133.58126335769248</v>
      </c>
      <c r="N396" s="205">
        <f t="shared" si="31"/>
        <v>0.017820339295316498</v>
      </c>
      <c r="O396" s="208">
        <f>L396/L403</f>
        <v>0.07972641864274141</v>
      </c>
      <c r="P396" s="147"/>
    </row>
    <row r="397" spans="2:16" ht="17.25" customHeight="1" thickBot="1">
      <c r="B397" s="154"/>
      <c r="C397" s="31"/>
      <c r="D397" s="31"/>
      <c r="E397" s="31"/>
      <c r="F397" s="218" t="s">
        <v>225</v>
      </c>
      <c r="G397" s="530"/>
      <c r="H397" s="531"/>
      <c r="I397" s="220">
        <f>I395+I396</f>
        <v>26680.43</v>
      </c>
      <c r="J397" s="530"/>
      <c r="K397" s="531"/>
      <c r="L397" s="220">
        <f>L395+L396</f>
        <v>5587.154800650497</v>
      </c>
      <c r="M397" s="220">
        <f>M395+M396</f>
        <v>-21093.2751993495</v>
      </c>
      <c r="N397" s="223">
        <f t="shared" si="31"/>
        <v>-0.7905897768270413</v>
      </c>
      <c r="O397" s="351">
        <f>L397/L403</f>
        <v>0.058383786381276344</v>
      </c>
      <c r="P397" s="147"/>
    </row>
    <row r="398" spans="2:16" ht="17.25" customHeight="1">
      <c r="B398" s="154"/>
      <c r="C398" s="31"/>
      <c r="D398" s="31"/>
      <c r="E398" s="31"/>
      <c r="F398" s="179" t="s">
        <v>77</v>
      </c>
      <c r="G398" s="185">
        <f>C388*'Other Electriciy Rates'!$L$12</f>
        <v>863280</v>
      </c>
      <c r="H398" s="186">
        <f>'Other Electriciy Rates'!$C$12+'Other Electriciy Rates'!$D$12</f>
        <v>0.012986887220832175</v>
      </c>
      <c r="I398" s="187">
        <f>+G398*H398</f>
        <v>11211.32</v>
      </c>
      <c r="J398" s="185">
        <f>C388*'Other Electriciy Rates'!$L$27</f>
        <v>864000</v>
      </c>
      <c r="K398" s="186">
        <f>'Other Electriciy Rates'!$C$27+'Other Electriciy Rates'!$D$27</f>
        <v>0.01278148148148148</v>
      </c>
      <c r="L398" s="214">
        <f>+J398*K398</f>
        <v>11043.199999999999</v>
      </c>
      <c r="M398" s="215">
        <f>+L398-I398</f>
        <v>-168.1200000000008</v>
      </c>
      <c r="N398" s="216">
        <f t="shared" si="31"/>
        <v>-0.014995558060959887</v>
      </c>
      <c r="O398" s="208">
        <f>L398/L403</f>
        <v>0.11539752392230927</v>
      </c>
      <c r="P398" s="147"/>
    </row>
    <row r="399" spans="2:16" ht="17.25" customHeight="1">
      <c r="B399" s="154"/>
      <c r="C399" s="31"/>
      <c r="D399" s="31"/>
      <c r="E399" s="31"/>
      <c r="F399" s="179" t="s">
        <v>78</v>
      </c>
      <c r="G399" s="185">
        <f>G398</f>
        <v>863280</v>
      </c>
      <c r="H399" s="186">
        <f>+'Other Electriciy Rates'!$J$12</f>
        <v>0.07877</v>
      </c>
      <c r="I399" s="187">
        <f>+G399*H399</f>
        <v>68000.5656</v>
      </c>
      <c r="J399" s="185">
        <f>J398</f>
        <v>864000</v>
      </c>
      <c r="K399" s="186">
        <f>'Other Electriciy Rates'!$J$27</f>
        <v>0.07877</v>
      </c>
      <c r="L399" s="214">
        <f>+J399*K399</f>
        <v>68057.28</v>
      </c>
      <c r="M399" s="215">
        <f>+L399-I399</f>
        <v>56.71439999999711</v>
      </c>
      <c r="N399" s="216">
        <f t="shared" si="31"/>
        <v>0.0008340283569640944</v>
      </c>
      <c r="O399" s="208">
        <f>L399/L403</f>
        <v>0.7111744419088036</v>
      </c>
      <c r="P399" s="147"/>
    </row>
    <row r="400" spans="2:16" ht="18" customHeight="1" thickBot="1">
      <c r="B400" s="154"/>
      <c r="C400" s="31"/>
      <c r="D400" s="31"/>
      <c r="E400" s="31"/>
      <c r="F400" s="181" t="s">
        <v>235</v>
      </c>
      <c r="G400" s="279">
        <f>G399</f>
        <v>863280</v>
      </c>
      <c r="H400" s="186">
        <f>'2012 Rate Rider'!$G$9</f>
        <v>0</v>
      </c>
      <c r="I400" s="189">
        <f>+G400*H400</f>
        <v>0</v>
      </c>
      <c r="J400" s="279">
        <f>G400</f>
        <v>863280</v>
      </c>
      <c r="K400" s="186">
        <f>'2012 Rate Rider'!$G$9</f>
        <v>0</v>
      </c>
      <c r="L400" s="211">
        <f>+J400*K400</f>
        <v>0</v>
      </c>
      <c r="M400" s="212">
        <f>+L400-I400</f>
        <v>0</v>
      </c>
      <c r="N400" s="213" t="e">
        <f t="shared" si="31"/>
        <v>#DIV/0!</v>
      </c>
      <c r="O400" s="226">
        <f>L400/L403</f>
        <v>0</v>
      </c>
      <c r="P400" s="147"/>
    </row>
    <row r="401" spans="2:16" ht="17.25" customHeight="1" thickBot="1">
      <c r="B401" s="154"/>
      <c r="C401" s="31"/>
      <c r="D401" s="31"/>
      <c r="E401" s="31"/>
      <c r="F401" s="218" t="s">
        <v>192</v>
      </c>
      <c r="G401" s="530"/>
      <c r="H401" s="531"/>
      <c r="I401" s="220">
        <f>SUM(I397:I400)</f>
        <v>105892.3156</v>
      </c>
      <c r="J401" s="530"/>
      <c r="K401" s="531"/>
      <c r="L401" s="220">
        <f>SUM(L397:L400)</f>
        <v>84687.6348006505</v>
      </c>
      <c r="M401" s="220">
        <f>SUM(M397:M400)</f>
        <v>-21204.680799349502</v>
      </c>
      <c r="N401" s="223">
        <f t="shared" si="31"/>
        <v>-0.20024758812007226</v>
      </c>
      <c r="O401" s="351">
        <f>L401/L403</f>
        <v>0.8849557522123893</v>
      </c>
      <c r="P401" s="147"/>
    </row>
    <row r="402" spans="2:16" ht="17.25" customHeight="1" thickBot="1">
      <c r="B402" s="154"/>
      <c r="C402" s="31"/>
      <c r="D402" s="31"/>
      <c r="E402" s="31"/>
      <c r="F402" s="278" t="s">
        <v>193</v>
      </c>
      <c r="G402" s="279"/>
      <c r="H402" s="283">
        <f>H378</f>
        <v>0.13</v>
      </c>
      <c r="I402" s="280">
        <f>I401*H402</f>
        <v>13766.001028</v>
      </c>
      <c r="J402" s="279"/>
      <c r="K402" s="283">
        <f>K378</f>
        <v>0.13</v>
      </c>
      <c r="L402" s="281">
        <f>L401*K402</f>
        <v>11009.392524084566</v>
      </c>
      <c r="M402" s="212">
        <f>+L402-I402</f>
        <v>-2756.608503915435</v>
      </c>
      <c r="N402" s="213">
        <f t="shared" si="31"/>
        <v>-0.20024758812007223</v>
      </c>
      <c r="O402" s="226">
        <f>L402/L403</f>
        <v>0.11504424778761062</v>
      </c>
      <c r="P402" s="147"/>
    </row>
    <row r="403" spans="2:16" ht="17.25" customHeight="1" thickBot="1">
      <c r="B403" s="154"/>
      <c r="C403" s="31"/>
      <c r="D403" s="31"/>
      <c r="E403" s="35"/>
      <c r="F403" s="224" t="s">
        <v>79</v>
      </c>
      <c r="G403" s="530"/>
      <c r="H403" s="531"/>
      <c r="I403" s="220">
        <f>I401+I402</f>
        <v>119658.316628</v>
      </c>
      <c r="J403" s="530"/>
      <c r="K403" s="531"/>
      <c r="L403" s="220">
        <f>L401+L402</f>
        <v>95697.02732473507</v>
      </c>
      <c r="M403" s="220">
        <f>M401+M402</f>
        <v>-23961.289303264937</v>
      </c>
      <c r="N403" s="223">
        <f t="shared" si="31"/>
        <v>-0.20024758812007226</v>
      </c>
      <c r="O403" s="225">
        <f>O401+O402</f>
        <v>0.9999999999999999</v>
      </c>
      <c r="P403" s="147"/>
    </row>
    <row r="404" spans="2:16" ht="17.25" customHeight="1" thickBot="1">
      <c r="B404" s="148"/>
      <c r="C404" s="160"/>
      <c r="D404" s="160"/>
      <c r="E404" s="160"/>
      <c r="F404" s="161"/>
      <c r="G404" s="162"/>
      <c r="H404" s="163"/>
      <c r="I404" s="164"/>
      <c r="J404" s="162"/>
      <c r="K404" s="165"/>
      <c r="L404" s="164"/>
      <c r="M404" s="166"/>
      <c r="N404" s="167"/>
      <c r="O404" s="168"/>
      <c r="P404" s="149"/>
    </row>
    <row r="405" spans="2:16" ht="17.25" customHeight="1" thickBot="1">
      <c r="B405" s="25"/>
      <c r="C405" s="31"/>
      <c r="D405" s="31"/>
      <c r="E405" s="31"/>
      <c r="F405" s="49"/>
      <c r="G405" s="50"/>
      <c r="H405" s="51"/>
      <c r="I405" s="52"/>
      <c r="J405" s="50"/>
      <c r="K405" s="53"/>
      <c r="L405" s="52"/>
      <c r="M405" s="54"/>
      <c r="N405" s="157"/>
      <c r="O405" s="158"/>
      <c r="P405" s="25"/>
    </row>
    <row r="406" spans="2:16" ht="17.25" customHeight="1">
      <c r="B406" s="156"/>
      <c r="C406" s="539"/>
      <c r="D406" s="539"/>
      <c r="E406" s="539"/>
      <c r="F406" s="539"/>
      <c r="G406" s="539"/>
      <c r="H406" s="539"/>
      <c r="I406" s="539"/>
      <c r="J406" s="539"/>
      <c r="K406" s="539"/>
      <c r="L406" s="539"/>
      <c r="M406" s="539"/>
      <c r="N406" s="539"/>
      <c r="O406" s="539"/>
      <c r="P406" s="146"/>
    </row>
    <row r="407" spans="2:16" ht="23.25">
      <c r="B407" s="154"/>
      <c r="C407" s="540" t="s">
        <v>91</v>
      </c>
      <c r="D407" s="540"/>
      <c r="E407" s="540"/>
      <c r="F407" s="540"/>
      <c r="G407" s="540"/>
      <c r="H407" s="540"/>
      <c r="I407" s="540"/>
      <c r="J407" s="540"/>
      <c r="K407" s="540"/>
      <c r="L407" s="540"/>
      <c r="M407" s="540"/>
      <c r="N407" s="540"/>
      <c r="O407" s="540"/>
      <c r="P407" s="147"/>
    </row>
    <row r="408" spans="2:16" ht="17.25" customHeight="1" thickBot="1">
      <c r="B408" s="154"/>
      <c r="C408" s="541"/>
      <c r="D408" s="541"/>
      <c r="E408" s="541"/>
      <c r="F408" s="541"/>
      <c r="G408" s="541"/>
      <c r="H408" s="541"/>
      <c r="I408" s="541"/>
      <c r="J408" s="541"/>
      <c r="K408" s="541"/>
      <c r="L408" s="541"/>
      <c r="M408" s="541"/>
      <c r="N408" s="541"/>
      <c r="O408" s="541"/>
      <c r="P408" s="147"/>
    </row>
    <row r="409" spans="2:16" ht="17.25" customHeight="1" thickBot="1">
      <c r="B409" s="154"/>
      <c r="C409" s="155"/>
      <c r="D409" s="155"/>
      <c r="E409" s="31"/>
      <c r="F409" s="32"/>
      <c r="G409" s="534" t="str">
        <f>$G$10</f>
        <v>2011 BILL</v>
      </c>
      <c r="H409" s="535"/>
      <c r="I409" s="536"/>
      <c r="J409" s="534" t="str">
        <f>$J$10</f>
        <v>2012 BILL</v>
      </c>
      <c r="K409" s="535"/>
      <c r="L409" s="536"/>
      <c r="M409" s="534" t="s">
        <v>73</v>
      </c>
      <c r="N409" s="535"/>
      <c r="O409" s="536"/>
      <c r="P409" s="147"/>
    </row>
    <row r="410" spans="2:16" ht="39" thickBot="1">
      <c r="B410" s="154"/>
      <c r="C410" s="31"/>
      <c r="D410" s="31"/>
      <c r="E410" s="33"/>
      <c r="F410" s="34"/>
      <c r="G410" s="366" t="s">
        <v>67</v>
      </c>
      <c r="H410" s="367" t="s">
        <v>68</v>
      </c>
      <c r="I410" s="368" t="s">
        <v>69</v>
      </c>
      <c r="J410" s="369" t="s">
        <v>67</v>
      </c>
      <c r="K410" s="367" t="s">
        <v>68</v>
      </c>
      <c r="L410" s="368" t="s">
        <v>69</v>
      </c>
      <c r="M410" s="174" t="s">
        <v>74</v>
      </c>
      <c r="N410" s="175" t="s">
        <v>75</v>
      </c>
      <c r="O410" s="176" t="s">
        <v>76</v>
      </c>
      <c r="P410" s="147"/>
    </row>
    <row r="411" spans="2:17" ht="17.25" customHeight="1" thickBot="1">
      <c r="B411" s="154"/>
      <c r="C411" s="528" t="s">
        <v>70</v>
      </c>
      <c r="D411" s="529"/>
      <c r="E411" s="31"/>
      <c r="F411" s="372" t="s">
        <v>71</v>
      </c>
      <c r="G411" s="370"/>
      <c r="H411" s="364"/>
      <c r="I411" s="187">
        <f>+'2011 Existing Rates'!$C$10</f>
        <v>436.99</v>
      </c>
      <c r="J411" s="185"/>
      <c r="K411" s="365"/>
      <c r="L411" s="214">
        <f>+'Distribution Rate Schedule'!$C$37</f>
        <v>177.32</v>
      </c>
      <c r="M411" s="215">
        <f aca="true" t="shared" si="32" ref="M411:M418">+L411-I411</f>
        <v>-259.67</v>
      </c>
      <c r="N411" s="216">
        <f aca="true" t="shared" si="33" ref="N411:N427">+M411/I411</f>
        <v>-0.5942241241218335</v>
      </c>
      <c r="O411" s="208">
        <f>L411/L427</f>
        <v>0.0009274364987995947</v>
      </c>
      <c r="P411" s="361"/>
      <c r="Q411" s="25"/>
    </row>
    <row r="412" spans="2:16" ht="17.25" customHeight="1" thickBot="1">
      <c r="B412" s="154"/>
      <c r="C412" s="152">
        <v>1600000</v>
      </c>
      <c r="D412" s="153" t="s">
        <v>16</v>
      </c>
      <c r="E412" s="31"/>
      <c r="F412" s="373" t="s">
        <v>82</v>
      </c>
      <c r="G412" s="371">
        <f>+C413</f>
        <v>4000</v>
      </c>
      <c r="H412" s="178">
        <f>'2011 Existing Rates'!$D$62</f>
        <v>2.8308</v>
      </c>
      <c r="I412" s="193">
        <f>+G412*H412</f>
        <v>11323.2</v>
      </c>
      <c r="J412" s="184">
        <f>G412</f>
        <v>4000</v>
      </c>
      <c r="K412" s="177">
        <f>'Rate Schedule (Part 1)'!$E$29</f>
        <v>1.5002</v>
      </c>
      <c r="L412" s="197">
        <f>+J412*K412</f>
        <v>6000.8</v>
      </c>
      <c r="M412" s="215">
        <f t="shared" si="32"/>
        <v>-5322.400000000001</v>
      </c>
      <c r="N412" s="216">
        <f t="shared" si="33"/>
        <v>-0.4700438038716971</v>
      </c>
      <c r="O412" s="208">
        <f>L412/L427</f>
        <v>0.03138597418225022</v>
      </c>
      <c r="P412" s="147"/>
    </row>
    <row r="413" spans="2:16" ht="17.25" customHeight="1" thickBot="1">
      <c r="B413" s="154"/>
      <c r="C413" s="152">
        <v>4000</v>
      </c>
      <c r="D413" s="153" t="s">
        <v>17</v>
      </c>
      <c r="E413" s="31"/>
      <c r="F413" s="373" t="s">
        <v>226</v>
      </c>
      <c r="G413" s="310">
        <f>G412</f>
        <v>4000</v>
      </c>
      <c r="H413" s="374">
        <f>'2011 Existing Rates'!$D$36</f>
        <v>0.5822</v>
      </c>
      <c r="I413" s="193">
        <f>+G413*H413</f>
        <v>2328.8</v>
      </c>
      <c r="J413" s="184">
        <f>+C413</f>
        <v>4000</v>
      </c>
      <c r="K413" s="177">
        <f>'Rate Schedule (Part 1)'!$E$30</f>
        <v>0.4332</v>
      </c>
      <c r="L413" s="197">
        <f>+J413*K413</f>
        <v>1732.8</v>
      </c>
      <c r="M413" s="215">
        <f t="shared" si="32"/>
        <v>-596.0000000000002</v>
      </c>
      <c r="N413" s="216">
        <f t="shared" si="33"/>
        <v>-0.25592579869460674</v>
      </c>
      <c r="O413" s="208">
        <f>L413/L427</f>
        <v>0.0090630609357091</v>
      </c>
      <c r="P413" s="147"/>
    </row>
    <row r="414" spans="2:16" ht="17.25" customHeight="1">
      <c r="B414" s="154"/>
      <c r="C414" s="63"/>
      <c r="D414" s="64"/>
      <c r="E414" s="31"/>
      <c r="F414" s="181" t="s">
        <v>271</v>
      </c>
      <c r="G414" s="203"/>
      <c r="H414" s="202"/>
      <c r="I414" s="193">
        <f>'2011 Existing Rates'!$B$48</f>
        <v>1.45</v>
      </c>
      <c r="J414" s="203"/>
      <c r="K414" s="202"/>
      <c r="L414" s="193">
        <f>L318</f>
        <v>0</v>
      </c>
      <c r="M414" s="215">
        <f t="shared" si="32"/>
        <v>-1.45</v>
      </c>
      <c r="N414" s="216">
        <f t="shared" si="33"/>
        <v>-1</v>
      </c>
      <c r="O414" s="208">
        <f>L414/L427</f>
        <v>0</v>
      </c>
      <c r="P414" s="147"/>
    </row>
    <row r="415" spans="2:16" ht="17.25" customHeight="1" thickBot="1">
      <c r="B415" s="154"/>
      <c r="C415" s="63"/>
      <c r="D415" s="64"/>
      <c r="E415" s="31"/>
      <c r="F415" s="181" t="s">
        <v>227</v>
      </c>
      <c r="G415" s="184">
        <f>G413</f>
        <v>4000</v>
      </c>
      <c r="H415" s="178"/>
      <c r="I415" s="193">
        <f>+G415*H415</f>
        <v>0</v>
      </c>
      <c r="J415" s="184">
        <f>G415</f>
        <v>4000</v>
      </c>
      <c r="K415" s="177">
        <f>'Rate Schedule (Part 1)'!$E$31</f>
        <v>0.0535</v>
      </c>
      <c r="L415" s="197">
        <f>+J415*K415</f>
        <v>214</v>
      </c>
      <c r="M415" s="215">
        <f t="shared" si="32"/>
        <v>214</v>
      </c>
      <c r="N415" s="216" t="e">
        <f t="shared" si="33"/>
        <v>#DIV/0!</v>
      </c>
      <c r="O415" s="208">
        <f>L415/L427</f>
        <v>0.0011192838413214149</v>
      </c>
      <c r="P415" s="147"/>
    </row>
    <row r="416" spans="2:16" ht="17.25" customHeight="1">
      <c r="B416" s="154"/>
      <c r="C416" s="63"/>
      <c r="D416" s="64"/>
      <c r="E416" s="31"/>
      <c r="F416" s="419" t="s">
        <v>270</v>
      </c>
      <c r="G416" s="203"/>
      <c r="H416" s="202"/>
      <c r="I416" s="192">
        <v>0</v>
      </c>
      <c r="J416" s="203"/>
      <c r="K416" s="202"/>
      <c r="L416" s="211">
        <f>$L$320</f>
        <v>0</v>
      </c>
      <c r="M416" s="207">
        <f t="shared" si="32"/>
        <v>0</v>
      </c>
      <c r="N416" s="201" t="e">
        <f t="shared" si="33"/>
        <v>#DIV/0!</v>
      </c>
      <c r="O416" s="208">
        <f>L416/L427</f>
        <v>0</v>
      </c>
      <c r="P416" s="147"/>
    </row>
    <row r="417" spans="2:16" ht="17.25" customHeight="1">
      <c r="B417" s="154"/>
      <c r="C417" s="63"/>
      <c r="D417" s="64"/>
      <c r="E417" s="31"/>
      <c r="F417" s="419" t="s">
        <v>272</v>
      </c>
      <c r="G417" s="203"/>
      <c r="H417" s="202"/>
      <c r="I417" s="193">
        <f>I345</f>
        <v>7.59</v>
      </c>
      <c r="J417" s="194">
        <f>G417</f>
        <v>0</v>
      </c>
      <c r="K417" s="420">
        <f>$K$321</f>
        <v>0</v>
      </c>
      <c r="L417" s="193">
        <f>+J417*K417</f>
        <v>0</v>
      </c>
      <c r="M417" s="207">
        <f t="shared" si="32"/>
        <v>-7.59</v>
      </c>
      <c r="N417" s="201">
        <f t="shared" si="33"/>
        <v>-1</v>
      </c>
      <c r="O417" s="208">
        <f>L417/L427</f>
        <v>0</v>
      </c>
      <c r="P417" s="147"/>
    </row>
    <row r="418" spans="2:16" ht="17.25" customHeight="1" thickBot="1">
      <c r="B418" s="154"/>
      <c r="C418" s="31"/>
      <c r="D418" s="31"/>
      <c r="E418" s="31"/>
      <c r="F418" s="182" t="s">
        <v>228</v>
      </c>
      <c r="G418" s="184">
        <f>+C413</f>
        <v>4000</v>
      </c>
      <c r="H418" s="178">
        <f>'2011 Existing Rates'!$D$23</f>
        <v>5.9562</v>
      </c>
      <c r="I418" s="197">
        <f>+G418*H418</f>
        <v>23824.8</v>
      </c>
      <c r="J418" s="184">
        <f>+C413</f>
        <v>4000</v>
      </c>
      <c r="K418" s="177">
        <f>K322</f>
        <v>-3.096773231353598</v>
      </c>
      <c r="L418" s="197">
        <f>+J418*K418</f>
        <v>-12387.092925414392</v>
      </c>
      <c r="M418" s="215">
        <f t="shared" si="32"/>
        <v>-36211.89292541439</v>
      </c>
      <c r="N418" s="216">
        <f t="shared" si="33"/>
        <v>-1.519924319424062</v>
      </c>
      <c r="O418" s="208">
        <f>L418/L427</f>
        <v>-0.06478819136618291</v>
      </c>
      <c r="P418" s="147"/>
    </row>
    <row r="419" spans="2:16" ht="17.25" customHeight="1" thickBot="1">
      <c r="B419" s="154"/>
      <c r="C419" s="31"/>
      <c r="D419" s="31"/>
      <c r="E419" s="31"/>
      <c r="F419" s="218" t="s">
        <v>223</v>
      </c>
      <c r="G419" s="530"/>
      <c r="H419" s="531"/>
      <c r="I419" s="220">
        <f>SUM(I411:I418)</f>
        <v>37922.83</v>
      </c>
      <c r="J419" s="530"/>
      <c r="K419" s="531"/>
      <c r="L419" s="220">
        <f>SUM(L411:L418)</f>
        <v>-4262.172925414392</v>
      </c>
      <c r="M419" s="222">
        <f>SUM(M411:M418)</f>
        <v>-42185.00292541439</v>
      </c>
      <c r="N419" s="223">
        <f t="shared" si="33"/>
        <v>-1.112390687230209</v>
      </c>
      <c r="O419" s="225">
        <f>SUM(O411:O418)</f>
        <v>-0.022292435908102586</v>
      </c>
      <c r="P419" s="147"/>
    </row>
    <row r="420" spans="2:16" ht="17.25" customHeight="1" thickBot="1">
      <c r="B420" s="154"/>
      <c r="C420" s="31"/>
      <c r="D420" s="31"/>
      <c r="E420" s="31"/>
      <c r="F420" s="181" t="s">
        <v>229</v>
      </c>
      <c r="G420" s="348">
        <f>C413</f>
        <v>4000</v>
      </c>
      <c r="H420" s="349">
        <f>'Other Electriciy Rates'!$F$12</f>
        <v>3.748</v>
      </c>
      <c r="I420" s="193">
        <f>+G420*H420</f>
        <v>14992</v>
      </c>
      <c r="J420" s="348">
        <f>C413</f>
        <v>4000</v>
      </c>
      <c r="K420" s="177">
        <f>'Other Electriciy Rates'!$F$27</f>
        <v>3.814790631678846</v>
      </c>
      <c r="L420" s="193">
        <f>+J420*K420</f>
        <v>15259.162526715385</v>
      </c>
      <c r="M420" s="350">
        <f>+L420-I420</f>
        <v>267.16252671538496</v>
      </c>
      <c r="N420" s="205">
        <f t="shared" si="33"/>
        <v>0.017820339295316498</v>
      </c>
      <c r="O420" s="208">
        <f>L420/L427</f>
        <v>0.0798099721880831</v>
      </c>
      <c r="P420" s="147"/>
    </row>
    <row r="421" spans="2:16" ht="17.25" customHeight="1" thickBot="1">
      <c r="B421" s="154"/>
      <c r="C421" s="31"/>
      <c r="D421" s="31"/>
      <c r="E421" s="31"/>
      <c r="F421" s="218" t="s">
        <v>225</v>
      </c>
      <c r="G421" s="530"/>
      <c r="H421" s="531"/>
      <c r="I421" s="220">
        <f>I419+I420</f>
        <v>52914.83</v>
      </c>
      <c r="J421" s="530"/>
      <c r="K421" s="531"/>
      <c r="L421" s="220">
        <f>L419+L420</f>
        <v>10996.989601300993</v>
      </c>
      <c r="M421" s="220">
        <f>M419+M420</f>
        <v>-41917.840398699</v>
      </c>
      <c r="N421" s="223">
        <f t="shared" si="33"/>
        <v>-0.7921756603715632</v>
      </c>
      <c r="O421" s="351">
        <f>L421/L427</f>
        <v>0.05751753627998051</v>
      </c>
      <c r="P421" s="147"/>
    </row>
    <row r="422" spans="2:16" ht="17.25" customHeight="1">
      <c r="B422" s="154"/>
      <c r="C422" s="31"/>
      <c r="D422" s="31"/>
      <c r="E422" s="31"/>
      <c r="F422" s="179" t="s">
        <v>77</v>
      </c>
      <c r="G422" s="185">
        <f>C412*'Other Electriciy Rates'!$L$12</f>
        <v>1726560</v>
      </c>
      <c r="H422" s="186">
        <f>'Other Electriciy Rates'!$C$12+'Other Electriciy Rates'!$D$12</f>
        <v>0.012986887220832175</v>
      </c>
      <c r="I422" s="187">
        <f>+G422*H422</f>
        <v>22422.64</v>
      </c>
      <c r="J422" s="185">
        <f>C412*'Other Electriciy Rates'!$L$27</f>
        <v>1728000</v>
      </c>
      <c r="K422" s="186">
        <f>'Other Electriciy Rates'!$C$27+'Other Electriciy Rates'!$D$27</f>
        <v>0.01278148148148148</v>
      </c>
      <c r="L422" s="214">
        <f>+J422*K422</f>
        <v>22086.399999999998</v>
      </c>
      <c r="M422" s="215">
        <f>+L422-I422</f>
        <v>-336.2400000000016</v>
      </c>
      <c r="N422" s="216">
        <f t="shared" si="33"/>
        <v>-0.014995558060959887</v>
      </c>
      <c r="O422" s="208">
        <f>L422/L427</f>
        <v>0.11551846090168828</v>
      </c>
      <c r="P422" s="147"/>
    </row>
    <row r="423" spans="2:16" ht="17.25" customHeight="1">
      <c r="B423" s="154"/>
      <c r="C423" s="31"/>
      <c r="D423" s="31"/>
      <c r="E423" s="31"/>
      <c r="F423" s="179" t="s">
        <v>78</v>
      </c>
      <c r="G423" s="185">
        <f>G422</f>
        <v>1726560</v>
      </c>
      <c r="H423" s="186">
        <f>+'Other Electriciy Rates'!$J$12</f>
        <v>0.07877</v>
      </c>
      <c r="I423" s="187">
        <f>+G423*H423</f>
        <v>136001.1312</v>
      </c>
      <c r="J423" s="185">
        <f>J422</f>
        <v>1728000</v>
      </c>
      <c r="K423" s="186">
        <f>'Other Electriciy Rates'!$J$27</f>
        <v>0.07877</v>
      </c>
      <c r="L423" s="214">
        <f>+J423*K423</f>
        <v>136114.56</v>
      </c>
      <c r="M423" s="215">
        <f>+L423-I423</f>
        <v>113.42879999999423</v>
      </c>
      <c r="N423" s="216">
        <f t="shared" si="33"/>
        <v>0.0008340283569640944</v>
      </c>
      <c r="O423" s="208">
        <f>L423/L427</f>
        <v>0.7119197550307206</v>
      </c>
      <c r="P423" s="147"/>
    </row>
    <row r="424" spans="2:16" ht="18" customHeight="1" thickBot="1">
      <c r="B424" s="154"/>
      <c r="C424" s="31"/>
      <c r="D424" s="31"/>
      <c r="E424" s="31"/>
      <c r="F424" s="181" t="s">
        <v>235</v>
      </c>
      <c r="G424" s="279">
        <f>G423</f>
        <v>1726560</v>
      </c>
      <c r="H424" s="186">
        <f>'2012 Rate Rider'!$G$9</f>
        <v>0</v>
      </c>
      <c r="I424" s="189">
        <f>+G424*H424</f>
        <v>0</v>
      </c>
      <c r="J424" s="279">
        <f>G424</f>
        <v>1726560</v>
      </c>
      <c r="K424" s="186">
        <f>'2012 Rate Rider'!$G$9</f>
        <v>0</v>
      </c>
      <c r="L424" s="211">
        <f>+J424*K424</f>
        <v>0</v>
      </c>
      <c r="M424" s="212">
        <f>+L424-I424</f>
        <v>0</v>
      </c>
      <c r="N424" s="213" t="e">
        <f t="shared" si="33"/>
        <v>#DIV/0!</v>
      </c>
      <c r="O424" s="226">
        <f>L424/L427</f>
        <v>0</v>
      </c>
      <c r="P424" s="147"/>
    </row>
    <row r="425" spans="2:16" ht="17.25" customHeight="1" thickBot="1">
      <c r="B425" s="154"/>
      <c r="C425" s="31"/>
      <c r="D425" s="31"/>
      <c r="E425" s="31"/>
      <c r="F425" s="218" t="s">
        <v>192</v>
      </c>
      <c r="G425" s="530"/>
      <c r="H425" s="531"/>
      <c r="I425" s="220">
        <f>SUM(I421:I424)</f>
        <v>211338.6012</v>
      </c>
      <c r="J425" s="530"/>
      <c r="K425" s="531"/>
      <c r="L425" s="220">
        <f>SUM(L421:L424)</f>
        <v>169197.949601301</v>
      </c>
      <c r="M425" s="220">
        <f>SUM(M421:M424)</f>
        <v>-42140.65159869901</v>
      </c>
      <c r="N425" s="223">
        <f t="shared" si="33"/>
        <v>-0.1993987438140525</v>
      </c>
      <c r="O425" s="351">
        <f>L425/L427</f>
        <v>0.8849557522123893</v>
      </c>
      <c r="P425" s="147"/>
    </row>
    <row r="426" spans="2:16" ht="17.25" customHeight="1" thickBot="1">
      <c r="B426" s="154"/>
      <c r="C426" s="31"/>
      <c r="D426" s="31"/>
      <c r="E426" s="31"/>
      <c r="F426" s="278" t="s">
        <v>193</v>
      </c>
      <c r="G426" s="279"/>
      <c r="H426" s="283">
        <f>H402</f>
        <v>0.13</v>
      </c>
      <c r="I426" s="280">
        <f>I425*H426</f>
        <v>27474.018156000002</v>
      </c>
      <c r="J426" s="279"/>
      <c r="K426" s="283">
        <f>K402</f>
        <v>0.13</v>
      </c>
      <c r="L426" s="281">
        <f>L425*K426</f>
        <v>21995.73344816913</v>
      </c>
      <c r="M426" s="212">
        <f>+L426-I426</f>
        <v>-5478.284707830873</v>
      </c>
      <c r="N426" s="213">
        <f t="shared" si="33"/>
        <v>-0.19939874381405256</v>
      </c>
      <c r="O426" s="226">
        <f>L426/L427</f>
        <v>0.11504424778761062</v>
      </c>
      <c r="P426" s="147"/>
    </row>
    <row r="427" spans="2:16" ht="17.25" customHeight="1" thickBot="1">
      <c r="B427" s="154"/>
      <c r="C427" s="31"/>
      <c r="D427" s="31"/>
      <c r="E427" s="35"/>
      <c r="F427" s="224" t="s">
        <v>79</v>
      </c>
      <c r="G427" s="530"/>
      <c r="H427" s="531"/>
      <c r="I427" s="220">
        <f>I425+I426</f>
        <v>238812.619356</v>
      </c>
      <c r="J427" s="530"/>
      <c r="K427" s="531"/>
      <c r="L427" s="220">
        <f>L425+L426</f>
        <v>191193.68304947013</v>
      </c>
      <c r="M427" s="220">
        <f>M425+M426</f>
        <v>-47618.93630652988</v>
      </c>
      <c r="N427" s="223">
        <f t="shared" si="33"/>
        <v>-0.1993987438140525</v>
      </c>
      <c r="O427" s="225">
        <f>O425+O426</f>
        <v>0.9999999999999999</v>
      </c>
      <c r="P427" s="147"/>
    </row>
    <row r="428" spans="2:16" ht="17.25" customHeight="1" thickBot="1">
      <c r="B428" s="148"/>
      <c r="C428" s="160"/>
      <c r="D428" s="160"/>
      <c r="E428" s="160"/>
      <c r="F428" s="161"/>
      <c r="G428" s="162"/>
      <c r="H428" s="163"/>
      <c r="I428" s="164"/>
      <c r="J428" s="162"/>
      <c r="K428" s="165"/>
      <c r="L428" s="164"/>
      <c r="M428" s="166"/>
      <c r="N428" s="167"/>
      <c r="O428" s="168"/>
      <c r="P428" s="149"/>
    </row>
    <row r="429" spans="2:16" ht="17.25" customHeight="1">
      <c r="B429" s="25"/>
      <c r="C429" s="31"/>
      <c r="D429" s="31"/>
      <c r="E429" s="31"/>
      <c r="F429" s="49"/>
      <c r="G429" s="50"/>
      <c r="H429" s="51"/>
      <c r="I429" s="52"/>
      <c r="J429" s="50"/>
      <c r="K429" s="53"/>
      <c r="L429" s="52"/>
      <c r="M429" s="54"/>
      <c r="N429" s="157"/>
      <c r="O429" s="158"/>
      <c r="P429" s="25"/>
    </row>
    <row r="430" spans="2:16" ht="17.25" customHeight="1" thickBot="1">
      <c r="B430" s="25"/>
      <c r="C430" s="31"/>
      <c r="D430" s="31"/>
      <c r="E430" s="31"/>
      <c r="F430" s="49"/>
      <c r="G430" s="50"/>
      <c r="H430" s="51"/>
      <c r="I430" s="52"/>
      <c r="J430" s="50"/>
      <c r="K430" s="53"/>
      <c r="L430" s="52"/>
      <c r="M430" s="54"/>
      <c r="N430" s="157"/>
      <c r="O430" s="158"/>
      <c r="P430" s="25"/>
    </row>
    <row r="431" spans="2:16" ht="17.25" customHeight="1">
      <c r="B431" s="156"/>
      <c r="C431" s="539"/>
      <c r="D431" s="539"/>
      <c r="E431" s="539"/>
      <c r="F431" s="539"/>
      <c r="G431" s="539"/>
      <c r="H431" s="539"/>
      <c r="I431" s="539"/>
      <c r="J431" s="539"/>
      <c r="K431" s="539"/>
      <c r="L431" s="539"/>
      <c r="M431" s="539"/>
      <c r="N431" s="539"/>
      <c r="O431" s="539"/>
      <c r="P431" s="146"/>
    </row>
    <row r="432" spans="2:16" ht="23.25">
      <c r="B432" s="154"/>
      <c r="C432" s="540" t="s">
        <v>84</v>
      </c>
      <c r="D432" s="540"/>
      <c r="E432" s="540"/>
      <c r="F432" s="540"/>
      <c r="G432" s="540"/>
      <c r="H432" s="540"/>
      <c r="I432" s="540"/>
      <c r="J432" s="540"/>
      <c r="K432" s="540"/>
      <c r="L432" s="540"/>
      <c r="M432" s="540"/>
      <c r="N432" s="540"/>
      <c r="O432" s="540"/>
      <c r="P432" s="147"/>
    </row>
    <row r="433" spans="2:17" ht="17.25" customHeight="1" thickBot="1">
      <c r="B433" s="154"/>
      <c r="C433" s="541"/>
      <c r="D433" s="541"/>
      <c r="E433" s="541"/>
      <c r="F433" s="541"/>
      <c r="G433" s="541"/>
      <c r="H433" s="541"/>
      <c r="I433" s="541"/>
      <c r="J433" s="541"/>
      <c r="K433" s="541"/>
      <c r="L433" s="541"/>
      <c r="M433" s="541"/>
      <c r="N433" s="541"/>
      <c r="O433" s="541"/>
      <c r="P433" s="147"/>
      <c r="Q433" s="25"/>
    </row>
    <row r="434" spans="2:17" ht="17.25" customHeight="1" thickBot="1">
      <c r="B434" s="154"/>
      <c r="C434" s="155"/>
      <c r="D434" s="155"/>
      <c r="E434" s="31"/>
      <c r="F434" s="32"/>
      <c r="G434" s="534" t="str">
        <f>$G$10</f>
        <v>2011 BILL</v>
      </c>
      <c r="H434" s="535"/>
      <c r="I434" s="536"/>
      <c r="J434" s="534" t="str">
        <f>$J$10</f>
        <v>2012 BILL</v>
      </c>
      <c r="K434" s="535"/>
      <c r="L434" s="536"/>
      <c r="M434" s="534" t="s">
        <v>73</v>
      </c>
      <c r="N434" s="535"/>
      <c r="O434" s="536"/>
      <c r="P434" s="147"/>
      <c r="Q434" s="25"/>
    </row>
    <row r="435" spans="2:17" ht="39" thickBot="1">
      <c r="B435" s="154"/>
      <c r="C435" s="31"/>
      <c r="D435" s="31"/>
      <c r="E435" s="33"/>
      <c r="F435" s="34"/>
      <c r="G435" s="366" t="s">
        <v>67</v>
      </c>
      <c r="H435" s="367" t="s">
        <v>68</v>
      </c>
      <c r="I435" s="368" t="s">
        <v>69</v>
      </c>
      <c r="J435" s="369" t="s">
        <v>67</v>
      </c>
      <c r="K435" s="367" t="s">
        <v>68</v>
      </c>
      <c r="L435" s="368" t="s">
        <v>69</v>
      </c>
      <c r="M435" s="174" t="s">
        <v>74</v>
      </c>
      <c r="N435" s="175" t="s">
        <v>75</v>
      </c>
      <c r="O435" s="176" t="s">
        <v>76</v>
      </c>
      <c r="P435" s="147"/>
      <c r="Q435" s="25"/>
    </row>
    <row r="436" spans="2:17" ht="17.25" customHeight="1" thickBot="1">
      <c r="B436" s="154"/>
      <c r="C436" s="528" t="s">
        <v>137</v>
      </c>
      <c r="D436" s="529"/>
      <c r="E436" s="31"/>
      <c r="F436" s="372" t="s">
        <v>71</v>
      </c>
      <c r="G436" s="370">
        <f>C437</f>
        <v>2801.1936395745015</v>
      </c>
      <c r="H436" s="440">
        <f>'2011 Existing Rates'!$B$13</f>
        <v>0.01</v>
      </c>
      <c r="I436" s="193">
        <f aca="true" t="shared" si="34" ref="I436:I441">+G436*H436</f>
        <v>28.011936395745014</v>
      </c>
      <c r="J436" s="370">
        <f>G436</f>
        <v>2801.1936395745015</v>
      </c>
      <c r="K436" s="440">
        <f>'Rate Schedule (Part 1)'!$E$51</f>
        <v>1.2681</v>
      </c>
      <c r="L436" s="193">
        <f aca="true" t="shared" si="35" ref="L436:L441">+J436*K436</f>
        <v>3552.1936543444253</v>
      </c>
      <c r="M436" s="215">
        <f aca="true" t="shared" si="36" ref="M436:M441">+L436-I436</f>
        <v>3524.18171794868</v>
      </c>
      <c r="N436" s="216">
        <f aca="true" t="shared" si="37" ref="N436:N450">+M436/I436</f>
        <v>125.81</v>
      </c>
      <c r="O436" s="208">
        <f>L436/L450</f>
        <v>0.010532852984632872</v>
      </c>
      <c r="P436" s="147"/>
      <c r="Q436" s="25"/>
    </row>
    <row r="437" spans="2:17" ht="17.25" customHeight="1" thickBot="1">
      <c r="B437" s="154"/>
      <c r="C437" s="152">
        <f>'Forecast Data For 2012'!C20</f>
        <v>2801.1936395745015</v>
      </c>
      <c r="D437" s="153" t="s">
        <v>136</v>
      </c>
      <c r="E437" s="31"/>
      <c r="F437" s="373" t="s">
        <v>82</v>
      </c>
      <c r="G437" s="432">
        <f>C439</f>
        <v>6082.85914889724</v>
      </c>
      <c r="H437" s="178">
        <f>'2011 Existing Rates'!$D$65</f>
        <v>0.0974</v>
      </c>
      <c r="I437" s="193">
        <f t="shared" si="34"/>
        <v>592.4704811025912</v>
      </c>
      <c r="J437" s="433">
        <f>G437</f>
        <v>6082.85914889724</v>
      </c>
      <c r="K437" s="177">
        <f>'Rate Schedule (Part 1)'!$E$52</f>
        <v>12.3515</v>
      </c>
      <c r="L437" s="193">
        <f t="shared" si="35"/>
        <v>75132.43477760426</v>
      </c>
      <c r="M437" s="215">
        <f t="shared" si="36"/>
        <v>74539.96429650167</v>
      </c>
      <c r="N437" s="216">
        <f t="shared" si="37"/>
        <v>125.81211498973306</v>
      </c>
      <c r="O437" s="208">
        <f>L437/L450</f>
        <v>0.22278033432162997</v>
      </c>
      <c r="P437" s="147"/>
      <c r="Q437" s="25"/>
    </row>
    <row r="438" spans="2:16" ht="17.25" customHeight="1" thickBot="1">
      <c r="B438" s="154"/>
      <c r="C438" s="152">
        <f>'Forecast Data For 2012'!C22</f>
        <v>2225083.8466967554</v>
      </c>
      <c r="D438" s="153" t="s">
        <v>16</v>
      </c>
      <c r="E438" s="31"/>
      <c r="F438" s="373" t="s">
        <v>226</v>
      </c>
      <c r="G438" s="435">
        <f>G437</f>
        <v>6082.85914889724</v>
      </c>
      <c r="H438" s="374">
        <f>'2011 Existing Rates'!$D$39</f>
        <v>0.4394</v>
      </c>
      <c r="I438" s="193">
        <f t="shared" si="34"/>
        <v>2672.808310025447</v>
      </c>
      <c r="J438" s="433">
        <f>G438</f>
        <v>6082.85914889724</v>
      </c>
      <c r="K438" s="177">
        <f>'Rate Schedule (Part 1)'!$E$53</f>
        <v>0.3351</v>
      </c>
      <c r="L438" s="193">
        <f t="shared" si="35"/>
        <v>2038.3661007954652</v>
      </c>
      <c r="M438" s="215">
        <f t="shared" si="36"/>
        <v>-634.4422092299819</v>
      </c>
      <c r="N438" s="216">
        <f t="shared" si="37"/>
        <v>-0.23736913973600357</v>
      </c>
      <c r="O438" s="208">
        <f>L438/L450</f>
        <v>0.006044099099799879</v>
      </c>
      <c r="P438" s="147"/>
    </row>
    <row r="439" spans="2:16" ht="17.25" customHeight="1" thickBot="1">
      <c r="B439" s="154"/>
      <c r="C439" s="152">
        <f>'Forecast Data For 2012'!C21</f>
        <v>6082.85914889724</v>
      </c>
      <c r="D439" s="153" t="s">
        <v>17</v>
      </c>
      <c r="E439" s="31"/>
      <c r="F439" s="181" t="s">
        <v>227</v>
      </c>
      <c r="G439" s="433">
        <f>G438</f>
        <v>6082.85914889724</v>
      </c>
      <c r="H439" s="178"/>
      <c r="I439" s="193">
        <f t="shared" si="34"/>
        <v>0</v>
      </c>
      <c r="J439" s="433">
        <f>G439</f>
        <v>6082.85914889724</v>
      </c>
      <c r="K439" s="177">
        <f>'Rate Schedule (Part 1)'!$E$54</f>
        <v>0</v>
      </c>
      <c r="L439" s="197">
        <f t="shared" si="35"/>
        <v>0</v>
      </c>
      <c r="M439" s="215">
        <f t="shared" si="36"/>
        <v>0</v>
      </c>
      <c r="N439" s="216" t="e">
        <f t="shared" si="37"/>
        <v>#DIV/0!</v>
      </c>
      <c r="O439" s="208">
        <f>L439/L450</f>
        <v>0</v>
      </c>
      <c r="P439" s="147"/>
    </row>
    <row r="440" spans="2:16" ht="17.25" customHeight="1">
      <c r="B440" s="154"/>
      <c r="C440" s="63"/>
      <c r="D440" s="64"/>
      <c r="E440" s="31"/>
      <c r="F440" s="419" t="s">
        <v>272</v>
      </c>
      <c r="G440" s="436"/>
      <c r="H440" s="202"/>
      <c r="I440" s="193">
        <f>'2011 Existing Rates'!B79</f>
        <v>0.73</v>
      </c>
      <c r="J440" s="434">
        <f>G440</f>
        <v>0</v>
      </c>
      <c r="K440" s="420">
        <f>'2012 Rate Rider'!$F$11</f>
        <v>0</v>
      </c>
      <c r="L440" s="193">
        <f t="shared" si="35"/>
        <v>0</v>
      </c>
      <c r="M440" s="207">
        <f t="shared" si="36"/>
        <v>-0.73</v>
      </c>
      <c r="N440" s="201">
        <f t="shared" si="37"/>
        <v>-1</v>
      </c>
      <c r="O440" s="208">
        <f>L440/L450</f>
        <v>0</v>
      </c>
      <c r="P440" s="147"/>
    </row>
    <row r="441" spans="2:16" ht="17.25" customHeight="1" thickBot="1">
      <c r="B441" s="154"/>
      <c r="C441" s="63"/>
      <c r="D441" s="64"/>
      <c r="E441" s="31"/>
      <c r="F441" s="182" t="s">
        <v>228</v>
      </c>
      <c r="G441" s="433">
        <f>G439</f>
        <v>6082.85914889724</v>
      </c>
      <c r="H441" s="178">
        <f>'2011 Existing Rates'!$D$26</f>
        <v>0.0209</v>
      </c>
      <c r="I441" s="193">
        <f t="shared" si="34"/>
        <v>127.13175621195231</v>
      </c>
      <c r="J441" s="433">
        <f>J439</f>
        <v>6082.85914889724</v>
      </c>
      <c r="K441" s="177">
        <f>'2012 Rate Rider'!C12</f>
        <v>-3.2839032404987774</v>
      </c>
      <c r="L441" s="197">
        <f t="shared" si="35"/>
        <v>-19975.52087056128</v>
      </c>
      <c r="M441" s="215">
        <f t="shared" si="36"/>
        <v>-20102.65262677323</v>
      </c>
      <c r="N441" s="216">
        <f t="shared" si="37"/>
        <v>-158.12455696166396</v>
      </c>
      <c r="O441" s="208">
        <f>L441/L450</f>
        <v>-0.05923078668973012</v>
      </c>
      <c r="P441" s="147"/>
    </row>
    <row r="442" spans="2:16" ht="17.25" customHeight="1" thickBot="1">
      <c r="B442" s="154"/>
      <c r="C442" s="31"/>
      <c r="D442" s="31"/>
      <c r="E442" s="31"/>
      <c r="F442" s="218" t="s">
        <v>223</v>
      </c>
      <c r="G442" s="530"/>
      <c r="H442" s="531"/>
      <c r="I442" s="220">
        <f>SUM(I436:I441)</f>
        <v>3421.1524837357356</v>
      </c>
      <c r="J442" s="530"/>
      <c r="K442" s="531"/>
      <c r="L442" s="220">
        <f>SUM(L436:L441)</f>
        <v>60747.47366218288</v>
      </c>
      <c r="M442" s="222">
        <f>SUM(M436:M441)</f>
        <v>57326.32117844715</v>
      </c>
      <c r="N442" s="223">
        <f t="shared" si="37"/>
        <v>16.756435572801344</v>
      </c>
      <c r="O442" s="225">
        <f>SUM(O436:O441)</f>
        <v>0.18012649971633263</v>
      </c>
      <c r="P442" s="147"/>
    </row>
    <row r="443" spans="2:16" ht="17.25" customHeight="1" thickBot="1">
      <c r="B443" s="154"/>
      <c r="C443" s="31"/>
      <c r="D443" s="31"/>
      <c r="E443" s="31"/>
      <c r="F443" s="181" t="s">
        <v>229</v>
      </c>
      <c r="G443" s="437">
        <f>G441</f>
        <v>6082.85914889724</v>
      </c>
      <c r="H443" s="441">
        <f>'Other Electriciy Rates'!$F$15</f>
        <v>2.8582</v>
      </c>
      <c r="I443" s="193">
        <f>+G443*H443</f>
        <v>17386.028019378093</v>
      </c>
      <c r="J443" s="437">
        <f>G443</f>
        <v>6082.85914889724</v>
      </c>
      <c r="K443" s="177">
        <f>'Other Electriciy Rates'!$F$30</f>
        <v>2.909228621609293</v>
      </c>
      <c r="L443" s="193">
        <f>+J443*K443</f>
        <v>17696.427937189794</v>
      </c>
      <c r="M443" s="350">
        <f>+L443-I443</f>
        <v>310.399917811701</v>
      </c>
      <c r="N443" s="205">
        <f t="shared" si="37"/>
        <v>0.017853411800886086</v>
      </c>
      <c r="O443" s="208">
        <f>L443/L450</f>
        <v>0.052472891951598835</v>
      </c>
      <c r="P443" s="147"/>
    </row>
    <row r="444" spans="2:16" ht="17.25" customHeight="1" thickBot="1">
      <c r="B444" s="154"/>
      <c r="C444" s="31"/>
      <c r="D444" s="31"/>
      <c r="E444" s="31"/>
      <c r="F444" s="218" t="s">
        <v>225</v>
      </c>
      <c r="G444" s="530"/>
      <c r="H444" s="531"/>
      <c r="I444" s="220">
        <f>I442+I443</f>
        <v>20807.18050311383</v>
      </c>
      <c r="J444" s="530"/>
      <c r="K444" s="531"/>
      <c r="L444" s="220">
        <f>L442+L443</f>
        <v>78443.90159937268</v>
      </c>
      <c r="M444" s="220">
        <f>M442+M443</f>
        <v>57636.72109625885</v>
      </c>
      <c r="N444" s="223">
        <f t="shared" si="37"/>
        <v>2.770039943068376</v>
      </c>
      <c r="O444" s="351">
        <f>L444/L450</f>
        <v>0.2325993916679315</v>
      </c>
      <c r="P444" s="147"/>
    </row>
    <row r="445" spans="2:16" ht="17.25" customHeight="1">
      <c r="B445" s="154"/>
      <c r="C445" s="31"/>
      <c r="D445" s="31"/>
      <c r="E445" s="31"/>
      <c r="F445" s="179" t="s">
        <v>77</v>
      </c>
      <c r="G445" s="438">
        <f>C438*'Other Electriciy Rates'!$L$15</f>
        <v>2401087.9789704685</v>
      </c>
      <c r="H445" s="186">
        <f>'Other Electriciy Rates'!$C$15+'Other Electriciy Rates'!$D$15</f>
        <v>0.012986887220832175</v>
      </c>
      <c r="I445" s="187">
        <f>+G445*H445</f>
        <v>31182.65879018533</v>
      </c>
      <c r="J445" s="438">
        <f>C438*'Other Electriciy Rates'!$L$30</f>
        <v>2403090.554432496</v>
      </c>
      <c r="K445" s="186">
        <f>'Other Electriciy Rates'!$C$30+'Other Electriciy Rates'!$D$30</f>
        <v>0.01278148148148148</v>
      </c>
      <c r="L445" s="214">
        <f>+J445*K445</f>
        <v>30715.05741980201</v>
      </c>
      <c r="M445" s="215">
        <f>+L445-I445</f>
        <v>-467.6013703833196</v>
      </c>
      <c r="N445" s="216">
        <f t="shared" si="37"/>
        <v>-0.014995558060959703</v>
      </c>
      <c r="O445" s="208">
        <f>L445/L450</f>
        <v>0.09107532294070221</v>
      </c>
      <c r="P445" s="147"/>
    </row>
    <row r="446" spans="2:16" ht="17.25" customHeight="1">
      <c r="B446" s="154"/>
      <c r="C446" s="31"/>
      <c r="D446" s="31"/>
      <c r="E446" s="31"/>
      <c r="F446" s="179" t="s">
        <v>78</v>
      </c>
      <c r="G446" s="438">
        <f>G445</f>
        <v>2401087.9789704685</v>
      </c>
      <c r="H446" s="186">
        <f>'Other Electriciy Rates'!$J$15</f>
        <v>0.07877</v>
      </c>
      <c r="I446" s="187">
        <f>+G446*H446</f>
        <v>189133.70010350383</v>
      </c>
      <c r="J446" s="438">
        <f>J445</f>
        <v>2403090.554432496</v>
      </c>
      <c r="K446" s="186">
        <f>'Other Electriciy Rates'!$J$30</f>
        <v>0.07877</v>
      </c>
      <c r="L446" s="214">
        <f>+J446*K446</f>
        <v>189291.44297264772</v>
      </c>
      <c r="M446" s="215">
        <f>+L446-I446</f>
        <v>157.74286914389813</v>
      </c>
      <c r="N446" s="216">
        <f t="shared" si="37"/>
        <v>0.0008340283569642692</v>
      </c>
      <c r="O446" s="208">
        <f>L446/L450</f>
        <v>0.5612810376037557</v>
      </c>
      <c r="P446" s="147"/>
    </row>
    <row r="447" spans="2:16" ht="18" customHeight="1" thickBot="1">
      <c r="B447" s="154"/>
      <c r="C447" s="31"/>
      <c r="D447" s="31"/>
      <c r="E447" s="31"/>
      <c r="F447" s="181" t="s">
        <v>235</v>
      </c>
      <c r="G447" s="439">
        <f>G446</f>
        <v>2401087.9789704685</v>
      </c>
      <c r="H447" s="186">
        <f>'2012 Rate Rider'!$G$12</f>
        <v>0</v>
      </c>
      <c r="I447" s="189">
        <f>+G447*H447</f>
        <v>0</v>
      </c>
      <c r="J447" s="439">
        <f>G447</f>
        <v>2401087.9789704685</v>
      </c>
      <c r="K447" s="186">
        <f>H447</f>
        <v>0</v>
      </c>
      <c r="L447" s="211">
        <f>+J447*K447</f>
        <v>0</v>
      </c>
      <c r="M447" s="212">
        <f>+L447-I447</f>
        <v>0</v>
      </c>
      <c r="N447" s="213" t="e">
        <f t="shared" si="37"/>
        <v>#DIV/0!</v>
      </c>
      <c r="O447" s="226">
        <f>L447/L450</f>
        <v>0</v>
      </c>
      <c r="P447" s="147"/>
    </row>
    <row r="448" spans="2:16" ht="17.25" customHeight="1" thickBot="1">
      <c r="B448" s="154"/>
      <c r="C448" s="31"/>
      <c r="D448" s="31"/>
      <c r="E448" s="31"/>
      <c r="F448" s="218" t="s">
        <v>192</v>
      </c>
      <c r="G448" s="530"/>
      <c r="H448" s="531"/>
      <c r="I448" s="220">
        <f>SUM(I444:I447)</f>
        <v>241123.53939680298</v>
      </c>
      <c r="J448" s="530"/>
      <c r="K448" s="531"/>
      <c r="L448" s="220">
        <f>SUM(L444:L447)</f>
        <v>298450.4019918224</v>
      </c>
      <c r="M448" s="220">
        <f>SUM(M444:M447)</f>
        <v>57326.862595019425</v>
      </c>
      <c r="N448" s="223">
        <f t="shared" si="37"/>
        <v>0.23774892629076724</v>
      </c>
      <c r="O448" s="351">
        <f>L448/L450</f>
        <v>0.8849557522123893</v>
      </c>
      <c r="P448" s="147"/>
    </row>
    <row r="449" spans="2:16" ht="17.25" customHeight="1" thickBot="1">
      <c r="B449" s="154"/>
      <c r="C449" s="31"/>
      <c r="D449" s="31"/>
      <c r="E449" s="31"/>
      <c r="F449" s="278" t="s">
        <v>193</v>
      </c>
      <c r="G449" s="279"/>
      <c r="H449" s="283">
        <v>0.13</v>
      </c>
      <c r="I449" s="280">
        <f>I448*H449</f>
        <v>31346.06012158439</v>
      </c>
      <c r="J449" s="279"/>
      <c r="K449" s="283">
        <v>0.13</v>
      </c>
      <c r="L449" s="281">
        <f>L448*K449</f>
        <v>38798.552258936914</v>
      </c>
      <c r="M449" s="212">
        <f>+L449-I449</f>
        <v>7452.492137352525</v>
      </c>
      <c r="N449" s="213">
        <f t="shared" si="37"/>
        <v>0.23774892629076722</v>
      </c>
      <c r="O449" s="226">
        <f>L449/L450</f>
        <v>0.11504424778761062</v>
      </c>
      <c r="P449" s="147"/>
    </row>
    <row r="450" spans="2:16" ht="17.25" customHeight="1" thickBot="1">
      <c r="B450" s="154"/>
      <c r="C450" s="31"/>
      <c r="D450" s="31"/>
      <c r="E450" s="35"/>
      <c r="F450" s="382" t="s">
        <v>79</v>
      </c>
      <c r="G450" s="537"/>
      <c r="H450" s="538"/>
      <c r="I450" s="383">
        <f>I448+I449</f>
        <v>272469.59951838735</v>
      </c>
      <c r="J450" s="537"/>
      <c r="K450" s="538"/>
      <c r="L450" s="383">
        <f>L448+L449</f>
        <v>337248.9542507593</v>
      </c>
      <c r="M450" s="383">
        <f>M448+M449</f>
        <v>64779.354732371954</v>
      </c>
      <c r="N450" s="384">
        <f t="shared" si="37"/>
        <v>0.23774892629076727</v>
      </c>
      <c r="O450" s="347">
        <f>O448+O449</f>
        <v>0.9999999999999999</v>
      </c>
      <c r="P450" s="147"/>
    </row>
    <row r="451" spans="2:16" ht="17.25" customHeight="1" thickBot="1">
      <c r="B451" s="148"/>
      <c r="C451" s="160"/>
      <c r="D451" s="160"/>
      <c r="E451" s="160"/>
      <c r="F451" s="260"/>
      <c r="G451" s="261"/>
      <c r="H451" s="262"/>
      <c r="I451" s="263"/>
      <c r="J451" s="261"/>
      <c r="K451" s="264"/>
      <c r="L451" s="263"/>
      <c r="M451" s="385"/>
      <c r="N451" s="265"/>
      <c r="O451" s="266"/>
      <c r="P451" s="149"/>
    </row>
    <row r="452" spans="2:16" ht="17.25" customHeight="1" thickBot="1">
      <c r="B452" s="25"/>
      <c r="C452" s="31"/>
      <c r="D452" s="31"/>
      <c r="E452" s="31"/>
      <c r="F452" s="49"/>
      <c r="G452" s="50"/>
      <c r="H452" s="51"/>
      <c r="I452" s="52"/>
      <c r="J452" s="50"/>
      <c r="K452" s="53"/>
      <c r="L452" s="52"/>
      <c r="M452" s="54"/>
      <c r="N452" s="157"/>
      <c r="O452" s="158"/>
      <c r="P452" s="25"/>
    </row>
    <row r="453" spans="2:16" ht="17.25" customHeight="1">
      <c r="B453" s="156"/>
      <c r="C453" s="539"/>
      <c r="D453" s="539"/>
      <c r="E453" s="539"/>
      <c r="F453" s="539"/>
      <c r="G453" s="539"/>
      <c r="H453" s="539"/>
      <c r="I453" s="539"/>
      <c r="J453" s="539"/>
      <c r="K453" s="539"/>
      <c r="L453" s="539"/>
      <c r="M453" s="539"/>
      <c r="N453" s="539"/>
      <c r="O453" s="539"/>
      <c r="P453" s="146"/>
    </row>
    <row r="454" spans="2:16" ht="23.25">
      <c r="B454" s="154"/>
      <c r="C454" s="540" t="s">
        <v>83</v>
      </c>
      <c r="D454" s="540"/>
      <c r="E454" s="540"/>
      <c r="F454" s="540"/>
      <c r="G454" s="540"/>
      <c r="H454" s="540"/>
      <c r="I454" s="540"/>
      <c r="J454" s="540"/>
      <c r="K454" s="540"/>
      <c r="L454" s="540"/>
      <c r="M454" s="540"/>
      <c r="N454" s="540"/>
      <c r="O454" s="540"/>
      <c r="P454" s="147"/>
    </row>
    <row r="455" spans="2:17" ht="17.25" customHeight="1" thickBot="1">
      <c r="B455" s="154"/>
      <c r="C455" s="541"/>
      <c r="D455" s="541"/>
      <c r="E455" s="541"/>
      <c r="F455" s="541"/>
      <c r="G455" s="541"/>
      <c r="H455" s="541"/>
      <c r="I455" s="541"/>
      <c r="J455" s="541"/>
      <c r="K455" s="541"/>
      <c r="L455" s="541"/>
      <c r="M455" s="541"/>
      <c r="N455" s="541"/>
      <c r="O455" s="541"/>
      <c r="P455" s="147"/>
      <c r="Q455" s="25"/>
    </row>
    <row r="456" spans="2:17" ht="17.25" customHeight="1" thickBot="1">
      <c r="B456" s="154"/>
      <c r="C456" s="155"/>
      <c r="D456" s="155"/>
      <c r="E456" s="31"/>
      <c r="F456" s="32"/>
      <c r="G456" s="534" t="str">
        <f>$G$10</f>
        <v>2011 BILL</v>
      </c>
      <c r="H456" s="535"/>
      <c r="I456" s="536"/>
      <c r="J456" s="534" t="str">
        <f>$J$10</f>
        <v>2012 BILL</v>
      </c>
      <c r="K456" s="535"/>
      <c r="L456" s="536"/>
      <c r="M456" s="534" t="s">
        <v>73</v>
      </c>
      <c r="N456" s="535"/>
      <c r="O456" s="536"/>
      <c r="P456" s="147"/>
      <c r="Q456" s="25"/>
    </row>
    <row r="457" spans="2:17" ht="39" thickBot="1">
      <c r="B457" s="154"/>
      <c r="C457" s="31"/>
      <c r="D457" s="31"/>
      <c r="E457" s="33"/>
      <c r="F457" s="34"/>
      <c r="G457" s="366" t="s">
        <v>67</v>
      </c>
      <c r="H457" s="367" t="s">
        <v>68</v>
      </c>
      <c r="I457" s="368" t="s">
        <v>69</v>
      </c>
      <c r="J457" s="369" t="s">
        <v>67</v>
      </c>
      <c r="K457" s="367" t="s">
        <v>68</v>
      </c>
      <c r="L457" s="368" t="s">
        <v>69</v>
      </c>
      <c r="M457" s="174" t="s">
        <v>74</v>
      </c>
      <c r="N457" s="175" t="s">
        <v>75</v>
      </c>
      <c r="O457" s="176" t="s">
        <v>76</v>
      </c>
      <c r="P457" s="147"/>
      <c r="Q457" s="25"/>
    </row>
    <row r="458" spans="2:17" ht="17.25" customHeight="1" thickBot="1">
      <c r="B458" s="154"/>
      <c r="C458" s="528" t="s">
        <v>137</v>
      </c>
      <c r="D458" s="529"/>
      <c r="E458" s="31"/>
      <c r="F458" s="372" t="s">
        <v>71</v>
      </c>
      <c r="G458" s="370">
        <f>C459</f>
        <v>7</v>
      </c>
      <c r="H458" s="364">
        <f>'2011 Existing Rates'!$B$12</f>
        <v>0.4</v>
      </c>
      <c r="I458" s="193">
        <f aca="true" t="shared" si="38" ref="I458:I463">+G458*H458</f>
        <v>2.8000000000000003</v>
      </c>
      <c r="J458" s="370">
        <f>G458</f>
        <v>7</v>
      </c>
      <c r="K458" s="364">
        <f>'Rate Schedule (Part 1)'!$E$44</f>
        <v>3.3946</v>
      </c>
      <c r="L458" s="193">
        <f aca="true" t="shared" si="39" ref="L458:L463">+J458*K458</f>
        <v>23.7622</v>
      </c>
      <c r="M458" s="215">
        <f aca="true" t="shared" si="40" ref="M458:M463">+L458-I458</f>
        <v>20.9622</v>
      </c>
      <c r="N458" s="216">
        <f aca="true" t="shared" si="41" ref="N458:N472">+M458/I458</f>
        <v>7.486499999999999</v>
      </c>
      <c r="O458" s="208">
        <f>L458/L472</f>
        <v>0.018692480696821914</v>
      </c>
      <c r="P458" s="147"/>
      <c r="Q458" s="25"/>
    </row>
    <row r="459" spans="2:17" ht="17.25" customHeight="1" thickBot="1">
      <c r="B459" s="154"/>
      <c r="C459" s="152">
        <f>'Forecast Data For 2012'!C17</f>
        <v>7</v>
      </c>
      <c r="D459" s="153" t="s">
        <v>136</v>
      </c>
      <c r="E459" s="31"/>
      <c r="F459" s="373" t="s">
        <v>82</v>
      </c>
      <c r="G459" s="432">
        <f>C461</f>
        <v>15.091686685374189</v>
      </c>
      <c r="H459" s="178">
        <f>'2011 Existing Rates'!$D$64</f>
        <v>0.7508</v>
      </c>
      <c r="I459" s="193">
        <f t="shared" si="38"/>
        <v>11.330838363378941</v>
      </c>
      <c r="J459" s="433">
        <f>G459</f>
        <v>15.091686685374189</v>
      </c>
      <c r="K459" s="177">
        <f>'Rate Schedule (Part 1)'!$E$45</f>
        <v>6.3717</v>
      </c>
      <c r="L459" s="193">
        <f t="shared" si="39"/>
        <v>96.15970005319872</v>
      </c>
      <c r="M459" s="215">
        <f t="shared" si="40"/>
        <v>84.82886168981977</v>
      </c>
      <c r="N459" s="216">
        <f t="shared" si="41"/>
        <v>7.48654768247203</v>
      </c>
      <c r="O459" s="208">
        <f>L459/L472</f>
        <v>0.0756438097927213</v>
      </c>
      <c r="P459" s="147"/>
      <c r="Q459" s="25"/>
    </row>
    <row r="460" spans="2:16" ht="17.25" customHeight="1" thickBot="1">
      <c r="B460" s="154"/>
      <c r="C460" s="152">
        <f>'Forecast Data For 2012'!C19</f>
        <v>5564.296647778189</v>
      </c>
      <c r="D460" s="153" t="s">
        <v>16</v>
      </c>
      <c r="E460" s="31"/>
      <c r="F460" s="373" t="s">
        <v>226</v>
      </c>
      <c r="G460" s="435">
        <f>G459</f>
        <v>15.091686685374189</v>
      </c>
      <c r="H460" s="374">
        <f>'2011 Existing Rates'!$D$38</f>
        <v>0</v>
      </c>
      <c r="I460" s="193">
        <f t="shared" si="38"/>
        <v>0</v>
      </c>
      <c r="J460" s="433">
        <f>G460</f>
        <v>15.091686685374189</v>
      </c>
      <c r="K460" s="177">
        <f>'Rate Schedule (Part 1)'!$E$46</f>
        <v>0.3421</v>
      </c>
      <c r="L460" s="193">
        <f t="shared" si="39"/>
        <v>5.16286601506651</v>
      </c>
      <c r="M460" s="215">
        <f t="shared" si="40"/>
        <v>5.16286601506651</v>
      </c>
      <c r="N460" s="216" t="e">
        <f t="shared" si="41"/>
        <v>#DIV/0!</v>
      </c>
      <c r="O460" s="208">
        <f>L460/L472</f>
        <v>0.004061356832570579</v>
      </c>
      <c r="P460" s="147"/>
    </row>
    <row r="461" spans="2:16" ht="17.25" customHeight="1" thickBot="1">
      <c r="B461" s="154"/>
      <c r="C461" s="152">
        <f>'Forecast Data For 2012'!C18</f>
        <v>15.091686685374189</v>
      </c>
      <c r="D461" s="153" t="s">
        <v>17</v>
      </c>
      <c r="E461" s="31"/>
      <c r="F461" s="181" t="s">
        <v>227</v>
      </c>
      <c r="G461" s="433">
        <f>G460</f>
        <v>15.091686685374189</v>
      </c>
      <c r="H461" s="178"/>
      <c r="I461" s="193">
        <f t="shared" si="38"/>
        <v>0</v>
      </c>
      <c r="J461" s="433">
        <f>G461</f>
        <v>15.091686685374189</v>
      </c>
      <c r="K461" s="177">
        <f>'Rate Schedule (Part 1)'!$E$47</f>
        <v>0</v>
      </c>
      <c r="L461" s="197">
        <f t="shared" si="39"/>
        <v>0</v>
      </c>
      <c r="M461" s="215">
        <f t="shared" si="40"/>
        <v>0</v>
      </c>
      <c r="N461" s="216" t="e">
        <f t="shared" si="41"/>
        <v>#DIV/0!</v>
      </c>
      <c r="O461" s="208">
        <f>L461/L472</f>
        <v>0</v>
      </c>
      <c r="P461" s="147"/>
    </row>
    <row r="462" spans="2:16" ht="17.25" customHeight="1">
      <c r="B462" s="154"/>
      <c r="C462" s="63"/>
      <c r="D462" s="64"/>
      <c r="E462" s="31"/>
      <c r="F462" s="419" t="s">
        <v>272</v>
      </c>
      <c r="G462" s="436"/>
      <c r="H462" s="202"/>
      <c r="I462" s="193">
        <f>'2011 Existing Rates'!B78</f>
        <v>0.32</v>
      </c>
      <c r="J462" s="434">
        <f>G462</f>
        <v>0</v>
      </c>
      <c r="K462" s="420">
        <f>'2012 Rate Rider'!$F$11</f>
        <v>0</v>
      </c>
      <c r="L462" s="193">
        <f t="shared" si="39"/>
        <v>0</v>
      </c>
      <c r="M462" s="207">
        <f t="shared" si="40"/>
        <v>-0.32</v>
      </c>
      <c r="N462" s="201">
        <f t="shared" si="41"/>
        <v>-1</v>
      </c>
      <c r="O462" s="208">
        <f>L462/L472</f>
        <v>0</v>
      </c>
      <c r="P462" s="147"/>
    </row>
    <row r="463" spans="2:16" ht="17.25" customHeight="1" thickBot="1">
      <c r="B463" s="154"/>
      <c r="C463" s="63"/>
      <c r="D463" s="64"/>
      <c r="E463" s="31"/>
      <c r="F463" s="182" t="s">
        <v>228</v>
      </c>
      <c r="G463" s="433">
        <f>G461</f>
        <v>15.091686685374189</v>
      </c>
      <c r="H463" s="178">
        <f>'2011 Existing Rates'!$D$25</f>
        <v>0</v>
      </c>
      <c r="I463" s="193">
        <f t="shared" si="38"/>
        <v>0</v>
      </c>
      <c r="J463" s="433">
        <f>J461</f>
        <v>15.091686685374189</v>
      </c>
      <c r="K463" s="177">
        <f>'2012 Rate Rider'!C11</f>
        <v>26.85421105778323</v>
      </c>
      <c r="L463" s="197">
        <f t="shared" si="39"/>
        <v>405.2753394669755</v>
      </c>
      <c r="M463" s="215">
        <f t="shared" si="40"/>
        <v>405.2753394669755</v>
      </c>
      <c r="N463" s="216" t="e">
        <f t="shared" si="41"/>
        <v>#DIV/0!</v>
      </c>
      <c r="O463" s="208">
        <f>L463/L472</f>
        <v>0.3188089259363353</v>
      </c>
      <c r="P463" s="147"/>
    </row>
    <row r="464" spans="2:16" ht="17.25" customHeight="1" thickBot="1">
      <c r="B464" s="154"/>
      <c r="C464" s="31"/>
      <c r="D464" s="31"/>
      <c r="E464" s="31"/>
      <c r="F464" s="218" t="s">
        <v>223</v>
      </c>
      <c r="G464" s="530"/>
      <c r="H464" s="531"/>
      <c r="I464" s="220">
        <f>SUM(I458:I463)</f>
        <v>14.450838363378942</v>
      </c>
      <c r="J464" s="530"/>
      <c r="K464" s="531"/>
      <c r="L464" s="220">
        <f>SUM(L458:L463)</f>
        <v>530.3601055352407</v>
      </c>
      <c r="M464" s="222">
        <f>SUM(M458:M463)</f>
        <v>515.9092671718618</v>
      </c>
      <c r="N464" s="223">
        <f t="shared" si="41"/>
        <v>35.70099216383666</v>
      </c>
      <c r="O464" s="225">
        <f>SUM(O458:O463)</f>
        <v>0.4172065732584491</v>
      </c>
      <c r="P464" s="147"/>
    </row>
    <row r="465" spans="2:16" ht="17.25" customHeight="1" thickBot="1">
      <c r="B465" s="154"/>
      <c r="C465" s="31"/>
      <c r="D465" s="31"/>
      <c r="E465" s="31"/>
      <c r="F465" s="181" t="s">
        <v>229</v>
      </c>
      <c r="G465" s="437">
        <f>G463</f>
        <v>15.091686685374189</v>
      </c>
      <c r="H465" s="349">
        <f>'Other Electriciy Rates'!$F$14</f>
        <v>2.8928000000000003</v>
      </c>
      <c r="I465" s="193">
        <f>+G465*H465</f>
        <v>43.657231243450454</v>
      </c>
      <c r="J465" s="437">
        <f>G465</f>
        <v>15.091686685374189</v>
      </c>
      <c r="K465" s="177">
        <f>'Other Electriciy Rates'!$F$29</f>
        <v>2.9445057063713227</v>
      </c>
      <c r="L465" s="193">
        <f>+J465*K465</f>
        <v>44.43755756385241</v>
      </c>
      <c r="M465" s="350">
        <f>+L465-I465</f>
        <v>0.7803263204019544</v>
      </c>
      <c r="N465" s="205">
        <f t="shared" si="41"/>
        <v>0.017873930576369764</v>
      </c>
      <c r="O465" s="208">
        <f>L465/L472</f>
        <v>0.03495670379746925</v>
      </c>
      <c r="P465" s="147"/>
    </row>
    <row r="466" spans="2:16" ht="17.25" customHeight="1" thickBot="1">
      <c r="B466" s="154"/>
      <c r="C466" s="31"/>
      <c r="D466" s="31"/>
      <c r="E466" s="31"/>
      <c r="F466" s="218" t="s">
        <v>225</v>
      </c>
      <c r="G466" s="530"/>
      <c r="H466" s="531"/>
      <c r="I466" s="220">
        <f>I464+I465</f>
        <v>58.108069606829396</v>
      </c>
      <c r="J466" s="530"/>
      <c r="K466" s="531"/>
      <c r="L466" s="220">
        <f>L464+L465</f>
        <v>574.7976630990931</v>
      </c>
      <c r="M466" s="220">
        <f>M464+M465</f>
        <v>516.6895934922637</v>
      </c>
      <c r="N466" s="223">
        <f t="shared" si="41"/>
        <v>8.891873314468832</v>
      </c>
      <c r="O466" s="351">
        <f>L466/L472</f>
        <v>0.4521632770559184</v>
      </c>
      <c r="P466" s="147"/>
    </row>
    <row r="467" spans="2:16" ht="17.25" customHeight="1">
      <c r="B467" s="154"/>
      <c r="C467" s="31"/>
      <c r="D467" s="31"/>
      <c r="E467" s="31"/>
      <c r="F467" s="179" t="s">
        <v>77</v>
      </c>
      <c r="G467" s="438">
        <f>C460*'Other Electriciy Rates'!$L$14</f>
        <v>6004.4325126174435</v>
      </c>
      <c r="H467" s="186">
        <f>'Other Electriciy Rates'!$C$14+'Other Electriciy Rates'!$D$14</f>
        <v>0.012986887220832175</v>
      </c>
      <c r="I467" s="187">
        <f>+G467*H467</f>
        <v>77.9788878664607</v>
      </c>
      <c r="J467" s="438">
        <f>C460*'Other Electriciy Rates'!$L$29</f>
        <v>6009.440379600444</v>
      </c>
      <c r="K467" s="186">
        <f>'Other Electriciy Rates'!$C$29+'Other Electriciy Rates'!$D$29</f>
        <v>0.01278148148148148</v>
      </c>
      <c r="L467" s="214">
        <f>+J467*K467</f>
        <v>76.80955092593013</v>
      </c>
      <c r="M467" s="215">
        <f>+L467-I467</f>
        <v>-1.1693369405305702</v>
      </c>
      <c r="N467" s="216">
        <f t="shared" si="41"/>
        <v>-0.01499555806095961</v>
      </c>
      <c r="O467" s="208">
        <f>L467/L472</f>
        <v>0.06042205890088075</v>
      </c>
      <c r="P467" s="147"/>
    </row>
    <row r="468" spans="2:16" ht="17.25" customHeight="1">
      <c r="B468" s="154"/>
      <c r="C468" s="31"/>
      <c r="D468" s="31"/>
      <c r="E468" s="31"/>
      <c r="F468" s="179" t="s">
        <v>78</v>
      </c>
      <c r="G468" s="438">
        <f>G467</f>
        <v>6004.4325126174435</v>
      </c>
      <c r="H468" s="186">
        <f>'Other Electriciy Rates'!$J$14</f>
        <v>0.07877</v>
      </c>
      <c r="I468" s="187">
        <f>+G468*H468</f>
        <v>472.96914901887607</v>
      </c>
      <c r="J468" s="438">
        <f>J467</f>
        <v>6009.440379600444</v>
      </c>
      <c r="K468" s="186">
        <f>'Other Electriciy Rates'!$J$29</f>
        <v>0.07877</v>
      </c>
      <c r="L468" s="214">
        <f>+J468*K468</f>
        <v>473.36361870112705</v>
      </c>
      <c r="M468" s="215">
        <f>+L468-I468</f>
        <v>0.39446968225098544</v>
      </c>
      <c r="N468" s="216">
        <f t="shared" si="41"/>
        <v>0.0008340283569642347</v>
      </c>
      <c r="O468" s="208">
        <f>L468/L472</f>
        <v>0.3723704162555902</v>
      </c>
      <c r="P468" s="147"/>
    </row>
    <row r="469" spans="2:16" ht="18" customHeight="1" thickBot="1">
      <c r="B469" s="154"/>
      <c r="C469" s="31"/>
      <c r="D469" s="31"/>
      <c r="E469" s="31"/>
      <c r="F469" s="181" t="s">
        <v>235</v>
      </c>
      <c r="G469" s="439">
        <f>G468</f>
        <v>6004.4325126174435</v>
      </c>
      <c r="H469" s="186">
        <f>'2012 Rate Rider'!$G$11</f>
        <v>0</v>
      </c>
      <c r="I469" s="189">
        <f>+G469*H469</f>
        <v>0</v>
      </c>
      <c r="J469" s="439">
        <f>G469</f>
        <v>6004.4325126174435</v>
      </c>
      <c r="K469" s="186">
        <f>H469</f>
        <v>0</v>
      </c>
      <c r="L469" s="211">
        <f>+J469*K469</f>
        <v>0</v>
      </c>
      <c r="M469" s="212">
        <f>+L469-I469</f>
        <v>0</v>
      </c>
      <c r="N469" s="213" t="e">
        <f t="shared" si="41"/>
        <v>#DIV/0!</v>
      </c>
      <c r="O469" s="226">
        <f>L469/L472</f>
        <v>0</v>
      </c>
      <c r="P469" s="147"/>
    </row>
    <row r="470" spans="2:16" ht="17.25" customHeight="1" thickBot="1">
      <c r="B470" s="154"/>
      <c r="C470" s="31"/>
      <c r="D470" s="31"/>
      <c r="E470" s="31"/>
      <c r="F470" s="218" t="s">
        <v>192</v>
      </c>
      <c r="G470" s="530"/>
      <c r="H470" s="531"/>
      <c r="I470" s="220">
        <f>SUM(I466:I469)</f>
        <v>609.0561064921661</v>
      </c>
      <c r="J470" s="530"/>
      <c r="K470" s="531"/>
      <c r="L470" s="220">
        <f>SUM(L466:L469)</f>
        <v>1124.9708327261503</v>
      </c>
      <c r="M470" s="220">
        <f>SUM(M466:M469)</f>
        <v>515.9147262339841</v>
      </c>
      <c r="N470" s="223">
        <f t="shared" si="41"/>
        <v>0.8470725779360032</v>
      </c>
      <c r="O470" s="351">
        <f>L470/L472</f>
        <v>0.8849557522123893</v>
      </c>
      <c r="P470" s="147"/>
    </row>
    <row r="471" spans="2:16" ht="17.25" customHeight="1" thickBot="1">
      <c r="B471" s="154"/>
      <c r="C471" s="31"/>
      <c r="D471" s="31"/>
      <c r="E471" s="31"/>
      <c r="F471" s="278" t="s">
        <v>193</v>
      </c>
      <c r="G471" s="279"/>
      <c r="H471" s="283">
        <v>0.13</v>
      </c>
      <c r="I471" s="280">
        <f>I470*H471</f>
        <v>79.1772938439816</v>
      </c>
      <c r="J471" s="279"/>
      <c r="K471" s="283">
        <v>0.13</v>
      </c>
      <c r="L471" s="281">
        <f>L470*K471</f>
        <v>146.24620825439953</v>
      </c>
      <c r="M471" s="212">
        <f>+L471-I471</f>
        <v>67.06891441041793</v>
      </c>
      <c r="N471" s="213">
        <f t="shared" si="41"/>
        <v>0.8470725779360032</v>
      </c>
      <c r="O471" s="226">
        <f>L471/L472</f>
        <v>0.11504424778761062</v>
      </c>
      <c r="P471" s="147"/>
    </row>
    <row r="472" spans="2:16" ht="17.25" customHeight="1" thickBot="1">
      <c r="B472" s="154"/>
      <c r="C472" s="31"/>
      <c r="D472" s="31"/>
      <c r="E472" s="35"/>
      <c r="F472" s="382" t="s">
        <v>79</v>
      </c>
      <c r="G472" s="537"/>
      <c r="H472" s="538"/>
      <c r="I472" s="383">
        <f>I470+I471</f>
        <v>688.2334003361477</v>
      </c>
      <c r="J472" s="537"/>
      <c r="K472" s="538"/>
      <c r="L472" s="383">
        <f>L470+L471</f>
        <v>1271.2170409805499</v>
      </c>
      <c r="M472" s="383">
        <f>M470+M471</f>
        <v>582.983640644402</v>
      </c>
      <c r="N472" s="384">
        <f t="shared" si="41"/>
        <v>0.8470725779360033</v>
      </c>
      <c r="O472" s="347">
        <f>O470+O471</f>
        <v>0.9999999999999999</v>
      </c>
      <c r="P472" s="147"/>
    </row>
    <row r="473" spans="2:16" ht="17.25" customHeight="1" thickBot="1">
      <c r="B473" s="148"/>
      <c r="C473" s="160"/>
      <c r="D473" s="160"/>
      <c r="E473" s="160"/>
      <c r="F473" s="260"/>
      <c r="G473" s="261"/>
      <c r="H473" s="262"/>
      <c r="I473" s="263"/>
      <c r="J473" s="261"/>
      <c r="K473" s="264"/>
      <c r="L473" s="263"/>
      <c r="M473" s="385"/>
      <c r="N473" s="265"/>
      <c r="O473" s="266"/>
      <c r="P473" s="149"/>
    </row>
    <row r="474" spans="2:16" ht="17.25" customHeight="1" thickBot="1">
      <c r="B474" s="25"/>
      <c r="C474" s="31"/>
      <c r="D474" s="31"/>
      <c r="E474" s="31"/>
      <c r="F474" s="49"/>
      <c r="G474" s="50"/>
      <c r="H474" s="51"/>
      <c r="I474" s="52"/>
      <c r="J474" s="50"/>
      <c r="K474" s="53"/>
      <c r="L474" s="52"/>
      <c r="M474" s="54"/>
      <c r="N474" s="157"/>
      <c r="O474" s="158"/>
      <c r="P474" s="25"/>
    </row>
    <row r="475" spans="2:16" ht="21.75" customHeight="1">
      <c r="B475" s="156"/>
      <c r="C475" s="532" t="s">
        <v>191</v>
      </c>
      <c r="D475" s="532"/>
      <c r="E475" s="532"/>
      <c r="F475" s="532"/>
      <c r="G475" s="532"/>
      <c r="H475" s="532"/>
      <c r="I475" s="532"/>
      <c r="J475" s="532"/>
      <c r="K475" s="532"/>
      <c r="L475" s="532"/>
      <c r="M475" s="532"/>
      <c r="N475" s="532"/>
      <c r="O475" s="532"/>
      <c r="P475" s="146"/>
    </row>
    <row r="476" spans="2:16" ht="21.75" customHeight="1" thickBot="1">
      <c r="B476" s="154"/>
      <c r="C476" s="533"/>
      <c r="D476" s="533"/>
      <c r="E476" s="533"/>
      <c r="F476" s="533"/>
      <c r="G476" s="533"/>
      <c r="H476" s="533"/>
      <c r="I476" s="533"/>
      <c r="J476" s="533"/>
      <c r="K476" s="533"/>
      <c r="L476" s="533"/>
      <c r="M476" s="533"/>
      <c r="N476" s="533"/>
      <c r="O476" s="533"/>
      <c r="P476" s="147"/>
    </row>
    <row r="477" spans="2:16" ht="21.75" customHeight="1" thickBot="1">
      <c r="B477" s="154"/>
      <c r="C477" s="155"/>
      <c r="D477" s="155"/>
      <c r="E477" s="31"/>
      <c r="F477" s="37"/>
      <c r="G477" s="534" t="s">
        <v>196</v>
      </c>
      <c r="H477" s="535"/>
      <c r="I477" s="536"/>
      <c r="J477" s="534" t="s">
        <v>220</v>
      </c>
      <c r="K477" s="535"/>
      <c r="L477" s="536"/>
      <c r="M477" s="534" t="s">
        <v>73</v>
      </c>
      <c r="N477" s="535"/>
      <c r="O477" s="536"/>
      <c r="P477" s="147"/>
    </row>
    <row r="478" spans="2:16" ht="39" thickBot="1">
      <c r="B478" s="154"/>
      <c r="C478" s="31"/>
      <c r="D478" s="31"/>
      <c r="E478" s="33"/>
      <c r="F478" s="38"/>
      <c r="G478" s="196" t="s">
        <v>67</v>
      </c>
      <c r="H478" s="171" t="s">
        <v>68</v>
      </c>
      <c r="I478" s="172" t="s">
        <v>69</v>
      </c>
      <c r="J478" s="196" t="s">
        <v>67</v>
      </c>
      <c r="K478" s="171" t="s">
        <v>68</v>
      </c>
      <c r="L478" s="172" t="s">
        <v>69</v>
      </c>
      <c r="M478" s="198" t="s">
        <v>74</v>
      </c>
      <c r="N478" s="199" t="s">
        <v>75</v>
      </c>
      <c r="O478" s="200" t="s">
        <v>76</v>
      </c>
      <c r="P478" s="147"/>
    </row>
    <row r="479" spans="2:16" ht="21.75" customHeight="1" thickBot="1">
      <c r="B479" s="154"/>
      <c r="C479" s="528" t="s">
        <v>70</v>
      </c>
      <c r="D479" s="529"/>
      <c r="E479" s="31"/>
      <c r="F479" s="180" t="s">
        <v>71</v>
      </c>
      <c r="G479" s="190"/>
      <c r="H479" s="191"/>
      <c r="I479" s="192">
        <f>'2011 Existing Rates'!$C$14</f>
        <v>5.54</v>
      </c>
      <c r="J479" s="190"/>
      <c r="K479" s="191"/>
      <c r="L479" s="195">
        <f>'Rate Schedule (Part 1)'!$E$58</f>
        <v>6.9494</v>
      </c>
      <c r="M479" s="204">
        <f aca="true" t="shared" si="42" ref="M479:M484">+L479-I479</f>
        <v>1.4093999999999998</v>
      </c>
      <c r="N479" s="205">
        <f aca="true" t="shared" si="43" ref="N479:N493">+M479/I479</f>
        <v>0.25440433212996383</v>
      </c>
      <c r="O479" s="206">
        <f>L479/L493</f>
        <v>0.18389723004407177</v>
      </c>
      <c r="P479" s="147"/>
    </row>
    <row r="480" spans="2:16" ht="21.75" customHeight="1" thickBot="1">
      <c r="B480" s="154"/>
      <c r="C480" s="150">
        <v>250</v>
      </c>
      <c r="D480" s="151" t="s">
        <v>16</v>
      </c>
      <c r="E480" s="31"/>
      <c r="F480" s="181" t="s">
        <v>72</v>
      </c>
      <c r="G480" s="184">
        <f>+C480</f>
        <v>250</v>
      </c>
      <c r="H480" s="178">
        <f>'2011 Existing Rates'!$B$66</f>
        <v>0.0017</v>
      </c>
      <c r="I480" s="193">
        <f>+G480*H480</f>
        <v>0.425</v>
      </c>
      <c r="J480" s="184">
        <f>+C480</f>
        <v>250</v>
      </c>
      <c r="K480" s="177">
        <f>'Rate Schedule (Part 1)'!$E$59</f>
        <v>0.0021</v>
      </c>
      <c r="L480" s="197">
        <f>+J480*K480</f>
        <v>0.525</v>
      </c>
      <c r="M480" s="207">
        <f t="shared" si="42"/>
        <v>0.10000000000000003</v>
      </c>
      <c r="N480" s="201">
        <f t="shared" si="43"/>
        <v>0.2352941176470589</v>
      </c>
      <c r="O480" s="208">
        <f>L480/L493</f>
        <v>0.013892716748659984</v>
      </c>
      <c r="P480" s="147"/>
    </row>
    <row r="481" spans="2:16" ht="21.75" customHeight="1">
      <c r="B481" s="154"/>
      <c r="C481" s="63"/>
      <c r="D481" s="424"/>
      <c r="E481" s="31"/>
      <c r="F481" s="181" t="s">
        <v>222</v>
      </c>
      <c r="G481" s="184">
        <f>G480</f>
        <v>250</v>
      </c>
      <c r="H481" s="178">
        <f>'2011 Existing Rates'!$B$40</f>
        <v>0.0014</v>
      </c>
      <c r="I481" s="193">
        <f>+G481*H481</f>
        <v>0.35</v>
      </c>
      <c r="J481" s="184">
        <f>J480</f>
        <v>250</v>
      </c>
      <c r="K481" s="177">
        <f>'Rate Schedule (Part 1)'!$E$60</f>
        <v>0.0011</v>
      </c>
      <c r="L481" s="197">
        <f>+J481*K481</f>
        <v>0.275</v>
      </c>
      <c r="M481" s="207">
        <f t="shared" si="42"/>
        <v>-0.07499999999999996</v>
      </c>
      <c r="N481" s="201">
        <f t="shared" si="43"/>
        <v>-0.21428571428571416</v>
      </c>
      <c r="O481" s="208">
        <f>L481/L493</f>
        <v>0.007277137344536182</v>
      </c>
      <c r="P481" s="147"/>
    </row>
    <row r="482" spans="2:16" ht="21.75" customHeight="1">
      <c r="B482" s="154"/>
      <c r="C482" s="63"/>
      <c r="D482" s="64"/>
      <c r="E482" s="31"/>
      <c r="F482" s="181" t="s">
        <v>160</v>
      </c>
      <c r="G482" s="184">
        <f>C480</f>
        <v>250</v>
      </c>
      <c r="H482" s="178"/>
      <c r="I482" s="189">
        <f>+G482*H482</f>
        <v>0</v>
      </c>
      <c r="J482" s="184">
        <f>C480</f>
        <v>250</v>
      </c>
      <c r="K482" s="177">
        <f>'Rate Schedule (Part 1)'!$E$61</f>
        <v>0</v>
      </c>
      <c r="L482" s="197">
        <f>J482*K482</f>
        <v>0</v>
      </c>
      <c r="M482" s="207">
        <f t="shared" si="42"/>
        <v>0</v>
      </c>
      <c r="N482" s="201" t="e">
        <f t="shared" si="43"/>
        <v>#DIV/0!</v>
      </c>
      <c r="O482" s="208">
        <f>L482/L493</f>
        <v>0</v>
      </c>
      <c r="P482" s="147"/>
    </row>
    <row r="483" spans="2:16" ht="17.25" customHeight="1">
      <c r="B483" s="154"/>
      <c r="C483" s="63"/>
      <c r="D483" s="64"/>
      <c r="E483" s="31"/>
      <c r="F483" s="419" t="s">
        <v>272</v>
      </c>
      <c r="G483" s="436"/>
      <c r="H483" s="202"/>
      <c r="I483" s="193">
        <f>'2011 Existing Rates'!B80</f>
        <v>0.04</v>
      </c>
      <c r="J483" s="194">
        <f>J482</f>
        <v>250</v>
      </c>
      <c r="K483" s="420">
        <f>'2012 Rate Rider'!$F$13</f>
        <v>0</v>
      </c>
      <c r="L483" s="193">
        <f>+J483*K483</f>
        <v>0</v>
      </c>
      <c r="M483" s="207">
        <f t="shared" si="42"/>
        <v>-0.04</v>
      </c>
      <c r="N483" s="201">
        <f t="shared" si="43"/>
        <v>-1</v>
      </c>
      <c r="O483" s="208">
        <f>L483/L493</f>
        <v>0</v>
      </c>
      <c r="P483" s="147"/>
    </row>
    <row r="484" spans="2:16" ht="21.75" customHeight="1" thickBot="1">
      <c r="B484" s="154"/>
      <c r="C484" s="31"/>
      <c r="D484" s="31"/>
      <c r="E484" s="31"/>
      <c r="F484" s="182" t="s">
        <v>221</v>
      </c>
      <c r="G484" s="209">
        <f>+C480</f>
        <v>250</v>
      </c>
      <c r="H484" s="210">
        <f>'2011 Existing Rates'!$B$27</f>
        <v>0.0001</v>
      </c>
      <c r="I484" s="211">
        <f>+G484*H484</f>
        <v>0.025</v>
      </c>
      <c r="J484" s="209">
        <f>+C480</f>
        <v>250</v>
      </c>
      <c r="K484" s="210">
        <f>'2012 Rate Rider'!B13</f>
        <v>-0.006218467483180508</v>
      </c>
      <c r="L484" s="211">
        <f>+J484*K484</f>
        <v>-1.554616870795127</v>
      </c>
      <c r="M484" s="207">
        <f t="shared" si="42"/>
        <v>-1.5796168707951268</v>
      </c>
      <c r="N484" s="201">
        <f t="shared" si="43"/>
        <v>-63.18467483180507</v>
      </c>
      <c r="O484" s="208">
        <f>L484/L493</f>
        <v>-0.041138765406942536</v>
      </c>
      <c r="P484" s="147"/>
    </row>
    <row r="485" spans="2:16" ht="21.75" customHeight="1" thickBot="1">
      <c r="B485" s="154"/>
      <c r="C485" s="31"/>
      <c r="D485" s="31"/>
      <c r="E485" s="31"/>
      <c r="F485" s="218" t="s">
        <v>223</v>
      </c>
      <c r="G485" s="530"/>
      <c r="H485" s="531"/>
      <c r="I485" s="220">
        <f>SUM(I479:I484)</f>
        <v>6.38</v>
      </c>
      <c r="J485" s="530"/>
      <c r="K485" s="531"/>
      <c r="L485" s="220">
        <f>SUM(L479:L484)</f>
        <v>6.194783129204874</v>
      </c>
      <c r="M485" s="222">
        <f>SUM(M479:M484)</f>
        <v>-0.18521687079512694</v>
      </c>
      <c r="N485" s="223">
        <f t="shared" si="43"/>
        <v>-0.029030857491399206</v>
      </c>
      <c r="O485" s="225">
        <f>L485/L493</f>
        <v>0.16392831873032543</v>
      </c>
      <c r="P485" s="147"/>
    </row>
    <row r="486" spans="2:16" ht="21.75" customHeight="1" thickBot="1">
      <c r="B486" s="154"/>
      <c r="C486" s="31"/>
      <c r="D486" s="31"/>
      <c r="E486" s="31"/>
      <c r="F486" s="181" t="s">
        <v>224</v>
      </c>
      <c r="G486" s="348">
        <f>C480*'Other Electriciy Rates'!$L$16</f>
        <v>269.775</v>
      </c>
      <c r="H486" s="349">
        <f>'Other Electriciy Rates'!$B$16</f>
        <v>0.0092</v>
      </c>
      <c r="I486" s="193">
        <f>+G486*H486</f>
        <v>2.4819299999999997</v>
      </c>
      <c r="J486" s="348">
        <f>C480*'Other Electriciy Rates'!$L$31</f>
        <v>270</v>
      </c>
      <c r="K486" s="177">
        <f>'Other Electriciy Rates'!$B$31</f>
        <v>0.009364546153031724</v>
      </c>
      <c r="L486" s="193">
        <f>+J486*K486</f>
        <v>2.5284274613185653</v>
      </c>
      <c r="M486" s="350">
        <f>+L486-I486</f>
        <v>0.04649746131856558</v>
      </c>
      <c r="N486" s="205">
        <f t="shared" si="43"/>
        <v>0.018734396747114378</v>
      </c>
      <c r="O486" s="206">
        <f>L486/L493</f>
        <v>0.06690805055168052</v>
      </c>
      <c r="P486" s="147"/>
    </row>
    <row r="487" spans="2:16" ht="21.75" customHeight="1" thickBot="1">
      <c r="B487" s="154"/>
      <c r="C487" s="31"/>
      <c r="D487" s="31"/>
      <c r="E487" s="31"/>
      <c r="F487" s="218" t="s">
        <v>225</v>
      </c>
      <c r="G487" s="530"/>
      <c r="H487" s="531"/>
      <c r="I487" s="220">
        <f>I485+I486</f>
        <v>8.86193</v>
      </c>
      <c r="J487" s="530"/>
      <c r="K487" s="531"/>
      <c r="L487" s="220">
        <f>L485+L486</f>
        <v>8.72321059052344</v>
      </c>
      <c r="M487" s="220">
        <f>M485+M486</f>
        <v>-0.13871940947656136</v>
      </c>
      <c r="N487" s="223">
        <f t="shared" si="43"/>
        <v>-0.015653408397105526</v>
      </c>
      <c r="O487" s="351">
        <f>L487/L493</f>
        <v>0.23083636928200596</v>
      </c>
      <c r="P487" s="147"/>
    </row>
    <row r="488" spans="2:16" ht="21.75" customHeight="1">
      <c r="B488" s="154"/>
      <c r="C488" s="31"/>
      <c r="D488" s="31"/>
      <c r="E488" s="31"/>
      <c r="F488" s="183" t="s">
        <v>77</v>
      </c>
      <c r="G488" s="185">
        <f>G486</f>
        <v>269.775</v>
      </c>
      <c r="H488" s="186">
        <f>'Other Electriciy Rates'!$C$16+'Other Electriciy Rates'!$D$16</f>
        <v>0.012986887220832175</v>
      </c>
      <c r="I488" s="187">
        <f>+G488*H488</f>
        <v>3.5035374999999997</v>
      </c>
      <c r="J488" s="185">
        <f>J486</f>
        <v>270</v>
      </c>
      <c r="K488" s="186">
        <f>'Other Electriciy Rates'!$C$31+'Other Electriciy Rates'!$D$31</f>
        <v>0.01278148148148148</v>
      </c>
      <c r="L488" s="214">
        <f>+J488*K488</f>
        <v>3.4509999999999996</v>
      </c>
      <c r="M488" s="215">
        <f>+L488-I488</f>
        <v>-0.052537500000000126</v>
      </c>
      <c r="N488" s="216">
        <f t="shared" si="43"/>
        <v>-0.014995558060959853</v>
      </c>
      <c r="O488" s="282">
        <f>L488/L493</f>
        <v>0.09132145809452495</v>
      </c>
      <c r="P488" s="147"/>
    </row>
    <row r="489" spans="2:16" ht="21.75" customHeight="1" thickBot="1">
      <c r="B489" s="154"/>
      <c r="C489" s="31"/>
      <c r="D489" s="31"/>
      <c r="E489" s="31"/>
      <c r="F489" s="181" t="s">
        <v>78</v>
      </c>
      <c r="G489" s="194">
        <f>G488</f>
        <v>269.775</v>
      </c>
      <c r="H489" s="188">
        <f>'Other Electriciy Rates'!$J$16</f>
        <v>0.07877</v>
      </c>
      <c r="I489" s="189">
        <f>+G489*H489</f>
        <v>21.25017675</v>
      </c>
      <c r="J489" s="194">
        <f>J488</f>
        <v>270</v>
      </c>
      <c r="K489" s="188">
        <f>'Other Electriciy Rates'!$J$31</f>
        <v>0.07877</v>
      </c>
      <c r="L489" s="211">
        <f>+J489*K489</f>
        <v>21.2679</v>
      </c>
      <c r="M489" s="212">
        <f>+L489-I489</f>
        <v>0.017723249999999524</v>
      </c>
      <c r="N489" s="213">
        <f t="shared" si="43"/>
        <v>0.0008340283569641143</v>
      </c>
      <c r="O489" s="226">
        <f>L489/L493</f>
        <v>0.5627979248358584</v>
      </c>
      <c r="P489" s="147"/>
    </row>
    <row r="490" spans="2:16" ht="18" customHeight="1" thickBot="1">
      <c r="B490" s="154"/>
      <c r="C490" s="31"/>
      <c r="D490" s="31"/>
      <c r="E490" s="31"/>
      <c r="F490" s="181" t="s">
        <v>235</v>
      </c>
      <c r="G490" s="279">
        <f>G489</f>
        <v>269.775</v>
      </c>
      <c r="H490" s="186">
        <f>'2012 Rate Rider'!$G$13</f>
        <v>0</v>
      </c>
      <c r="I490" s="189">
        <f>+G490*H490</f>
        <v>0</v>
      </c>
      <c r="J490" s="279">
        <f>G490</f>
        <v>269.775</v>
      </c>
      <c r="K490" s="186">
        <f>H490</f>
        <v>0</v>
      </c>
      <c r="L490" s="211">
        <f>+J490*K490</f>
        <v>0</v>
      </c>
      <c r="M490" s="212">
        <f>+L490-I490</f>
        <v>0</v>
      </c>
      <c r="N490" s="213" t="e">
        <f t="shared" si="43"/>
        <v>#DIV/0!</v>
      </c>
      <c r="O490" s="226">
        <f>L490/L493</f>
        <v>0</v>
      </c>
      <c r="P490" s="147"/>
    </row>
    <row r="491" spans="2:16" ht="21.75" customHeight="1" thickBot="1">
      <c r="B491" s="154"/>
      <c r="C491" s="31"/>
      <c r="D491" s="31"/>
      <c r="E491" s="31"/>
      <c r="F491" s="218" t="s">
        <v>192</v>
      </c>
      <c r="G491" s="530"/>
      <c r="H491" s="531"/>
      <c r="I491" s="220">
        <f>SUM(I487:I490)</f>
        <v>33.61564425</v>
      </c>
      <c r="J491" s="530"/>
      <c r="K491" s="531"/>
      <c r="L491" s="220">
        <f>SUM(L487:L490)</f>
        <v>33.44211059052344</v>
      </c>
      <c r="M491" s="220">
        <f>M485+M488+M489</f>
        <v>-0.22003112079512754</v>
      </c>
      <c r="N491" s="223">
        <f t="shared" si="43"/>
        <v>-0.006545497660516428</v>
      </c>
      <c r="O491" s="351">
        <f>L491/L493</f>
        <v>0.8849557522123893</v>
      </c>
      <c r="P491" s="284"/>
    </row>
    <row r="492" spans="2:16" ht="21.75" customHeight="1" thickBot="1">
      <c r="B492" s="154"/>
      <c r="C492" s="31"/>
      <c r="D492" s="31"/>
      <c r="E492" s="31"/>
      <c r="F492" s="278" t="s">
        <v>193</v>
      </c>
      <c r="G492" s="279"/>
      <c r="H492" s="283">
        <v>0.13</v>
      </c>
      <c r="I492" s="280">
        <f>I491*H492</f>
        <v>4.3700337525</v>
      </c>
      <c r="J492" s="279"/>
      <c r="K492" s="283">
        <v>0.13</v>
      </c>
      <c r="L492" s="281">
        <f>L491*K492</f>
        <v>4.347474376768048</v>
      </c>
      <c r="M492" s="212">
        <f>+L492-I492</f>
        <v>-0.022559375731952436</v>
      </c>
      <c r="N492" s="216">
        <f t="shared" si="43"/>
        <v>-0.00516228867089338</v>
      </c>
      <c r="O492" s="226">
        <f>L492/L493</f>
        <v>0.11504424778761063</v>
      </c>
      <c r="P492" s="147"/>
    </row>
    <row r="493" spans="2:17" ht="21.75" customHeight="1" thickBot="1">
      <c r="B493" s="352"/>
      <c r="C493" s="353"/>
      <c r="D493" s="353"/>
      <c r="E493" s="354"/>
      <c r="F493" s="355" t="s">
        <v>79</v>
      </c>
      <c r="G493" s="525"/>
      <c r="H493" s="526"/>
      <c r="I493" s="356">
        <f>I491+I492</f>
        <v>37.9856780025</v>
      </c>
      <c r="J493" s="525"/>
      <c r="K493" s="526"/>
      <c r="L493" s="356">
        <f>L491+L492</f>
        <v>37.78958496729149</v>
      </c>
      <c r="M493" s="356">
        <f>M491+M492</f>
        <v>-0.24259049652707998</v>
      </c>
      <c r="N493" s="357">
        <f t="shared" si="43"/>
        <v>-0.006386367422772184</v>
      </c>
      <c r="O493" s="358">
        <f>O491+O492</f>
        <v>1</v>
      </c>
      <c r="P493" s="359"/>
      <c r="Q493" s="360"/>
    </row>
    <row r="494" spans="2:16" ht="10.5" customHeight="1" thickBot="1">
      <c r="B494" s="148"/>
      <c r="C494" s="527"/>
      <c r="D494" s="527"/>
      <c r="E494" s="527"/>
      <c r="F494" s="527"/>
      <c r="G494" s="527"/>
      <c r="H494" s="527"/>
      <c r="I494" s="527"/>
      <c r="J494" s="527"/>
      <c r="K494" s="527"/>
      <c r="L494" s="527"/>
      <c r="M494" s="527"/>
      <c r="N494" s="527"/>
      <c r="O494" s="527"/>
      <c r="P494" s="149"/>
    </row>
    <row r="495" ht="17.25" customHeight="1" thickBot="1"/>
    <row r="496" spans="2:16" ht="21.75" customHeight="1">
      <c r="B496" s="156"/>
      <c r="C496" s="532" t="s">
        <v>191</v>
      </c>
      <c r="D496" s="532"/>
      <c r="E496" s="532"/>
      <c r="F496" s="532"/>
      <c r="G496" s="532"/>
      <c r="H496" s="532"/>
      <c r="I496" s="532"/>
      <c r="J496" s="532"/>
      <c r="K496" s="532"/>
      <c r="L496" s="532"/>
      <c r="M496" s="532"/>
      <c r="N496" s="532"/>
      <c r="O496" s="532"/>
      <c r="P496" s="146"/>
    </row>
    <row r="497" spans="2:16" ht="21.75" customHeight="1" thickBot="1">
      <c r="B497" s="154"/>
      <c r="C497" s="533"/>
      <c r="D497" s="533"/>
      <c r="E497" s="533"/>
      <c r="F497" s="533"/>
      <c r="G497" s="533"/>
      <c r="H497" s="533"/>
      <c r="I497" s="533"/>
      <c r="J497" s="533"/>
      <c r="K497" s="533"/>
      <c r="L497" s="533"/>
      <c r="M497" s="533"/>
      <c r="N497" s="533"/>
      <c r="O497" s="533"/>
      <c r="P497" s="147"/>
    </row>
    <row r="498" spans="2:16" ht="21.75" customHeight="1" thickBot="1">
      <c r="B498" s="154"/>
      <c r="C498" s="155"/>
      <c r="D498" s="155"/>
      <c r="E498" s="31"/>
      <c r="F498" s="37"/>
      <c r="G498" s="534" t="s">
        <v>196</v>
      </c>
      <c r="H498" s="535"/>
      <c r="I498" s="536"/>
      <c r="J498" s="534" t="s">
        <v>220</v>
      </c>
      <c r="K498" s="535"/>
      <c r="L498" s="536"/>
      <c r="M498" s="534" t="s">
        <v>73</v>
      </c>
      <c r="N498" s="535"/>
      <c r="O498" s="536"/>
      <c r="P498" s="147"/>
    </row>
    <row r="499" spans="2:16" ht="39" thickBot="1">
      <c r="B499" s="154"/>
      <c r="C499" s="31"/>
      <c r="D499" s="31"/>
      <c r="E499" s="33"/>
      <c r="F499" s="38"/>
      <c r="G499" s="196" t="s">
        <v>67</v>
      </c>
      <c r="H499" s="171" t="s">
        <v>68</v>
      </c>
      <c r="I499" s="172" t="s">
        <v>69</v>
      </c>
      <c r="J499" s="196" t="s">
        <v>67</v>
      </c>
      <c r="K499" s="171" t="s">
        <v>68</v>
      </c>
      <c r="L499" s="172" t="s">
        <v>69</v>
      </c>
      <c r="M499" s="198" t="s">
        <v>74</v>
      </c>
      <c r="N499" s="199" t="s">
        <v>75</v>
      </c>
      <c r="O499" s="200" t="s">
        <v>76</v>
      </c>
      <c r="P499" s="147"/>
    </row>
    <row r="500" spans="2:16" ht="21.75" customHeight="1" thickBot="1">
      <c r="B500" s="154"/>
      <c r="C500" s="528" t="s">
        <v>70</v>
      </c>
      <c r="D500" s="529"/>
      <c r="E500" s="31"/>
      <c r="F500" s="180" t="s">
        <v>71</v>
      </c>
      <c r="G500" s="190"/>
      <c r="H500" s="191"/>
      <c r="I500" s="192">
        <f>I479</f>
        <v>5.54</v>
      </c>
      <c r="J500" s="190"/>
      <c r="K500" s="191"/>
      <c r="L500" s="195">
        <f>'Rate Schedule (Part 1)'!$E$58</f>
        <v>6.9494</v>
      </c>
      <c r="M500" s="204">
        <f aca="true" t="shared" si="44" ref="M500:M505">+L500-I500</f>
        <v>1.4093999999999998</v>
      </c>
      <c r="N500" s="205">
        <f aca="true" t="shared" si="45" ref="N500:N514">+M500/I500</f>
        <v>0.25440433212996383</v>
      </c>
      <c r="O500" s="206">
        <f>L500/L514</f>
        <v>0.10260999170828523</v>
      </c>
      <c r="P500" s="147"/>
    </row>
    <row r="501" spans="2:16" ht="21.75" customHeight="1" thickBot="1">
      <c r="B501" s="154"/>
      <c r="C501" s="150">
        <v>500</v>
      </c>
      <c r="D501" s="151" t="s">
        <v>16</v>
      </c>
      <c r="E501" s="31"/>
      <c r="F501" s="181" t="s">
        <v>72</v>
      </c>
      <c r="G501" s="184">
        <f>+C501</f>
        <v>500</v>
      </c>
      <c r="H501" s="178">
        <f>'2011 Existing Rates'!$B$66</f>
        <v>0.0017</v>
      </c>
      <c r="I501" s="193">
        <f>+G501*H501</f>
        <v>0.85</v>
      </c>
      <c r="J501" s="184">
        <f>+C501</f>
        <v>500</v>
      </c>
      <c r="K501" s="177">
        <f>'Rate Schedule (Part 1)'!$E$59</f>
        <v>0.0021</v>
      </c>
      <c r="L501" s="197">
        <f>+J501*K501</f>
        <v>1.05</v>
      </c>
      <c r="M501" s="207">
        <f t="shared" si="44"/>
        <v>0.20000000000000007</v>
      </c>
      <c r="N501" s="201">
        <f t="shared" si="45"/>
        <v>0.2352941176470589</v>
      </c>
      <c r="O501" s="208">
        <f>L501/L514</f>
        <v>0.015503567400595664</v>
      </c>
      <c r="P501" s="147"/>
    </row>
    <row r="502" spans="2:16" ht="21.75" customHeight="1">
      <c r="B502" s="154"/>
      <c r="C502" s="63"/>
      <c r="D502" s="424"/>
      <c r="E502" s="31"/>
      <c r="F502" s="181" t="s">
        <v>222</v>
      </c>
      <c r="G502" s="184">
        <f>G501</f>
        <v>500</v>
      </c>
      <c r="H502" s="178">
        <f>'2011 Existing Rates'!$B$40</f>
        <v>0.0014</v>
      </c>
      <c r="I502" s="193">
        <f>+G502*H502</f>
        <v>0.7</v>
      </c>
      <c r="J502" s="184">
        <f>J501</f>
        <v>500</v>
      </c>
      <c r="K502" s="177">
        <f>'Rate Schedule (Part 1)'!$E$60</f>
        <v>0.0011</v>
      </c>
      <c r="L502" s="197">
        <f>+J502*K502</f>
        <v>0.55</v>
      </c>
      <c r="M502" s="207">
        <f t="shared" si="44"/>
        <v>-0.1499999999999999</v>
      </c>
      <c r="N502" s="201">
        <f t="shared" si="45"/>
        <v>-0.21428571428571416</v>
      </c>
      <c r="O502" s="208">
        <f>L502/L514</f>
        <v>0.008120916257454872</v>
      </c>
      <c r="P502" s="147"/>
    </row>
    <row r="503" spans="2:16" ht="21.75" customHeight="1">
      <c r="B503" s="154"/>
      <c r="C503" s="63"/>
      <c r="D503" s="64"/>
      <c r="E503" s="31"/>
      <c r="F503" s="181" t="s">
        <v>160</v>
      </c>
      <c r="G503" s="184">
        <f>C501</f>
        <v>500</v>
      </c>
      <c r="H503" s="178"/>
      <c r="I503" s="189">
        <f>+G503*H503</f>
        <v>0</v>
      </c>
      <c r="J503" s="184">
        <f>C501</f>
        <v>500</v>
      </c>
      <c r="K503" s="177">
        <f>'Rate Schedule (Part 1)'!$E$61</f>
        <v>0</v>
      </c>
      <c r="L503" s="197">
        <f>J503*K503</f>
        <v>0</v>
      </c>
      <c r="M503" s="207">
        <f t="shared" si="44"/>
        <v>0</v>
      </c>
      <c r="N503" s="201" t="e">
        <f t="shared" si="45"/>
        <v>#DIV/0!</v>
      </c>
      <c r="O503" s="208">
        <f>L503/L514</f>
        <v>0</v>
      </c>
      <c r="P503" s="147"/>
    </row>
    <row r="504" spans="2:16" ht="17.25" customHeight="1">
      <c r="B504" s="154"/>
      <c r="C504" s="63"/>
      <c r="D504" s="64"/>
      <c r="E504" s="31"/>
      <c r="F504" s="419" t="s">
        <v>272</v>
      </c>
      <c r="G504" s="436"/>
      <c r="H504" s="202"/>
      <c r="I504" s="193">
        <f>I483</f>
        <v>0.04</v>
      </c>
      <c r="J504" s="194">
        <f>J503</f>
        <v>500</v>
      </c>
      <c r="K504" s="420">
        <f>'2012 Rate Rider'!$F$13</f>
        <v>0</v>
      </c>
      <c r="L504" s="193">
        <f>+J504*K504</f>
        <v>0</v>
      </c>
      <c r="M504" s="207">
        <f t="shared" si="44"/>
        <v>-0.04</v>
      </c>
      <c r="N504" s="201">
        <f t="shared" si="45"/>
        <v>-1</v>
      </c>
      <c r="O504" s="208">
        <f>L504/L514</f>
        <v>0</v>
      </c>
      <c r="P504" s="147"/>
    </row>
    <row r="505" spans="2:16" ht="21.75" customHeight="1" thickBot="1">
      <c r="B505" s="154"/>
      <c r="C505" s="31"/>
      <c r="D505" s="31"/>
      <c r="E505" s="31"/>
      <c r="F505" s="182" t="s">
        <v>221</v>
      </c>
      <c r="G505" s="209">
        <f>+C501</f>
        <v>500</v>
      </c>
      <c r="H505" s="210">
        <f>'2011 Existing Rates'!$B$27</f>
        <v>0.0001</v>
      </c>
      <c r="I505" s="211">
        <f>+G505*H505</f>
        <v>0.05</v>
      </c>
      <c r="J505" s="209">
        <f>+C501</f>
        <v>500</v>
      </c>
      <c r="K505" s="210">
        <f>K484</f>
        <v>-0.006218467483180508</v>
      </c>
      <c r="L505" s="211">
        <f>+J505*K505</f>
        <v>-3.109233741590254</v>
      </c>
      <c r="M505" s="207">
        <f t="shared" si="44"/>
        <v>-3.1592337415902536</v>
      </c>
      <c r="N505" s="201">
        <f t="shared" si="45"/>
        <v>-63.18467483180507</v>
      </c>
      <c r="O505" s="208">
        <f>L505/L514</f>
        <v>-0.04590877607328642</v>
      </c>
      <c r="P505" s="147"/>
    </row>
    <row r="506" spans="2:16" ht="21.75" customHeight="1" thickBot="1">
      <c r="B506" s="154"/>
      <c r="C506" s="31"/>
      <c r="D506" s="31"/>
      <c r="E506" s="31"/>
      <c r="F506" s="218" t="s">
        <v>223</v>
      </c>
      <c r="G506" s="530"/>
      <c r="H506" s="531"/>
      <c r="I506" s="220">
        <f>SUM(I500:I505)</f>
        <v>7.18</v>
      </c>
      <c r="J506" s="530"/>
      <c r="K506" s="531"/>
      <c r="L506" s="220">
        <f>SUM(L500:L505)</f>
        <v>5.4401662584097465</v>
      </c>
      <c r="M506" s="222">
        <f>SUM(M500:M505)</f>
        <v>-1.7398337415902536</v>
      </c>
      <c r="N506" s="223">
        <f t="shared" si="45"/>
        <v>-0.24231667710170665</v>
      </c>
      <c r="O506" s="225">
        <f>L506/L514</f>
        <v>0.08032569929304936</v>
      </c>
      <c r="P506" s="147"/>
    </row>
    <row r="507" spans="2:16" ht="21.75" customHeight="1" thickBot="1">
      <c r="B507" s="154"/>
      <c r="C507" s="31"/>
      <c r="D507" s="31"/>
      <c r="E507" s="31"/>
      <c r="F507" s="181" t="s">
        <v>224</v>
      </c>
      <c r="G507" s="348">
        <f>C501*'Other Electriciy Rates'!$L$16</f>
        <v>539.55</v>
      </c>
      <c r="H507" s="349">
        <f>'Other Electriciy Rates'!$B$16</f>
        <v>0.0092</v>
      </c>
      <c r="I507" s="193">
        <f>+G507*H507</f>
        <v>4.9638599999999995</v>
      </c>
      <c r="J507" s="348">
        <f>C501*'Other Electriciy Rates'!$L$31</f>
        <v>540</v>
      </c>
      <c r="K507" s="349">
        <f>'Other Electriciy Rates'!$B$31</f>
        <v>0.009364546153031724</v>
      </c>
      <c r="L507" s="193">
        <f>+J507*K507</f>
        <v>5.056854922637131</v>
      </c>
      <c r="M507" s="350">
        <f>+L507-I507</f>
        <v>0.09299492263713116</v>
      </c>
      <c r="N507" s="205">
        <f t="shared" si="45"/>
        <v>0.018734396747114378</v>
      </c>
      <c r="O507" s="206">
        <f>L507/L514</f>
        <v>0.07466599155060831</v>
      </c>
      <c r="P507" s="147"/>
    </row>
    <row r="508" spans="2:16" ht="21.75" customHeight="1" thickBot="1">
      <c r="B508" s="154"/>
      <c r="C508" s="31"/>
      <c r="D508" s="31"/>
      <c r="E508" s="31"/>
      <c r="F508" s="218" t="s">
        <v>225</v>
      </c>
      <c r="G508" s="530"/>
      <c r="H508" s="531"/>
      <c r="I508" s="220">
        <f>I506+I507</f>
        <v>12.14386</v>
      </c>
      <c r="J508" s="530"/>
      <c r="K508" s="531"/>
      <c r="L508" s="220">
        <f>L506+L507</f>
        <v>10.497021181046877</v>
      </c>
      <c r="M508" s="220">
        <f>M506+M507</f>
        <v>-1.6468388189531225</v>
      </c>
      <c r="N508" s="223">
        <f t="shared" si="45"/>
        <v>-0.13561082052602075</v>
      </c>
      <c r="O508" s="351">
        <f>L508/L514</f>
        <v>0.15499169084365766</v>
      </c>
      <c r="P508" s="147"/>
    </row>
    <row r="509" spans="2:16" ht="21.75" customHeight="1">
      <c r="B509" s="154"/>
      <c r="C509" s="31"/>
      <c r="D509" s="31"/>
      <c r="E509" s="31"/>
      <c r="F509" s="183" t="s">
        <v>77</v>
      </c>
      <c r="G509" s="185">
        <f>G507</f>
        <v>539.55</v>
      </c>
      <c r="H509" s="186">
        <f>'Other Electriciy Rates'!$C$16+'Other Electriciy Rates'!$D$16</f>
        <v>0.012986887220832175</v>
      </c>
      <c r="I509" s="187">
        <f>+G509*H509</f>
        <v>7.0070749999999995</v>
      </c>
      <c r="J509" s="185">
        <f>J507</f>
        <v>540</v>
      </c>
      <c r="K509" s="186">
        <f>'Other Electriciy Rates'!$C$31+'Other Electriciy Rates'!$D$31</f>
        <v>0.01278148148148148</v>
      </c>
      <c r="L509" s="214">
        <f>+J509*K509</f>
        <v>6.901999999999999</v>
      </c>
      <c r="M509" s="215">
        <f>+L509-I509</f>
        <v>-0.10507500000000025</v>
      </c>
      <c r="N509" s="216">
        <f t="shared" si="45"/>
        <v>-0.014995558060959853</v>
      </c>
      <c r="O509" s="282">
        <f>L509/L514</f>
        <v>0.10191011637991548</v>
      </c>
      <c r="P509" s="147"/>
    </row>
    <row r="510" spans="2:16" ht="21.75" customHeight="1" thickBot="1">
      <c r="B510" s="154"/>
      <c r="C510" s="31"/>
      <c r="D510" s="31"/>
      <c r="E510" s="31"/>
      <c r="F510" s="181" t="s">
        <v>78</v>
      </c>
      <c r="G510" s="194">
        <f>G509</f>
        <v>539.55</v>
      </c>
      <c r="H510" s="188">
        <f>'Other Electriciy Rates'!$J$16</f>
        <v>0.07877</v>
      </c>
      <c r="I510" s="189">
        <f>+G510*H510</f>
        <v>42.5003535</v>
      </c>
      <c r="J510" s="194">
        <f>J509</f>
        <v>540</v>
      </c>
      <c r="K510" s="188">
        <f>'Other Electriciy Rates'!$J$31</f>
        <v>0.07877</v>
      </c>
      <c r="L510" s="211">
        <f>+J510*K510</f>
        <v>42.5358</v>
      </c>
      <c r="M510" s="212">
        <f>+L510-I510</f>
        <v>0.03544649999999905</v>
      </c>
      <c r="N510" s="213">
        <f t="shared" si="45"/>
        <v>0.0008340283569641143</v>
      </c>
      <c r="O510" s="226">
        <f>L510/L514</f>
        <v>0.6280539449888162</v>
      </c>
      <c r="P510" s="147"/>
    </row>
    <row r="511" spans="2:16" ht="18" customHeight="1" thickBot="1">
      <c r="B511" s="154"/>
      <c r="C511" s="31"/>
      <c r="D511" s="31"/>
      <c r="E511" s="31"/>
      <c r="F511" s="181" t="s">
        <v>235</v>
      </c>
      <c r="G511" s="279">
        <f>G510</f>
        <v>539.55</v>
      </c>
      <c r="H511" s="186">
        <f>'2012 Rate Rider'!$G$13</f>
        <v>0</v>
      </c>
      <c r="I511" s="189">
        <f>+G511*H511</f>
        <v>0</v>
      </c>
      <c r="J511" s="279">
        <f>G511</f>
        <v>539.55</v>
      </c>
      <c r="K511" s="186">
        <f>H511</f>
        <v>0</v>
      </c>
      <c r="L511" s="211">
        <f>+J511*K511</f>
        <v>0</v>
      </c>
      <c r="M511" s="212">
        <f>+L511-I511</f>
        <v>0</v>
      </c>
      <c r="N511" s="213" t="e">
        <f t="shared" si="45"/>
        <v>#DIV/0!</v>
      </c>
      <c r="O511" s="226">
        <f>L511/L514</f>
        <v>0</v>
      </c>
      <c r="P511" s="147"/>
    </row>
    <row r="512" spans="2:16" ht="21.75" customHeight="1" thickBot="1">
      <c r="B512" s="154"/>
      <c r="C512" s="31"/>
      <c r="D512" s="31"/>
      <c r="E512" s="31"/>
      <c r="F512" s="218" t="s">
        <v>192</v>
      </c>
      <c r="G512" s="530"/>
      <c r="H512" s="531"/>
      <c r="I512" s="220">
        <f>SUM(I508:I511)</f>
        <v>61.65128850000001</v>
      </c>
      <c r="J512" s="530"/>
      <c r="K512" s="531"/>
      <c r="L512" s="220">
        <f>SUM(L508:L511)</f>
        <v>59.93482118104688</v>
      </c>
      <c r="M512" s="220">
        <f>M506+M509+M510</f>
        <v>-1.8094622415902548</v>
      </c>
      <c r="N512" s="223">
        <f t="shared" si="45"/>
        <v>-0.029349950108346148</v>
      </c>
      <c r="O512" s="351">
        <f>L512/L514</f>
        <v>0.8849557522123893</v>
      </c>
      <c r="P512" s="284"/>
    </row>
    <row r="513" spans="2:16" ht="21.75" customHeight="1" thickBot="1">
      <c r="B513" s="154"/>
      <c r="C513" s="31"/>
      <c r="D513" s="31"/>
      <c r="E513" s="31"/>
      <c r="F513" s="278" t="s">
        <v>193</v>
      </c>
      <c r="G513" s="279"/>
      <c r="H513" s="283">
        <v>0.13</v>
      </c>
      <c r="I513" s="280">
        <f>I512*H513</f>
        <v>8.014667505000002</v>
      </c>
      <c r="J513" s="279"/>
      <c r="K513" s="283">
        <v>0.13</v>
      </c>
      <c r="L513" s="281">
        <f>L512*K513</f>
        <v>7.791526753536094</v>
      </c>
      <c r="M513" s="212">
        <f>+L513-I513</f>
        <v>-0.22314075146390788</v>
      </c>
      <c r="N513" s="216">
        <f t="shared" si="45"/>
        <v>-0.027841548177101556</v>
      </c>
      <c r="O513" s="226">
        <f>L513/L514</f>
        <v>0.11504424778761062</v>
      </c>
      <c r="P513" s="147"/>
    </row>
    <row r="514" spans="2:17" ht="21.75" customHeight="1" thickBot="1">
      <c r="B514" s="352"/>
      <c r="C514" s="353"/>
      <c r="D514" s="353"/>
      <c r="E514" s="354"/>
      <c r="F514" s="355" t="s">
        <v>79</v>
      </c>
      <c r="G514" s="525"/>
      <c r="H514" s="526"/>
      <c r="I514" s="356">
        <f>I512+I513</f>
        <v>69.66595600500001</v>
      </c>
      <c r="J514" s="525"/>
      <c r="K514" s="526"/>
      <c r="L514" s="356">
        <f>L512+L513</f>
        <v>67.72634793458298</v>
      </c>
      <c r="M514" s="356">
        <f>M512+M513</f>
        <v>-2.0326029930541627</v>
      </c>
      <c r="N514" s="357">
        <f t="shared" si="45"/>
        <v>-0.029176417142804733</v>
      </c>
      <c r="O514" s="358">
        <f>O512+O513</f>
        <v>0.9999999999999999</v>
      </c>
      <c r="P514" s="359"/>
      <c r="Q514" s="360"/>
    </row>
    <row r="515" spans="2:16" ht="10.5" customHeight="1" thickBot="1">
      <c r="B515" s="148"/>
      <c r="C515" s="527"/>
      <c r="D515" s="527"/>
      <c r="E515" s="527"/>
      <c r="F515" s="527"/>
      <c r="G515" s="527"/>
      <c r="H515" s="527"/>
      <c r="I515" s="527"/>
      <c r="J515" s="527"/>
      <c r="K515" s="527"/>
      <c r="L515" s="527"/>
      <c r="M515" s="527"/>
      <c r="N515" s="527"/>
      <c r="O515" s="527"/>
      <c r="P515" s="149"/>
    </row>
    <row r="516" ht="6.75" customHeight="1"/>
    <row r="518" ht="18" customHeight="1"/>
    <row r="519" ht="18" customHeight="1"/>
    <row r="520" ht="18" customHeight="1"/>
    <row r="521" ht="18" customHeight="1"/>
    <row r="522" ht="18" customHeight="1"/>
    <row r="523" ht="6.75" customHeight="1"/>
  </sheetData>
  <sheetProtection/>
  <mergeCells count="322">
    <mergeCell ref="B1:O1"/>
    <mergeCell ref="B2:O2"/>
    <mergeCell ref="B3:O3"/>
    <mergeCell ref="C4:O4"/>
    <mergeCell ref="C5:O5"/>
    <mergeCell ref="C6:O6"/>
    <mergeCell ref="B7:O7"/>
    <mergeCell ref="C8:O8"/>
    <mergeCell ref="C9:O9"/>
    <mergeCell ref="G10:I10"/>
    <mergeCell ref="J10:L10"/>
    <mergeCell ref="M10:O10"/>
    <mergeCell ref="C12:D12"/>
    <mergeCell ref="G20:H20"/>
    <mergeCell ref="J20:K20"/>
    <mergeCell ref="G22:H22"/>
    <mergeCell ref="J22:K22"/>
    <mergeCell ref="G26:H26"/>
    <mergeCell ref="J26:K26"/>
    <mergeCell ref="G28:H28"/>
    <mergeCell ref="J28:K28"/>
    <mergeCell ref="C29:O29"/>
    <mergeCell ref="C31:O31"/>
    <mergeCell ref="C32:O32"/>
    <mergeCell ref="G33:I33"/>
    <mergeCell ref="J33:L33"/>
    <mergeCell ref="M33:O33"/>
    <mergeCell ref="C35:D35"/>
    <mergeCell ref="G43:H43"/>
    <mergeCell ref="J43:K43"/>
    <mergeCell ref="G45:H45"/>
    <mergeCell ref="J45:K45"/>
    <mergeCell ref="G49:H49"/>
    <mergeCell ref="J49:K49"/>
    <mergeCell ref="G51:H51"/>
    <mergeCell ref="J51:K51"/>
    <mergeCell ref="C52:O52"/>
    <mergeCell ref="C54:O54"/>
    <mergeCell ref="C55:O55"/>
    <mergeCell ref="G56:I56"/>
    <mergeCell ref="J56:L56"/>
    <mergeCell ref="M56:O56"/>
    <mergeCell ref="C58:D58"/>
    <mergeCell ref="G66:H66"/>
    <mergeCell ref="J66:K66"/>
    <mergeCell ref="G68:H68"/>
    <mergeCell ref="J68:K68"/>
    <mergeCell ref="G72:H72"/>
    <mergeCell ref="J72:K72"/>
    <mergeCell ref="G74:H74"/>
    <mergeCell ref="J74:K74"/>
    <mergeCell ref="C75:O75"/>
    <mergeCell ref="C77:O77"/>
    <mergeCell ref="C78:O78"/>
    <mergeCell ref="C79:O79"/>
    <mergeCell ref="G80:I80"/>
    <mergeCell ref="J80:L80"/>
    <mergeCell ref="M80:O80"/>
    <mergeCell ref="C82:D82"/>
    <mergeCell ref="G90:H90"/>
    <mergeCell ref="J90:K90"/>
    <mergeCell ref="G92:H92"/>
    <mergeCell ref="J92:K92"/>
    <mergeCell ref="G97:H97"/>
    <mergeCell ref="J97:K97"/>
    <mergeCell ref="G99:H99"/>
    <mergeCell ref="J99:K99"/>
    <mergeCell ref="C103:O103"/>
    <mergeCell ref="C104:O104"/>
    <mergeCell ref="C105:O105"/>
    <mergeCell ref="G106:I106"/>
    <mergeCell ref="J106:L106"/>
    <mergeCell ref="M106:O106"/>
    <mergeCell ref="C108:D108"/>
    <mergeCell ref="G116:H116"/>
    <mergeCell ref="J116:K116"/>
    <mergeCell ref="G118:H118"/>
    <mergeCell ref="J118:K118"/>
    <mergeCell ref="G124:H124"/>
    <mergeCell ref="J124:K124"/>
    <mergeCell ref="G126:H126"/>
    <mergeCell ref="J126:K126"/>
    <mergeCell ref="C131:O131"/>
    <mergeCell ref="C132:O132"/>
    <mergeCell ref="C133:O133"/>
    <mergeCell ref="G134:I134"/>
    <mergeCell ref="J134:L134"/>
    <mergeCell ref="M134:O134"/>
    <mergeCell ref="C136:D136"/>
    <mergeCell ref="G144:H144"/>
    <mergeCell ref="J144:K144"/>
    <mergeCell ref="G146:H146"/>
    <mergeCell ref="J146:K146"/>
    <mergeCell ref="G151:H151"/>
    <mergeCell ref="J151:K151"/>
    <mergeCell ref="G153:H153"/>
    <mergeCell ref="J153:K153"/>
    <mergeCell ref="C156:O156"/>
    <mergeCell ref="C157:O157"/>
    <mergeCell ref="C158:O158"/>
    <mergeCell ref="G159:I159"/>
    <mergeCell ref="J159:L159"/>
    <mergeCell ref="M159:O159"/>
    <mergeCell ref="C161:D161"/>
    <mergeCell ref="G169:H169"/>
    <mergeCell ref="J169:K169"/>
    <mergeCell ref="G171:H171"/>
    <mergeCell ref="J171:K171"/>
    <mergeCell ref="G176:H176"/>
    <mergeCell ref="J176:K176"/>
    <mergeCell ref="G178:H178"/>
    <mergeCell ref="J178:K178"/>
    <mergeCell ref="C181:O181"/>
    <mergeCell ref="C182:O182"/>
    <mergeCell ref="C183:O183"/>
    <mergeCell ref="G184:I184"/>
    <mergeCell ref="J184:L184"/>
    <mergeCell ref="M184:O184"/>
    <mergeCell ref="C186:D186"/>
    <mergeCell ref="G194:H194"/>
    <mergeCell ref="J194:K194"/>
    <mergeCell ref="G196:H196"/>
    <mergeCell ref="J196:K196"/>
    <mergeCell ref="G202:H202"/>
    <mergeCell ref="J202:K202"/>
    <mergeCell ref="G204:H204"/>
    <mergeCell ref="J204:K204"/>
    <mergeCell ref="C210:O210"/>
    <mergeCell ref="C211:O211"/>
    <mergeCell ref="C212:O212"/>
    <mergeCell ref="G213:I213"/>
    <mergeCell ref="J213:L213"/>
    <mergeCell ref="M213:O213"/>
    <mergeCell ref="C215:D215"/>
    <mergeCell ref="G223:H223"/>
    <mergeCell ref="J223:K223"/>
    <mergeCell ref="G225:H225"/>
    <mergeCell ref="J225:K225"/>
    <mergeCell ref="G230:H230"/>
    <mergeCell ref="J230:K230"/>
    <mergeCell ref="G232:H232"/>
    <mergeCell ref="J232:K232"/>
    <mergeCell ref="C235:O235"/>
    <mergeCell ref="C236:O236"/>
    <mergeCell ref="C237:O237"/>
    <mergeCell ref="G238:I238"/>
    <mergeCell ref="J238:L238"/>
    <mergeCell ref="M238:O238"/>
    <mergeCell ref="C240:D240"/>
    <mergeCell ref="G248:H248"/>
    <mergeCell ref="J248:K248"/>
    <mergeCell ref="G250:H250"/>
    <mergeCell ref="J250:K250"/>
    <mergeCell ref="G255:H255"/>
    <mergeCell ref="J255:K255"/>
    <mergeCell ref="G257:H257"/>
    <mergeCell ref="J257:K257"/>
    <mergeCell ref="C260:O260"/>
    <mergeCell ref="C261:O261"/>
    <mergeCell ref="C262:O262"/>
    <mergeCell ref="G263:I263"/>
    <mergeCell ref="J263:L263"/>
    <mergeCell ref="M263:O263"/>
    <mergeCell ref="C265:D265"/>
    <mergeCell ref="G273:H273"/>
    <mergeCell ref="J273:K273"/>
    <mergeCell ref="G275:H275"/>
    <mergeCell ref="J275:K275"/>
    <mergeCell ref="G280:H280"/>
    <mergeCell ref="J280:K280"/>
    <mergeCell ref="G282:H282"/>
    <mergeCell ref="J282:K282"/>
    <mergeCell ref="C285:O285"/>
    <mergeCell ref="C286:O286"/>
    <mergeCell ref="C287:O287"/>
    <mergeCell ref="G288:I288"/>
    <mergeCell ref="J288:L288"/>
    <mergeCell ref="M288:O288"/>
    <mergeCell ref="C290:D290"/>
    <mergeCell ref="G298:H298"/>
    <mergeCell ref="J298:K298"/>
    <mergeCell ref="G300:H300"/>
    <mergeCell ref="J300:K300"/>
    <mergeCell ref="G305:H305"/>
    <mergeCell ref="J305:K305"/>
    <mergeCell ref="G307:H307"/>
    <mergeCell ref="J307:K307"/>
    <mergeCell ref="C310:O310"/>
    <mergeCell ref="C311:O311"/>
    <mergeCell ref="C312:O312"/>
    <mergeCell ref="G313:I313"/>
    <mergeCell ref="J313:L313"/>
    <mergeCell ref="M313:O313"/>
    <mergeCell ref="C315:D315"/>
    <mergeCell ref="G323:H323"/>
    <mergeCell ref="J323:K323"/>
    <mergeCell ref="G325:H325"/>
    <mergeCell ref="J325:K325"/>
    <mergeCell ref="G329:H329"/>
    <mergeCell ref="J329:K329"/>
    <mergeCell ref="G331:H331"/>
    <mergeCell ref="J331:K331"/>
    <mergeCell ref="C334:O334"/>
    <mergeCell ref="C335:O335"/>
    <mergeCell ref="C336:O336"/>
    <mergeCell ref="G337:I337"/>
    <mergeCell ref="J337:L337"/>
    <mergeCell ref="M337:O337"/>
    <mergeCell ref="C339:D339"/>
    <mergeCell ref="G347:H347"/>
    <mergeCell ref="J347:K347"/>
    <mergeCell ref="G349:H349"/>
    <mergeCell ref="J349:K349"/>
    <mergeCell ref="G353:H353"/>
    <mergeCell ref="J353:K353"/>
    <mergeCell ref="G355:H355"/>
    <mergeCell ref="J355:K355"/>
    <mergeCell ref="C358:O358"/>
    <mergeCell ref="C359:O359"/>
    <mergeCell ref="C360:O360"/>
    <mergeCell ref="G361:I361"/>
    <mergeCell ref="J361:L361"/>
    <mergeCell ref="M361:O361"/>
    <mergeCell ref="C363:D363"/>
    <mergeCell ref="G371:H371"/>
    <mergeCell ref="J371:K371"/>
    <mergeCell ref="G373:H373"/>
    <mergeCell ref="J373:K373"/>
    <mergeCell ref="G377:H377"/>
    <mergeCell ref="J377:K377"/>
    <mergeCell ref="G379:H379"/>
    <mergeCell ref="J379:K379"/>
    <mergeCell ref="C382:O382"/>
    <mergeCell ref="C383:O383"/>
    <mergeCell ref="C384:O384"/>
    <mergeCell ref="G385:I385"/>
    <mergeCell ref="J385:L385"/>
    <mergeCell ref="M385:O385"/>
    <mergeCell ref="C387:D387"/>
    <mergeCell ref="G395:H395"/>
    <mergeCell ref="J395:K395"/>
    <mergeCell ref="G397:H397"/>
    <mergeCell ref="J397:K397"/>
    <mergeCell ref="G401:H401"/>
    <mergeCell ref="J401:K401"/>
    <mergeCell ref="G403:H403"/>
    <mergeCell ref="J403:K403"/>
    <mergeCell ref="C406:O406"/>
    <mergeCell ref="C407:O407"/>
    <mergeCell ref="C408:O408"/>
    <mergeCell ref="G409:I409"/>
    <mergeCell ref="J409:L409"/>
    <mergeCell ref="M409:O409"/>
    <mergeCell ref="C411:D411"/>
    <mergeCell ref="G419:H419"/>
    <mergeCell ref="J419:K419"/>
    <mergeCell ref="G421:H421"/>
    <mergeCell ref="J421:K421"/>
    <mergeCell ref="G425:H425"/>
    <mergeCell ref="J425:K425"/>
    <mergeCell ref="G427:H427"/>
    <mergeCell ref="J427:K427"/>
    <mergeCell ref="C431:O431"/>
    <mergeCell ref="C432:O432"/>
    <mergeCell ref="C433:O433"/>
    <mergeCell ref="G434:I434"/>
    <mergeCell ref="J434:L434"/>
    <mergeCell ref="M434:O434"/>
    <mergeCell ref="C436:D436"/>
    <mergeCell ref="G442:H442"/>
    <mergeCell ref="J442:K442"/>
    <mergeCell ref="G444:H444"/>
    <mergeCell ref="J444:K444"/>
    <mergeCell ref="G448:H448"/>
    <mergeCell ref="J448:K448"/>
    <mergeCell ref="G450:H450"/>
    <mergeCell ref="J450:K450"/>
    <mergeCell ref="C453:O453"/>
    <mergeCell ref="C454:O454"/>
    <mergeCell ref="C455:O455"/>
    <mergeCell ref="G456:I456"/>
    <mergeCell ref="J456:L456"/>
    <mergeCell ref="M456:O456"/>
    <mergeCell ref="C458:D458"/>
    <mergeCell ref="G464:H464"/>
    <mergeCell ref="J464:K464"/>
    <mergeCell ref="G466:H466"/>
    <mergeCell ref="J466:K466"/>
    <mergeCell ref="G470:H470"/>
    <mergeCell ref="J470:K470"/>
    <mergeCell ref="G472:H472"/>
    <mergeCell ref="J472:K472"/>
    <mergeCell ref="C475:O475"/>
    <mergeCell ref="C476:O476"/>
    <mergeCell ref="G477:I477"/>
    <mergeCell ref="J477:L477"/>
    <mergeCell ref="M477:O477"/>
    <mergeCell ref="C479:D479"/>
    <mergeCell ref="G485:H485"/>
    <mergeCell ref="J485:K485"/>
    <mergeCell ref="G487:H487"/>
    <mergeCell ref="J487:K487"/>
    <mergeCell ref="G491:H491"/>
    <mergeCell ref="J491:K491"/>
    <mergeCell ref="G493:H493"/>
    <mergeCell ref="J493:K493"/>
    <mergeCell ref="C494:O494"/>
    <mergeCell ref="C496:O496"/>
    <mergeCell ref="C497:O497"/>
    <mergeCell ref="G498:I498"/>
    <mergeCell ref="J498:L498"/>
    <mergeCell ref="M498:O498"/>
    <mergeCell ref="G514:H514"/>
    <mergeCell ref="J514:K514"/>
    <mergeCell ref="C515:O515"/>
    <mergeCell ref="C500:D500"/>
    <mergeCell ref="G506:H506"/>
    <mergeCell ref="J506:K506"/>
    <mergeCell ref="G508:H508"/>
    <mergeCell ref="J508:K508"/>
    <mergeCell ref="G512:H512"/>
    <mergeCell ref="J512:K512"/>
  </mergeCells>
  <printOptions/>
  <pageMargins left="0.75" right="0.75" top="1" bottom="1" header="0.5" footer="0.5"/>
  <pageSetup fitToHeight="1" fitToWidth="1" horizontalDpi="355" verticalDpi="355" orientation="landscape" scale="10" r:id="rId1"/>
  <rowBreaks count="2" manualBreakCount="2">
    <brk id="76" max="255" man="1"/>
    <brk id="48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1" width="2.7109375" style="0" customWidth="1"/>
    <col min="2" max="2" width="32.28125" style="0" bestFit="1" customWidth="1"/>
    <col min="3" max="3" width="38.7109375" style="0" bestFit="1" customWidth="1"/>
    <col min="4" max="4" width="13.00390625" style="0" customWidth="1"/>
    <col min="5" max="5" width="16.28125" style="0" customWidth="1"/>
  </cols>
  <sheetData>
    <row r="1" spans="1:5" ht="12.75">
      <c r="A1" s="493" t="str">
        <f>+'Revenue Input'!A1</f>
        <v>E.L.K. Energy Inc., </v>
      </c>
      <c r="B1" s="493"/>
      <c r="C1" s="493"/>
      <c r="D1" s="493"/>
      <c r="E1" s="493"/>
    </row>
    <row r="2" spans="1:5" ht="12.75">
      <c r="A2" s="493" t="str">
        <f>+'Revenue Input'!A2</f>
        <v>ED-2003-0015 , EB-2011-099</v>
      </c>
      <c r="B2" s="493"/>
      <c r="C2" s="493"/>
      <c r="D2" s="493"/>
      <c r="E2" s="493"/>
    </row>
    <row r="3" spans="1:5" ht="12.75">
      <c r="A3" s="493">
        <f>+'Revenue Input'!A3</f>
        <v>0</v>
      </c>
      <c r="B3" s="493"/>
      <c r="C3" s="493"/>
      <c r="D3" s="493"/>
      <c r="E3" s="493"/>
    </row>
    <row r="4" spans="1:5" ht="8.25" customHeight="1">
      <c r="A4" s="471"/>
      <c r="B4" s="471"/>
      <c r="C4" s="471"/>
      <c r="D4" s="471"/>
      <c r="E4" s="471"/>
    </row>
    <row r="5" spans="1:5" ht="19.5" customHeight="1">
      <c r="A5" s="548" t="s">
        <v>90</v>
      </c>
      <c r="B5" s="548"/>
      <c r="C5" s="548"/>
      <c r="D5" s="548"/>
      <c r="E5" s="548"/>
    </row>
    <row r="6" spans="1:5" ht="19.5" customHeight="1">
      <c r="A6" s="544" t="s">
        <v>89</v>
      </c>
      <c r="B6" s="544"/>
      <c r="C6" s="544"/>
      <c r="D6" s="544"/>
      <c r="E6" s="544"/>
    </row>
    <row r="7" spans="1:5" ht="19.5" customHeight="1">
      <c r="A7" s="544" t="s">
        <v>260</v>
      </c>
      <c r="B7" s="544"/>
      <c r="C7" s="544"/>
      <c r="D7" s="544"/>
      <c r="E7" s="544"/>
    </row>
    <row r="8" spans="1:5" ht="19.5" customHeight="1">
      <c r="A8" s="479"/>
      <c r="B8" s="479"/>
      <c r="C8" s="479"/>
      <c r="D8" s="479"/>
      <c r="E8" s="479"/>
    </row>
    <row r="9" spans="1:6" ht="11.25" customHeight="1" thickBot="1">
      <c r="A9" s="16"/>
      <c r="B9" s="45"/>
      <c r="C9" s="16"/>
      <c r="D9" s="16"/>
      <c r="E9" s="46"/>
      <c r="F9" s="16"/>
    </row>
    <row r="10" spans="1:6" ht="26.25" thickBot="1">
      <c r="A10" s="39"/>
      <c r="B10" s="227" t="s">
        <v>0</v>
      </c>
      <c r="C10" s="227" t="s">
        <v>85</v>
      </c>
      <c r="D10" s="227" t="s">
        <v>86</v>
      </c>
      <c r="E10" s="227" t="s">
        <v>180</v>
      </c>
      <c r="F10" s="16"/>
    </row>
    <row r="11" spans="1:6" ht="15.75">
      <c r="A11" s="24"/>
      <c r="B11" s="545" t="str">
        <f>'Distribution Rate Schedule'!A11</f>
        <v>Residential</v>
      </c>
      <c r="C11" s="546"/>
      <c r="D11" s="546"/>
      <c r="E11" s="547"/>
      <c r="F11" s="25"/>
    </row>
    <row r="12" spans="1:6" ht="15">
      <c r="A12" s="24"/>
      <c r="B12" s="228"/>
      <c r="C12" s="42" t="s">
        <v>71</v>
      </c>
      <c r="D12" s="40" t="s">
        <v>87</v>
      </c>
      <c r="E12" s="229">
        <f>'Distribution Rate Schedule'!C11</f>
        <v>10.68</v>
      </c>
      <c r="F12" s="25"/>
    </row>
    <row r="13" spans="1:6" ht="15">
      <c r="A13" s="24"/>
      <c r="B13" s="228"/>
      <c r="C13" s="42" t="s">
        <v>88</v>
      </c>
      <c r="D13" s="40" t="s">
        <v>56</v>
      </c>
      <c r="E13" s="230">
        <f>'Distribution Rate Schedule'!E11</f>
        <v>0.0076</v>
      </c>
      <c r="F13" s="25"/>
    </row>
    <row r="14" spans="1:6" ht="15">
      <c r="A14" s="24"/>
      <c r="B14" s="228"/>
      <c r="C14" s="42" t="s">
        <v>217</v>
      </c>
      <c r="D14" s="40" t="s">
        <v>56</v>
      </c>
      <c r="E14" s="230">
        <f>'Distribution Rate Schedule'!E23</f>
        <v>0.0012</v>
      </c>
      <c r="F14" s="25"/>
    </row>
    <row r="15" spans="1:6" ht="15">
      <c r="A15" s="24"/>
      <c r="B15" s="228"/>
      <c r="C15" s="42" t="s">
        <v>161</v>
      </c>
      <c r="D15" s="40" t="s">
        <v>56</v>
      </c>
      <c r="E15" s="230">
        <f>'LRAM and SSM Rate Rider'!L9</f>
        <v>0.0007</v>
      </c>
      <c r="F15" s="25"/>
    </row>
    <row r="16" spans="1:6" ht="15">
      <c r="A16" s="24"/>
      <c r="B16" s="228"/>
      <c r="C16" s="42" t="s">
        <v>216</v>
      </c>
      <c r="D16" s="40" t="s">
        <v>87</v>
      </c>
      <c r="E16" s="230">
        <f>'2012 Rate Rider'!D7</f>
        <v>-0.9439520067604836</v>
      </c>
      <c r="F16" s="25"/>
    </row>
    <row r="17" spans="1:6" ht="15.75" thickBot="1">
      <c r="A17" s="24"/>
      <c r="B17" s="231"/>
      <c r="C17" s="232" t="s">
        <v>215</v>
      </c>
      <c r="D17" s="233" t="s">
        <v>56</v>
      </c>
      <c r="E17" s="234">
        <f>'2012 Rate Rider'!B7</f>
        <v>-0.008359707675681775</v>
      </c>
      <c r="F17" s="25"/>
    </row>
    <row r="18" spans="1:6" ht="6.75" customHeight="1" thickBot="1">
      <c r="A18" s="24"/>
      <c r="B18" s="41"/>
      <c r="C18" s="42"/>
      <c r="D18" s="40"/>
      <c r="E18" s="43"/>
      <c r="F18" s="25"/>
    </row>
    <row r="19" spans="1:5" ht="15.75" customHeight="1">
      <c r="A19" s="23"/>
      <c r="B19" s="545" t="str">
        <f>'Distribution Rate Schedule'!A12</f>
        <v>GS &lt; 50 kW</v>
      </c>
      <c r="C19" s="546"/>
      <c r="D19" s="546"/>
      <c r="E19" s="547"/>
    </row>
    <row r="20" spans="1:5" ht="15">
      <c r="A20" s="23"/>
      <c r="B20" s="228"/>
      <c r="C20" s="42" t="s">
        <v>71</v>
      </c>
      <c r="D20" s="40" t="s">
        <v>87</v>
      </c>
      <c r="E20" s="229">
        <f>'Distribution Rate Schedule'!C12</f>
        <v>14.96</v>
      </c>
    </row>
    <row r="21" spans="1:5" ht="15">
      <c r="A21" s="23"/>
      <c r="B21" s="228"/>
      <c r="C21" s="42" t="s">
        <v>88</v>
      </c>
      <c r="D21" s="40" t="s">
        <v>56</v>
      </c>
      <c r="E21" s="230">
        <f>'Distribution Rate Schedule'!E12</f>
        <v>0.0063</v>
      </c>
    </row>
    <row r="22" spans="1:5" ht="15">
      <c r="A22" s="23"/>
      <c r="B22" s="228"/>
      <c r="C22" s="42" t="s">
        <v>217</v>
      </c>
      <c r="D22" s="40" t="s">
        <v>56</v>
      </c>
      <c r="E22" s="230">
        <f>'Distribution Rate Schedule'!E24</f>
        <v>0.0011</v>
      </c>
    </row>
    <row r="23" spans="1:5" ht="15">
      <c r="A23" s="23"/>
      <c r="B23" s="228"/>
      <c r="C23" s="42" t="s">
        <v>161</v>
      </c>
      <c r="D23" s="40" t="s">
        <v>56</v>
      </c>
      <c r="E23" s="230">
        <f>'LRAM and SSM Rate Rider'!L10</f>
        <v>0.0002</v>
      </c>
    </row>
    <row r="24" spans="1:5" ht="15">
      <c r="A24" s="23"/>
      <c r="B24" s="228"/>
      <c r="C24" s="42" t="s">
        <v>166</v>
      </c>
      <c r="D24" s="40" t="s">
        <v>87</v>
      </c>
      <c r="E24" s="230">
        <f>'2012 Rate Rider'!D8</f>
        <v>0.9492644326503402</v>
      </c>
    </row>
    <row r="25" spans="1:5" ht="15.75" thickBot="1">
      <c r="A25" s="23"/>
      <c r="B25" s="231"/>
      <c r="C25" s="232" t="s">
        <v>215</v>
      </c>
      <c r="D25" s="233" t="s">
        <v>56</v>
      </c>
      <c r="E25" s="234">
        <f>+'2012 Rate Rider'!B8</f>
        <v>-0.00857757417187244</v>
      </c>
    </row>
    <row r="26" spans="1:5" ht="6.75" customHeight="1" thickBot="1">
      <c r="A26" s="23"/>
      <c r="B26" s="41"/>
      <c r="C26" s="42"/>
      <c r="D26" s="40"/>
      <c r="E26" s="43"/>
    </row>
    <row r="27" spans="1:5" ht="15.75" customHeight="1">
      <c r="A27" s="23"/>
      <c r="B27" s="545" t="str">
        <f>'Distribution Rate Schedule'!A13</f>
        <v>GS &gt;50</v>
      </c>
      <c r="C27" s="546"/>
      <c r="D27" s="546"/>
      <c r="E27" s="547"/>
    </row>
    <row r="28" spans="1:5" ht="15">
      <c r="A28" s="23"/>
      <c r="B28" s="228"/>
      <c r="C28" s="42" t="s">
        <v>71</v>
      </c>
      <c r="D28" s="40" t="s">
        <v>87</v>
      </c>
      <c r="E28" s="229">
        <f>'Distribution Rate Schedule'!C13</f>
        <v>177.32</v>
      </c>
    </row>
    <row r="29" spans="1:5" ht="15">
      <c r="A29" s="23"/>
      <c r="B29" s="228"/>
      <c r="C29" s="42" t="s">
        <v>88</v>
      </c>
      <c r="D29" s="40" t="s">
        <v>23</v>
      </c>
      <c r="E29" s="230">
        <f>'Distribution Rate Schedule'!D13</f>
        <v>1.5002</v>
      </c>
    </row>
    <row r="30" spans="1:5" ht="15">
      <c r="A30" s="23"/>
      <c r="B30" s="228"/>
      <c r="C30" s="42" t="s">
        <v>217</v>
      </c>
      <c r="D30" s="40" t="s">
        <v>23</v>
      </c>
      <c r="E30" s="230">
        <f>'Distribution Rate Schedule'!D25</f>
        <v>0.4332</v>
      </c>
    </row>
    <row r="31" spans="1:5" ht="15">
      <c r="A31" s="23"/>
      <c r="B31" s="228"/>
      <c r="C31" s="42" t="s">
        <v>161</v>
      </c>
      <c r="D31" s="40" t="s">
        <v>56</v>
      </c>
      <c r="E31" s="230">
        <f>'LRAM and SSM Rate Rider'!L11</f>
        <v>0.0535</v>
      </c>
    </row>
    <row r="32" spans="1:5" ht="15">
      <c r="A32" s="23"/>
      <c r="B32" s="228"/>
      <c r="C32" s="42" t="s">
        <v>166</v>
      </c>
      <c r="D32" s="40" t="s">
        <v>87</v>
      </c>
      <c r="E32" s="230">
        <f>'2012 Rate Rider'!D9</f>
        <v>0</v>
      </c>
    </row>
    <row r="33" spans="1:5" ht="15.75" thickBot="1">
      <c r="A33" s="23"/>
      <c r="B33" s="231"/>
      <c r="C33" s="232" t="s">
        <v>215</v>
      </c>
      <c r="D33" s="233" t="s">
        <v>23</v>
      </c>
      <c r="E33" s="234">
        <f>+'2012 Rate Rider'!C9</f>
        <v>-3.096773231353598</v>
      </c>
    </row>
    <row r="34" spans="1:5" ht="6.75" customHeight="1" thickBot="1">
      <c r="A34" s="23"/>
      <c r="B34" s="41"/>
      <c r="C34" s="42"/>
      <c r="D34" s="40"/>
      <c r="E34" s="43"/>
    </row>
    <row r="35" spans="1:5" ht="15.75" customHeight="1">
      <c r="A35" s="23"/>
      <c r="B35" s="545" t="str">
        <f>'Distribution Rate Schedule'!A14</f>
        <v>   </v>
      </c>
      <c r="C35" s="546"/>
      <c r="D35" s="546"/>
      <c r="E35" s="547"/>
    </row>
    <row r="36" spans="1:5" ht="15">
      <c r="A36" s="23"/>
      <c r="B36" s="228"/>
      <c r="C36" s="42" t="s">
        <v>71</v>
      </c>
      <c r="D36" s="40" t="s">
        <v>87</v>
      </c>
      <c r="E36" s="229">
        <f>'Distribution Rate Schedule'!C14</f>
        <v>0</v>
      </c>
    </row>
    <row r="37" spans="1:5" ht="15">
      <c r="A37" s="23"/>
      <c r="B37" s="228"/>
      <c r="C37" s="42" t="s">
        <v>88</v>
      </c>
      <c r="D37" s="40" t="s">
        <v>23</v>
      </c>
      <c r="E37" s="230" t="e">
        <f>'Distribution Rate Schedule'!D14</f>
        <v>#DIV/0!</v>
      </c>
    </row>
    <row r="38" spans="1:5" ht="15">
      <c r="A38" s="23"/>
      <c r="B38" s="228"/>
      <c r="C38" s="42" t="s">
        <v>217</v>
      </c>
      <c r="D38" s="40" t="s">
        <v>23</v>
      </c>
      <c r="E38" s="230" t="e">
        <f>'Distribution Rate Schedule'!D26</f>
        <v>#REF!</v>
      </c>
    </row>
    <row r="39" spans="1:5" ht="15">
      <c r="A39" s="23"/>
      <c r="B39" s="228"/>
      <c r="C39" s="42" t="s">
        <v>161</v>
      </c>
      <c r="D39" s="40" t="s">
        <v>23</v>
      </c>
      <c r="E39" s="230">
        <f>'LRAM and SSM Rate Rider'!L12</f>
        <v>0</v>
      </c>
    </row>
    <row r="40" spans="1:5" ht="15">
      <c r="A40" s="23"/>
      <c r="B40" s="228"/>
      <c r="C40" s="42" t="s">
        <v>166</v>
      </c>
      <c r="D40" s="40" t="s">
        <v>87</v>
      </c>
      <c r="E40" s="230">
        <f>'2012 Rate Rider'!D10</f>
        <v>0</v>
      </c>
    </row>
    <row r="41" spans="1:5" ht="15.75" thickBot="1">
      <c r="A41" s="23"/>
      <c r="B41" s="231"/>
      <c r="C41" s="232" t="s">
        <v>215</v>
      </c>
      <c r="D41" s="233" t="s">
        <v>23</v>
      </c>
      <c r="E41" s="234">
        <f>'2012 Rate Rider'!C10</f>
        <v>0</v>
      </c>
    </row>
    <row r="42" spans="1:5" ht="6.75" customHeight="1" thickBot="1">
      <c r="A42" s="23"/>
      <c r="B42" s="41"/>
      <c r="C42" s="42"/>
      <c r="D42" s="40"/>
      <c r="E42" s="43"/>
    </row>
    <row r="43" spans="1:5" ht="15.75">
      <c r="A43" s="23"/>
      <c r="B43" s="545" t="str">
        <f>'Distribution Rate Schedule'!A15</f>
        <v>Sentinel Lights</v>
      </c>
      <c r="C43" s="546"/>
      <c r="D43" s="546"/>
      <c r="E43" s="547"/>
    </row>
    <row r="44" spans="1:5" ht="15">
      <c r="A44" s="23"/>
      <c r="B44" s="228"/>
      <c r="C44" s="42" t="s">
        <v>71</v>
      </c>
      <c r="D44" s="40" t="s">
        <v>87</v>
      </c>
      <c r="E44" s="229">
        <f>'Distribution Rate Schedule'!B15</f>
        <v>3.3946</v>
      </c>
    </row>
    <row r="45" spans="1:5" ht="15">
      <c r="A45" s="23"/>
      <c r="B45" s="228"/>
      <c r="C45" s="42" t="s">
        <v>88</v>
      </c>
      <c r="D45" s="40" t="s">
        <v>23</v>
      </c>
      <c r="E45" s="230">
        <f>'Distribution Rate Schedule'!D15</f>
        <v>6.3717</v>
      </c>
    </row>
    <row r="46" spans="1:5" ht="15">
      <c r="A46" s="23"/>
      <c r="B46" s="228"/>
      <c r="C46" s="42" t="s">
        <v>217</v>
      </c>
      <c r="D46" s="40" t="s">
        <v>23</v>
      </c>
      <c r="E46" s="230">
        <f>'Distribution Rate Schedule'!D27</f>
        <v>0.3421</v>
      </c>
    </row>
    <row r="47" spans="1:5" ht="15">
      <c r="A47" s="23"/>
      <c r="B47" s="228"/>
      <c r="C47" s="42" t="s">
        <v>161</v>
      </c>
      <c r="D47" s="40" t="s">
        <v>23</v>
      </c>
      <c r="E47" s="230">
        <f>'LRAM and SSM Rate Rider'!L13</f>
        <v>0</v>
      </c>
    </row>
    <row r="48" spans="1:5" ht="15.75" thickBot="1">
      <c r="A48" s="23"/>
      <c r="B48" s="231"/>
      <c r="C48" s="232" t="s">
        <v>215</v>
      </c>
      <c r="D48" s="233" t="s">
        <v>23</v>
      </c>
      <c r="E48" s="234">
        <f>+'2012 Rate Rider'!C11</f>
        <v>26.85421105778323</v>
      </c>
    </row>
    <row r="49" spans="1:5" ht="6.75" customHeight="1" thickBot="1">
      <c r="A49" s="23"/>
      <c r="B49" s="41"/>
      <c r="C49" s="42"/>
      <c r="D49" s="40"/>
      <c r="E49" s="43"/>
    </row>
    <row r="50" spans="1:5" ht="15.75">
      <c r="A50" s="23"/>
      <c r="B50" s="545" t="str">
        <f>'Distribution Rate Schedule'!A16</f>
        <v>Street Lighting</v>
      </c>
      <c r="C50" s="546"/>
      <c r="D50" s="546"/>
      <c r="E50" s="547"/>
    </row>
    <row r="51" spans="1:5" ht="15">
      <c r="A51" s="23"/>
      <c r="B51" s="228"/>
      <c r="C51" s="42" t="s">
        <v>71</v>
      </c>
      <c r="D51" s="40" t="s">
        <v>87</v>
      </c>
      <c r="E51" s="229">
        <f>'Distribution Rate Schedule'!B16</f>
        <v>1.2681</v>
      </c>
    </row>
    <row r="52" spans="1:5" ht="15">
      <c r="A52" s="23"/>
      <c r="B52" s="228"/>
      <c r="C52" s="42" t="s">
        <v>88</v>
      </c>
      <c r="D52" s="40" t="s">
        <v>23</v>
      </c>
      <c r="E52" s="230">
        <f>'Distribution Rate Schedule'!D16</f>
        <v>12.3515</v>
      </c>
    </row>
    <row r="53" spans="1:5" ht="15">
      <c r="A53" s="23"/>
      <c r="B53" s="228"/>
      <c r="C53" s="42" t="s">
        <v>217</v>
      </c>
      <c r="D53" s="40" t="s">
        <v>23</v>
      </c>
      <c r="E53" s="230">
        <f>'Distribution Rate Schedule'!D28</f>
        <v>0.3351</v>
      </c>
    </row>
    <row r="54" spans="1:5" ht="15">
      <c r="A54" s="23"/>
      <c r="B54" s="228"/>
      <c r="C54" s="42" t="s">
        <v>161</v>
      </c>
      <c r="D54" s="40" t="s">
        <v>23</v>
      </c>
      <c r="E54" s="230">
        <f>'LRAM and SSM Rate Rider'!L14</f>
        <v>0</v>
      </c>
    </row>
    <row r="55" spans="1:5" ht="15.75" thickBot="1">
      <c r="A55" s="23"/>
      <c r="B55" s="231"/>
      <c r="C55" s="232" t="s">
        <v>215</v>
      </c>
      <c r="D55" s="233" t="s">
        <v>23</v>
      </c>
      <c r="E55" s="234">
        <f>'2012 Rate Rider'!C12</f>
        <v>-3.2839032404987774</v>
      </c>
    </row>
    <row r="56" spans="1:5" ht="6.75" customHeight="1" thickBot="1">
      <c r="A56" s="23"/>
      <c r="B56" s="41"/>
      <c r="C56" s="42"/>
      <c r="D56" s="40"/>
      <c r="E56" s="43"/>
    </row>
    <row r="57" spans="1:5" ht="15.75">
      <c r="A57" s="23"/>
      <c r="B57" s="545" t="str">
        <f>'Distribution Rate Schedule'!A17</f>
        <v>USL</v>
      </c>
      <c r="C57" s="546"/>
      <c r="D57" s="546"/>
      <c r="E57" s="547"/>
    </row>
    <row r="58" spans="1:5" ht="15">
      <c r="A58" s="23"/>
      <c r="B58" s="228"/>
      <c r="C58" s="42" t="s">
        <v>71</v>
      </c>
      <c r="D58" s="40" t="s">
        <v>87</v>
      </c>
      <c r="E58" s="229">
        <f>'Distribution Rate Schedule'!B17</f>
        <v>6.9494</v>
      </c>
    </row>
    <row r="59" spans="1:5" ht="15">
      <c r="A59" s="23"/>
      <c r="B59" s="228"/>
      <c r="C59" s="42" t="s">
        <v>88</v>
      </c>
      <c r="D59" s="40" t="s">
        <v>56</v>
      </c>
      <c r="E59" s="230">
        <f>'Distribution Rate Schedule'!E17</f>
        <v>0.0021</v>
      </c>
    </row>
    <row r="60" spans="1:5" ht="15">
      <c r="A60" s="23"/>
      <c r="B60" s="228"/>
      <c r="C60" s="42" t="s">
        <v>217</v>
      </c>
      <c r="D60" s="40" t="s">
        <v>56</v>
      </c>
      <c r="E60" s="230">
        <f>'Distribution Rate Schedule'!E29</f>
        <v>0.0011</v>
      </c>
    </row>
    <row r="61" spans="1:5" ht="15">
      <c r="A61" s="23"/>
      <c r="B61" s="228"/>
      <c r="C61" s="42" t="s">
        <v>161</v>
      </c>
      <c r="D61" s="40" t="s">
        <v>56</v>
      </c>
      <c r="E61" s="230">
        <f>'LRAM and SSM Rate Rider'!L15</f>
        <v>0</v>
      </c>
    </row>
    <row r="62" spans="1:5" ht="15.75" thickBot="1">
      <c r="A62" s="23"/>
      <c r="B62" s="231"/>
      <c r="C62" s="232" t="s">
        <v>215</v>
      </c>
      <c r="D62" s="233" t="s">
        <v>56</v>
      </c>
      <c r="E62" s="234">
        <f>'2012 Rate Rider'!C13</f>
        <v>0</v>
      </c>
    </row>
    <row r="63" spans="2:5" ht="12.75">
      <c r="B63" s="16"/>
      <c r="C63" s="25"/>
      <c r="D63" s="25"/>
      <c r="E63" s="44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</sheetData>
  <sheetProtection/>
  <mergeCells count="15">
    <mergeCell ref="A1:E1"/>
    <mergeCell ref="A2:E2"/>
    <mergeCell ref="A3:E3"/>
    <mergeCell ref="A4:E4"/>
    <mergeCell ref="A5:E5"/>
    <mergeCell ref="A6:E6"/>
    <mergeCell ref="A7:E7"/>
    <mergeCell ref="A8:E8"/>
    <mergeCell ref="B43:E43"/>
    <mergeCell ref="B50:E50"/>
    <mergeCell ref="B57:E57"/>
    <mergeCell ref="B11:E11"/>
    <mergeCell ref="B19:E19"/>
    <mergeCell ref="B27:E27"/>
    <mergeCell ref="B35:E35"/>
  </mergeCells>
  <printOptions/>
  <pageMargins left="0.75" right="0.75" top="1" bottom="1" header="0.5" footer="0.5"/>
  <pageSetup fitToHeight="1" fitToWidth="1" horizontalDpi="355" verticalDpi="355" orientation="portrait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33">
      <selection activeCell="A7" sqref="A7:D7"/>
    </sheetView>
  </sheetViews>
  <sheetFormatPr defaultColWidth="9.7109375" defaultRowHeight="12.75"/>
  <cols>
    <col min="1" max="1" width="1.57421875" style="0" customWidth="1"/>
    <col min="2" max="2" width="74.7109375" style="0" customWidth="1"/>
    <col min="3" max="3" width="14.8515625" style="0" customWidth="1"/>
    <col min="4" max="4" width="9.57421875" style="0" bestFit="1" customWidth="1"/>
  </cols>
  <sheetData>
    <row r="1" spans="1:4" ht="12.75">
      <c r="A1" s="493" t="str">
        <f>+'Revenue Input'!A1</f>
        <v>E.L.K. Energy Inc., </v>
      </c>
      <c r="B1" s="493"/>
      <c r="C1" s="493"/>
      <c r="D1" s="493"/>
    </row>
    <row r="2" spans="1:4" ht="12.75">
      <c r="A2" s="493" t="str">
        <f>+'Revenue Input'!A2</f>
        <v>ED-2003-0015 , EB-2011-099</v>
      </c>
      <c r="B2" s="493"/>
      <c r="C2" s="493"/>
      <c r="D2" s="493"/>
    </row>
    <row r="3" spans="1:4" ht="12.75">
      <c r="A3" s="493">
        <f>+'Revenue Input'!A3</f>
        <v>0</v>
      </c>
      <c r="B3" s="493"/>
      <c r="C3" s="493"/>
      <c r="D3" s="493"/>
    </row>
    <row r="4" spans="1:4" ht="12.75">
      <c r="A4" s="555"/>
      <c r="B4" s="555"/>
      <c r="C4" s="555"/>
      <c r="D4" s="555"/>
    </row>
    <row r="5" spans="1:4" ht="19.5" customHeight="1">
      <c r="A5" s="514" t="s">
        <v>127</v>
      </c>
      <c r="B5" s="514"/>
      <c r="C5" s="514"/>
      <c r="D5" s="514"/>
    </row>
    <row r="6" spans="1:4" ht="19.5" customHeight="1">
      <c r="A6" s="544" t="s">
        <v>89</v>
      </c>
      <c r="B6" s="544"/>
      <c r="C6" s="544"/>
      <c r="D6" s="544"/>
    </row>
    <row r="7" spans="1:4" ht="19.5" customHeight="1">
      <c r="A7" s="544" t="s">
        <v>260</v>
      </c>
      <c r="B7" s="544"/>
      <c r="C7" s="544"/>
      <c r="D7" s="544"/>
    </row>
    <row r="8" spans="1:4" ht="19.5" customHeight="1">
      <c r="A8" s="551"/>
      <c r="B8" s="551"/>
      <c r="C8" s="551"/>
      <c r="D8" s="551"/>
    </row>
    <row r="9" spans="1:4" ht="30.75" customHeight="1">
      <c r="A9" s="29"/>
      <c r="B9" s="235" t="s">
        <v>92</v>
      </c>
      <c r="C9" s="235" t="s">
        <v>93</v>
      </c>
      <c r="D9" s="235" t="s">
        <v>180</v>
      </c>
    </row>
    <row r="10" spans="1:4" ht="44.25" customHeight="1">
      <c r="A10" s="30"/>
      <c r="B10" s="238" t="s">
        <v>94</v>
      </c>
      <c r="C10" s="241" t="s">
        <v>124</v>
      </c>
      <c r="D10" s="242">
        <v>15</v>
      </c>
    </row>
    <row r="11" spans="1:4" ht="44.25" customHeight="1">
      <c r="A11" s="30"/>
      <c r="B11" s="238" t="s">
        <v>95</v>
      </c>
      <c r="C11" s="241" t="s">
        <v>124</v>
      </c>
      <c r="D11" s="242">
        <v>15</v>
      </c>
    </row>
    <row r="12" spans="1:4" ht="44.25" customHeight="1">
      <c r="A12" s="30"/>
      <c r="B12" s="238" t="s">
        <v>96</v>
      </c>
      <c r="C12" s="241" t="s">
        <v>124</v>
      </c>
      <c r="D12" s="242">
        <v>15</v>
      </c>
    </row>
    <row r="13" spans="1:4" ht="44.25" customHeight="1">
      <c r="A13" s="30"/>
      <c r="B13" s="238" t="s">
        <v>97</v>
      </c>
      <c r="C13" s="241" t="s">
        <v>124</v>
      </c>
      <c r="D13" s="242">
        <v>15</v>
      </c>
    </row>
    <row r="14" spans="1:4" ht="44.25" customHeight="1">
      <c r="A14" s="30"/>
      <c r="B14" s="238" t="s">
        <v>98</v>
      </c>
      <c r="C14" s="241" t="s">
        <v>124</v>
      </c>
      <c r="D14" s="242">
        <v>15</v>
      </c>
    </row>
    <row r="15" spans="1:4" ht="44.25" customHeight="1">
      <c r="A15" s="30"/>
      <c r="B15" s="238" t="s">
        <v>99</v>
      </c>
      <c r="C15" s="241" t="s">
        <v>124</v>
      </c>
      <c r="D15" s="242">
        <v>15</v>
      </c>
    </row>
    <row r="16" spans="1:4" ht="44.25" customHeight="1">
      <c r="A16" s="30"/>
      <c r="B16" s="238" t="s">
        <v>100</v>
      </c>
      <c r="C16" s="241" t="s">
        <v>124</v>
      </c>
      <c r="D16" s="242">
        <v>15</v>
      </c>
    </row>
    <row r="17" spans="1:4" ht="44.25" customHeight="1">
      <c r="A17" s="30"/>
      <c r="B17" s="238" t="s">
        <v>101</v>
      </c>
      <c r="C17" s="241" t="s">
        <v>124</v>
      </c>
      <c r="D17" s="242">
        <v>15</v>
      </c>
    </row>
    <row r="18" spans="1:4" ht="44.25" customHeight="1">
      <c r="A18" s="30"/>
      <c r="B18" s="238" t="s">
        <v>102</v>
      </c>
      <c r="C18" s="241" t="s">
        <v>124</v>
      </c>
      <c r="D18" s="242">
        <v>15</v>
      </c>
    </row>
    <row r="19" spans="1:4" ht="44.25" customHeight="1">
      <c r="A19" s="30"/>
      <c r="B19" s="238" t="s">
        <v>103</v>
      </c>
      <c r="C19" s="241" t="s">
        <v>124</v>
      </c>
      <c r="D19" s="242">
        <v>15</v>
      </c>
    </row>
    <row r="20" spans="1:4" ht="44.25" customHeight="1">
      <c r="A20" s="30"/>
      <c r="B20" s="238" t="s">
        <v>104</v>
      </c>
      <c r="C20" s="241" t="s">
        <v>124</v>
      </c>
      <c r="D20" s="242">
        <v>15</v>
      </c>
    </row>
    <row r="21" spans="1:4" ht="44.25" customHeight="1">
      <c r="A21" s="30"/>
      <c r="B21" s="238" t="s">
        <v>105</v>
      </c>
      <c r="C21" s="241" t="s">
        <v>124</v>
      </c>
      <c r="D21" s="242">
        <v>15</v>
      </c>
    </row>
    <row r="22" spans="1:4" ht="44.25" customHeight="1">
      <c r="A22" s="30"/>
      <c r="B22" s="238" t="s">
        <v>106</v>
      </c>
      <c r="C22" s="241" t="s">
        <v>124</v>
      </c>
      <c r="D22" s="242">
        <v>15</v>
      </c>
    </row>
    <row r="23" spans="1:4" ht="44.25" customHeight="1">
      <c r="A23" s="30"/>
      <c r="B23" s="238" t="s">
        <v>107</v>
      </c>
      <c r="C23" s="241" t="s">
        <v>124</v>
      </c>
      <c r="D23" s="242">
        <v>30</v>
      </c>
    </row>
    <row r="24" spans="1:4" ht="44.25" customHeight="1">
      <c r="A24" s="30"/>
      <c r="B24" s="238" t="s">
        <v>108</v>
      </c>
      <c r="C24" s="241" t="s">
        <v>124</v>
      </c>
      <c r="D24" s="242">
        <v>30</v>
      </c>
    </row>
    <row r="25" spans="1:4" ht="44.25" customHeight="1">
      <c r="A25" s="30"/>
      <c r="B25" s="238" t="s">
        <v>109</v>
      </c>
      <c r="C25" s="241" t="s">
        <v>124</v>
      </c>
      <c r="D25" s="242">
        <v>30</v>
      </c>
    </row>
    <row r="26" spans="1:4" ht="44.25" customHeight="1">
      <c r="A26" s="30"/>
      <c r="B26" s="238" t="s">
        <v>110</v>
      </c>
      <c r="C26" s="241" t="s">
        <v>124</v>
      </c>
      <c r="D26" s="242">
        <v>165</v>
      </c>
    </row>
    <row r="27" spans="1:4" ht="44.25" customHeight="1">
      <c r="A27" s="30"/>
      <c r="B27" s="238" t="s">
        <v>111</v>
      </c>
      <c r="C27" s="241" t="s">
        <v>124</v>
      </c>
      <c r="D27" s="242">
        <v>65</v>
      </c>
    </row>
    <row r="28" spans="1:4" ht="44.25" customHeight="1">
      <c r="A28" s="30"/>
      <c r="B28" s="238" t="s">
        <v>112</v>
      </c>
      <c r="C28" s="241" t="s">
        <v>124</v>
      </c>
      <c r="D28" s="242">
        <v>65</v>
      </c>
    </row>
    <row r="29" spans="1:4" ht="44.25" customHeight="1">
      <c r="A29" s="30"/>
      <c r="B29" s="238" t="s">
        <v>113</v>
      </c>
      <c r="C29" s="241" t="s">
        <v>124</v>
      </c>
      <c r="D29" s="242">
        <v>185</v>
      </c>
    </row>
    <row r="30" spans="1:4" ht="44.25" customHeight="1">
      <c r="A30" s="30"/>
      <c r="B30" s="238" t="s">
        <v>114</v>
      </c>
      <c r="C30" s="241" t="s">
        <v>124</v>
      </c>
      <c r="D30" s="242">
        <v>185</v>
      </c>
    </row>
    <row r="31" spans="1:4" ht="44.25" customHeight="1">
      <c r="A31" s="30"/>
      <c r="B31" s="238" t="s">
        <v>115</v>
      </c>
      <c r="C31" s="241" t="s">
        <v>124</v>
      </c>
      <c r="D31" s="242">
        <v>185</v>
      </c>
    </row>
    <row r="32" spans="1:4" ht="44.25" customHeight="1">
      <c r="A32" s="30"/>
      <c r="B32" s="238" t="s">
        <v>116</v>
      </c>
      <c r="C32" s="241" t="s">
        <v>124</v>
      </c>
      <c r="D32" s="242">
        <v>415</v>
      </c>
    </row>
    <row r="33" spans="1:4" ht="44.25" customHeight="1">
      <c r="A33" s="30"/>
      <c r="B33" s="238" t="s">
        <v>117</v>
      </c>
      <c r="C33" s="241" t="s">
        <v>124</v>
      </c>
      <c r="D33" s="242">
        <v>30</v>
      </c>
    </row>
    <row r="34" spans="1:4" ht="44.25" customHeight="1">
      <c r="A34" s="30"/>
      <c r="B34" s="238" t="s">
        <v>118</v>
      </c>
      <c r="C34" s="241" t="s">
        <v>124</v>
      </c>
      <c r="D34" s="242">
        <v>30</v>
      </c>
    </row>
    <row r="35" spans="1:4" ht="44.25" customHeight="1">
      <c r="A35" s="30"/>
      <c r="B35" s="238" t="s">
        <v>119</v>
      </c>
      <c r="C35" s="241" t="s">
        <v>124</v>
      </c>
      <c r="D35" s="242">
        <v>165</v>
      </c>
    </row>
    <row r="36" spans="1:4" ht="44.25" customHeight="1">
      <c r="A36" s="30"/>
      <c r="B36" s="238" t="s">
        <v>120</v>
      </c>
      <c r="C36" s="241" t="s">
        <v>124</v>
      </c>
      <c r="D36" s="242">
        <v>500</v>
      </c>
    </row>
    <row r="37" spans="1:4" ht="44.25" customHeight="1">
      <c r="A37" s="30"/>
      <c r="B37" s="238" t="s">
        <v>121</v>
      </c>
      <c r="C37" s="241" t="s">
        <v>124</v>
      </c>
      <c r="D37" s="242">
        <v>300</v>
      </c>
    </row>
    <row r="38" spans="1:4" ht="44.25" customHeight="1">
      <c r="A38" s="30"/>
      <c r="B38" s="238" t="s">
        <v>122</v>
      </c>
      <c r="C38" s="241" t="s">
        <v>124</v>
      </c>
      <c r="D38" s="242">
        <v>1000</v>
      </c>
    </row>
    <row r="39" spans="1:4" ht="44.25" customHeight="1">
      <c r="A39" s="30"/>
      <c r="B39" s="238" t="s">
        <v>123</v>
      </c>
      <c r="C39" s="241" t="s">
        <v>124</v>
      </c>
      <c r="D39" s="242">
        <v>22.35</v>
      </c>
    </row>
    <row r="40" spans="1:4" ht="28.5" customHeight="1">
      <c r="A40" s="36"/>
      <c r="B40" s="239" t="s">
        <v>125</v>
      </c>
      <c r="C40" s="240" t="s">
        <v>169</v>
      </c>
      <c r="D40" s="236">
        <v>150</v>
      </c>
    </row>
    <row r="41" spans="1:4" s="8" customFormat="1" ht="12" customHeight="1">
      <c r="A41" s="36"/>
      <c r="B41" s="243"/>
      <c r="C41" s="244"/>
      <c r="D41" s="245"/>
    </row>
    <row r="42" spans="1:4" ht="18">
      <c r="A42" s="30"/>
      <c r="B42" s="552" t="s">
        <v>126</v>
      </c>
      <c r="C42" s="553"/>
      <c r="D42" s="554"/>
    </row>
    <row r="43" spans="2:4" ht="15.75">
      <c r="B43" s="549" t="s">
        <v>57</v>
      </c>
      <c r="C43" s="550"/>
      <c r="D43" s="237" t="e">
        <f>+'Other Electriciy Rates'!#REF!</f>
        <v>#REF!</v>
      </c>
    </row>
    <row r="44" spans="2:4" ht="15.75">
      <c r="B44" s="549" t="s">
        <v>58</v>
      </c>
      <c r="C44" s="550"/>
      <c r="D44" s="237" t="e">
        <f>+'Other Electriciy Rates'!#REF!</f>
        <v>#REF!</v>
      </c>
    </row>
    <row r="45" spans="2:4" ht="15.75">
      <c r="B45" s="549" t="s">
        <v>59</v>
      </c>
      <c r="C45" s="550"/>
      <c r="D45" s="237" t="e">
        <f>+'Other Electriciy Rates'!#REF!</f>
        <v>#REF!</v>
      </c>
    </row>
    <row r="46" spans="2:4" ht="15.75">
      <c r="B46" s="549" t="s">
        <v>60</v>
      </c>
      <c r="C46" s="550"/>
      <c r="D46" s="237" t="e">
        <f>+'Other Electriciy Rates'!#REF!</f>
        <v>#REF!</v>
      </c>
    </row>
    <row r="47" spans="2:4" ht="15.75">
      <c r="B47" s="549" t="s">
        <v>61</v>
      </c>
      <c r="C47" s="550"/>
      <c r="D47" s="237" t="e">
        <f>+'Other Electriciy Rates'!#REF!</f>
        <v>#REF!</v>
      </c>
    </row>
    <row r="48" spans="2:4" ht="15.75">
      <c r="B48" s="549" t="s">
        <v>62</v>
      </c>
      <c r="C48" s="550"/>
      <c r="D48" s="237" t="e">
        <f>+'Other Electriciy Rates'!#REF!</f>
        <v>#REF!</v>
      </c>
    </row>
    <row r="49" spans="2:4" ht="15.75">
      <c r="B49" s="549" t="s">
        <v>63</v>
      </c>
      <c r="C49" s="550"/>
      <c r="D49" s="237" t="e">
        <f>+'Other Electriciy Rates'!#REF!</f>
        <v>#REF!</v>
      </c>
    </row>
    <row r="50" spans="2:4" ht="15.75">
      <c r="B50" s="549" t="s">
        <v>64</v>
      </c>
      <c r="C50" s="550"/>
      <c r="D50" s="237" t="e">
        <f>+'Other Electriciy Rates'!#REF!</f>
        <v>#REF!</v>
      </c>
    </row>
    <row r="51" spans="2:4" ht="15.75">
      <c r="B51" s="549" t="s">
        <v>65</v>
      </c>
      <c r="C51" s="550"/>
      <c r="D51" s="237" t="e">
        <f>+'Other Electriciy Rates'!#REF!</f>
        <v>#REF!</v>
      </c>
    </row>
  </sheetData>
  <sheetProtection/>
  <mergeCells count="18">
    <mergeCell ref="A1:D1"/>
    <mergeCell ref="A2:D2"/>
    <mergeCell ref="A3:D3"/>
    <mergeCell ref="A4:D4"/>
    <mergeCell ref="A5:D5"/>
    <mergeCell ref="A6:D6"/>
    <mergeCell ref="A7:D7"/>
    <mergeCell ref="A8:D8"/>
    <mergeCell ref="B42:D42"/>
    <mergeCell ref="B43:C43"/>
    <mergeCell ref="B44:C44"/>
    <mergeCell ref="B45:C45"/>
    <mergeCell ref="B50:C50"/>
    <mergeCell ref="B51:C51"/>
    <mergeCell ref="B46:C46"/>
    <mergeCell ref="B47:C47"/>
    <mergeCell ref="B48:C48"/>
    <mergeCell ref="B49:C49"/>
  </mergeCells>
  <printOptions/>
  <pageMargins left="0.75" right="0.75" top="1" bottom="1" header="0.5" footer="0.5"/>
  <pageSetup fitToHeight="2" fitToWidth="1" horizontalDpi="355" verticalDpi="355" orientation="portrait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6">
      <selection activeCell="E13" sqref="E13"/>
    </sheetView>
  </sheetViews>
  <sheetFormatPr defaultColWidth="9.140625" defaultRowHeight="12.75"/>
  <cols>
    <col min="1" max="1" width="31.28125" style="0" bestFit="1" customWidth="1"/>
    <col min="2" max="2" width="15.140625" style="0" customWidth="1"/>
    <col min="3" max="3" width="13.7109375" style="0" customWidth="1"/>
    <col min="4" max="4" width="14.00390625" style="0" bestFit="1" customWidth="1"/>
    <col min="5" max="5" width="16.00390625" style="0" customWidth="1"/>
    <col min="6" max="6" width="15.57421875" style="0" customWidth="1"/>
    <col min="7" max="7" width="20.140625" style="0" bestFit="1" customWidth="1"/>
    <col min="8" max="8" width="14.140625" style="0" bestFit="1" customWidth="1"/>
    <col min="9" max="9" width="13.140625" style="0" bestFit="1" customWidth="1"/>
    <col min="10" max="10" width="14.140625" style="0" bestFit="1" customWidth="1"/>
    <col min="11" max="11" width="11.421875" style="0" bestFit="1" customWidth="1"/>
    <col min="12" max="12" width="14.140625" style="0" bestFit="1" customWidth="1"/>
  </cols>
  <sheetData>
    <row r="1" spans="1:6" ht="12.75">
      <c r="A1" s="493" t="str">
        <f>+'Revenue Input'!A1</f>
        <v>E.L.K. Energy Inc., </v>
      </c>
      <c r="B1" s="493"/>
      <c r="C1" s="493"/>
      <c r="D1" s="493"/>
      <c r="E1" s="493"/>
      <c r="F1" s="493"/>
    </row>
    <row r="2" spans="1:6" ht="12.75">
      <c r="A2" s="493" t="str">
        <f>+'Revenue Input'!A2</f>
        <v>ED-2003-0015 , EB-2011-099</v>
      </c>
      <c r="B2" s="493"/>
      <c r="C2" s="493"/>
      <c r="D2" s="493"/>
      <c r="E2" s="493"/>
      <c r="F2" s="493"/>
    </row>
    <row r="3" spans="1:6" ht="12.75">
      <c r="A3" s="493">
        <f>+'Revenue Input'!A3</f>
        <v>0</v>
      </c>
      <c r="B3" s="493"/>
      <c r="C3" s="493"/>
      <c r="D3" s="493"/>
      <c r="E3" s="493"/>
      <c r="F3" s="493"/>
    </row>
    <row r="4" spans="1:6" ht="12.75">
      <c r="A4" s="471"/>
      <c r="B4" s="471"/>
      <c r="C4" s="471"/>
      <c r="D4" s="471"/>
      <c r="E4" s="471"/>
      <c r="F4" s="471"/>
    </row>
    <row r="5" spans="1:6" ht="20.25">
      <c r="A5" s="511" t="s">
        <v>261</v>
      </c>
      <c r="B5" s="511"/>
      <c r="C5" s="511"/>
      <c r="D5" s="511"/>
      <c r="E5" s="511"/>
      <c r="F5" s="511"/>
    </row>
    <row r="6" spans="1:6" ht="12.75">
      <c r="A6" s="556"/>
      <c r="B6" s="556"/>
      <c r="C6" s="556"/>
      <c r="D6" s="556"/>
      <c r="E6" s="556"/>
      <c r="F6" s="556"/>
    </row>
    <row r="7" spans="1:12" ht="38.25">
      <c r="A7" s="86" t="s">
        <v>0</v>
      </c>
      <c r="B7" s="91" t="s">
        <v>11</v>
      </c>
      <c r="C7" s="91" t="s">
        <v>12</v>
      </c>
      <c r="D7" s="91" t="s">
        <v>31</v>
      </c>
      <c r="E7" s="91" t="s">
        <v>29</v>
      </c>
      <c r="F7" s="86" t="s">
        <v>33</v>
      </c>
      <c r="G7" s="11"/>
      <c r="H7" s="11"/>
      <c r="I7" s="11"/>
      <c r="J7" s="11"/>
      <c r="K7" s="11"/>
      <c r="L7" s="11"/>
    </row>
    <row r="8" spans="1:12" ht="19.5" customHeight="1">
      <c r="A8" s="287" t="str">
        <f>'Rates By Rate Class'!A8</f>
        <v>Residential</v>
      </c>
      <c r="B8" s="106">
        <f>+'Distribution Rate Schedule'!C35*'Forecast Data For 2012'!C7*12</f>
        <v>1284602.2349808346</v>
      </c>
      <c r="C8" s="106">
        <f>+'Distribution Rate Schedule'!E35*'Forecast Data For 2012'!C8</f>
        <v>729443.729318131</v>
      </c>
      <c r="D8" s="303"/>
      <c r="E8" s="106">
        <f>+B8+C8+D8</f>
        <v>2014045.9642989656</v>
      </c>
      <c r="F8" s="106">
        <f>+'Rates By Rate Class'!K8-'Rates By Rate Class'!H8-'Rates By Rate Class'!J8</f>
        <v>2012553.9930712357</v>
      </c>
      <c r="G8" s="12"/>
      <c r="H8" s="12"/>
      <c r="I8" s="13"/>
      <c r="J8" s="14"/>
      <c r="K8" s="14"/>
      <c r="L8" s="14"/>
    </row>
    <row r="9" spans="1:12" ht="19.5" customHeight="1">
      <c r="A9" s="287" t="str">
        <f>'Rates By Rate Class'!A9</f>
        <v>GS &lt; 50 kW</v>
      </c>
      <c r="B9" s="106">
        <f>+'Distribution Rate Schedule'!C36*'Forecast Data For 2012'!C9*12</f>
        <v>218023.47197754774</v>
      </c>
      <c r="C9" s="106">
        <f>+'Distribution Rate Schedule'!E36*'Forecast Data For 2012'!C10</f>
        <v>205348.25804925116</v>
      </c>
      <c r="D9" s="303"/>
      <c r="E9" s="106">
        <f aca="true" t="shared" si="0" ref="E9:E16">+B9+C9+D9</f>
        <v>423371.7300267989</v>
      </c>
      <c r="F9" s="106">
        <f>+'Rates By Rate Class'!K9-'Rates By Rate Class'!H9-'Rates By Rate Class'!J9</f>
        <v>422909.4916045205</v>
      </c>
      <c r="G9" s="12"/>
      <c r="H9" s="12"/>
      <c r="I9" s="13"/>
      <c r="J9" s="14"/>
      <c r="K9" s="14"/>
      <c r="L9" s="14"/>
    </row>
    <row r="10" spans="1:12" ht="19.5" customHeight="1">
      <c r="A10" s="287" t="str">
        <f>'Rates By Rate Class'!A10</f>
        <v>GS &gt;50</v>
      </c>
      <c r="B10" s="106">
        <f>+'Distribution Rate Schedule'!C37*'Forecast Data For 2012'!C11*12</f>
        <v>198873.1369426321</v>
      </c>
      <c r="C10" s="106">
        <f>+'Distribution Rate Schedule'!D37*'Forecast Data For 2012'!C12</f>
        <v>321143.18275425956</v>
      </c>
      <c r="D10" s="303">
        <f>'Transformer Allowance'!C12</f>
        <v>-88617.52415501812</v>
      </c>
      <c r="E10" s="106">
        <f t="shared" si="0"/>
        <v>431398.79554187355</v>
      </c>
      <c r="F10" s="106">
        <f>+'Rates By Rate Class'!K10-'Rates By Rate Class'!H10-'Rates By Rate Class'!J10</f>
        <v>431397.7730513452</v>
      </c>
      <c r="G10" s="12"/>
      <c r="H10" s="12"/>
      <c r="I10" s="12"/>
      <c r="J10" s="14"/>
      <c r="K10" s="14"/>
      <c r="L10" s="14"/>
    </row>
    <row r="11" spans="1:12" ht="19.5" customHeight="1">
      <c r="A11" s="287" t="str">
        <f>'Rates By Rate Class'!A11</f>
        <v>   </v>
      </c>
      <c r="B11" s="106"/>
      <c r="C11" s="106"/>
      <c r="D11" s="303"/>
      <c r="E11" s="106"/>
      <c r="F11" s="106"/>
      <c r="G11" s="12"/>
      <c r="H11" s="12"/>
      <c r="I11" s="12"/>
      <c r="J11" s="14"/>
      <c r="K11" s="14"/>
      <c r="L11" s="14"/>
    </row>
    <row r="12" spans="1:12" ht="19.5" customHeight="1">
      <c r="A12" s="287" t="str">
        <f>'Rates By Rate Class'!A12</f>
        <v>Sentinel Lights</v>
      </c>
      <c r="B12" s="106">
        <f>+'Distribution Rate Schedule'!B39*'Forecast Data For 2012'!C17*12</f>
        <v>285.14639999999997</v>
      </c>
      <c r="C12" s="106">
        <f>+'Distribution Rate Schedule'!D39*'Forecast Data For 2012'!C18</f>
        <v>96.15970005319872</v>
      </c>
      <c r="D12" s="303"/>
      <c r="E12" s="106">
        <f t="shared" si="0"/>
        <v>381.3061000531987</v>
      </c>
      <c r="F12" s="106">
        <f>+'Rates By Rate Class'!K12-'Rates By Rate Class'!H12-'Rates By Rate Class'!J12</f>
        <v>381.3047323569102</v>
      </c>
      <c r="G12" s="12"/>
      <c r="H12" s="12"/>
      <c r="I12" s="13"/>
      <c r="J12" s="14"/>
      <c r="K12" s="14"/>
      <c r="L12" s="14"/>
    </row>
    <row r="13" spans="1:12" ht="19.5" customHeight="1">
      <c r="A13" s="287" t="str">
        <f>'Rates By Rate Class'!A13</f>
        <v>Street Lighting</v>
      </c>
      <c r="B13" s="106">
        <f>+'Distribution Rate Schedule'!B40*'Forecast Data For 2012'!C20*12</f>
        <v>42626.32385213311</v>
      </c>
      <c r="C13" s="106">
        <f>+'Distribution Rate Schedule'!D40*'Forecast Data For 2012'!C21</f>
        <v>75132.43477760426</v>
      </c>
      <c r="D13" s="303"/>
      <c r="E13" s="106">
        <f t="shared" si="0"/>
        <v>117758.75862973736</v>
      </c>
      <c r="F13" s="106">
        <f>+'Rates By Rate Class'!K13-'Rates By Rate Class'!H13-'Rates By Rate Class'!J13</f>
        <v>117759.39545339224</v>
      </c>
      <c r="G13" s="12"/>
      <c r="H13" s="12"/>
      <c r="I13" s="13"/>
      <c r="J13" s="14"/>
      <c r="K13" s="14"/>
      <c r="L13" s="14"/>
    </row>
    <row r="14" spans="1:12" ht="19.5" customHeight="1">
      <c r="A14" s="287" t="str">
        <f>'Rates By Rate Class'!A14</f>
        <v>USL</v>
      </c>
      <c r="B14" s="106">
        <f>+'Distribution Rate Schedule'!B41*'Forecast Data For 2012'!C23*12</f>
        <v>2670.9534896633204</v>
      </c>
      <c r="C14" s="106">
        <f>+'Distribution Rate Schedule'!E41*'Forecast Data For 2012'!C24</f>
        <v>396.88197269491155</v>
      </c>
      <c r="D14" s="303"/>
      <c r="E14" s="106">
        <f t="shared" si="0"/>
        <v>3067.835462358232</v>
      </c>
      <c r="F14" s="106">
        <f>+'Rates By Rate Class'!K14-'Rates By Rate Class'!H14-'Rates By Rate Class'!J14</f>
        <v>3073.9846772434416</v>
      </c>
      <c r="G14" s="12"/>
      <c r="H14" s="12"/>
      <c r="I14" s="13"/>
      <c r="J14" s="14"/>
      <c r="K14" s="14"/>
      <c r="L14" s="14"/>
    </row>
    <row r="15" spans="1:12" ht="19.5" customHeight="1">
      <c r="A15" s="287" t="str">
        <f>'Rates By Rate Class'!A15</f>
        <v>   </v>
      </c>
      <c r="B15" s="106"/>
      <c r="C15" s="106"/>
      <c r="D15" s="303"/>
      <c r="E15" s="106"/>
      <c r="F15" s="106"/>
      <c r="G15" s="12"/>
      <c r="H15" s="12"/>
      <c r="I15" s="13"/>
      <c r="J15" s="14"/>
      <c r="K15" s="14"/>
      <c r="L15" s="14"/>
    </row>
    <row r="16" spans="1:12" ht="19.5" customHeight="1">
      <c r="A16" s="287" t="str">
        <f>'Rates By Rate Class'!A16</f>
        <v>Hydro One </v>
      </c>
      <c r="B16" s="407">
        <f>'Distribution Rate Schedule'!C43*'Forecast Data For 2012'!C27*12</f>
        <v>84157.92</v>
      </c>
      <c r="C16" s="106">
        <f>'Forecast Data For 2012'!C28*'Rates By Rate Class'!E16</f>
        <v>25046.68003767188</v>
      </c>
      <c r="D16" s="418"/>
      <c r="E16" s="106">
        <f t="shared" si="0"/>
        <v>109204.60003767187</v>
      </c>
      <c r="F16" s="106">
        <f>+'Rates By Rate Class'!K16-'Rates By Rate Class'!H16-'Rates By Rate Class'!J16</f>
        <v>109204.36353266142</v>
      </c>
      <c r="G16" s="12"/>
      <c r="H16" s="12"/>
      <c r="I16" s="13"/>
      <c r="J16" s="14"/>
      <c r="K16" s="14"/>
      <c r="L16" s="14"/>
    </row>
    <row r="17" spans="1:12" ht="31.5" customHeight="1" thickBot="1">
      <c r="A17" s="57" t="s">
        <v>32</v>
      </c>
      <c r="B17" s="249">
        <f>SUM(B8:B16)</f>
        <v>1831239.1876428106</v>
      </c>
      <c r="C17" s="249">
        <f>SUM(C8:C16)</f>
        <v>1356607.3266096662</v>
      </c>
      <c r="D17" s="304">
        <f>SUM(D8:D16)</f>
        <v>-88617.52415501812</v>
      </c>
      <c r="E17" s="249">
        <f>SUM(E8:E16)</f>
        <v>3099228.9900974594</v>
      </c>
      <c r="F17" s="249">
        <f>SUM(F8:F16)</f>
        <v>3097280.306122755</v>
      </c>
      <c r="G17" s="15"/>
      <c r="H17" s="15"/>
      <c r="I17" s="15"/>
      <c r="J17" s="15"/>
      <c r="K17" s="15"/>
      <c r="L17" s="15"/>
    </row>
    <row r="18" spans="6:12" ht="13.5" thickTop="1">
      <c r="F18" s="9"/>
      <c r="G18" s="16"/>
      <c r="H18" s="16"/>
      <c r="I18" s="16"/>
      <c r="J18" s="16"/>
      <c r="K18" s="16"/>
      <c r="L18" s="16"/>
    </row>
    <row r="19" spans="5:7" ht="12.75">
      <c r="E19" s="557" t="s">
        <v>167</v>
      </c>
      <c r="F19" s="557"/>
      <c r="G19" s="8"/>
    </row>
    <row r="20" spans="5:6" ht="12.75">
      <c r="E20" s="246"/>
      <c r="F20" s="247"/>
    </row>
    <row r="21" spans="5:6" ht="13.5" thickBot="1">
      <c r="E21" s="248">
        <f>+F17-E17</f>
        <v>-1948.6839747042395</v>
      </c>
      <c r="F21" s="247"/>
    </row>
    <row r="24" ht="12.75">
      <c r="E24" s="9"/>
    </row>
  </sheetData>
  <sheetProtection/>
  <mergeCells count="7">
    <mergeCell ref="A6:F6"/>
    <mergeCell ref="E19:F19"/>
    <mergeCell ref="A5:F5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41.8515625" style="0" bestFit="1" customWidth="1"/>
    <col min="2" max="2" width="16.00390625" style="0" bestFit="1" customWidth="1"/>
    <col min="3" max="4" width="12.7109375" style="0" customWidth="1"/>
    <col min="5" max="5" width="13.140625" style="0" customWidth="1"/>
    <col min="6" max="6" width="12.28125" style="0" customWidth="1"/>
    <col min="7" max="9" width="14.421875" style="0" bestFit="1" customWidth="1"/>
    <col min="10" max="12" width="10.140625" style="0" bestFit="1" customWidth="1"/>
  </cols>
  <sheetData>
    <row r="1" spans="1:9" ht="12.75">
      <c r="A1" s="493" t="str">
        <f>+'Revenue Input'!A1</f>
        <v>E.L.K. Energy Inc., </v>
      </c>
      <c r="B1" s="493"/>
      <c r="C1" s="493"/>
      <c r="D1" s="493"/>
      <c r="E1" s="493"/>
      <c r="F1" s="493"/>
      <c r="G1" s="493"/>
      <c r="H1" s="493"/>
      <c r="I1" s="493"/>
    </row>
    <row r="2" spans="1:9" ht="12.75">
      <c r="A2" s="493" t="str">
        <f>+'Revenue Input'!A2</f>
        <v>ED-2003-0015 , EB-2011-099</v>
      </c>
      <c r="B2" s="493"/>
      <c r="C2" s="493"/>
      <c r="D2" s="493"/>
      <c r="E2" s="493"/>
      <c r="F2" s="493"/>
      <c r="G2" s="493"/>
      <c r="H2" s="493"/>
      <c r="I2" s="493"/>
    </row>
    <row r="3" spans="1:9" ht="12.75">
      <c r="A3" s="493">
        <f>+'Revenue Input'!A3</f>
        <v>0</v>
      </c>
      <c r="B3" s="493"/>
      <c r="C3" s="493"/>
      <c r="D3" s="493"/>
      <c r="E3" s="493"/>
      <c r="F3" s="493"/>
      <c r="G3" s="493"/>
      <c r="H3" s="493"/>
      <c r="I3" s="493"/>
    </row>
    <row r="4" spans="1:9" ht="7.5" customHeight="1">
      <c r="A4" s="471"/>
      <c r="B4" s="471"/>
      <c r="C4" s="471"/>
      <c r="D4" s="471"/>
      <c r="E4" s="471"/>
      <c r="F4" s="471"/>
      <c r="G4" s="471"/>
      <c r="H4" s="471"/>
      <c r="I4" s="471"/>
    </row>
    <row r="5" spans="1:9" ht="15.75">
      <c r="A5" s="495" t="s">
        <v>262</v>
      </c>
      <c r="B5" s="495"/>
      <c r="C5" s="495"/>
      <c r="D5" s="495"/>
      <c r="E5" s="495"/>
      <c r="F5" s="495"/>
      <c r="G5" s="495"/>
      <c r="H5" s="495"/>
      <c r="I5" s="495"/>
    </row>
    <row r="6" spans="1:9" ht="8.25" customHeight="1">
      <c r="A6" s="495"/>
      <c r="B6" s="495"/>
      <c r="C6" s="495"/>
      <c r="D6" s="495"/>
      <c r="E6" s="495"/>
      <c r="F6" s="495"/>
      <c r="G6" s="495"/>
      <c r="H6" s="495"/>
      <c r="I6" s="495"/>
    </row>
    <row r="7" spans="1:9" ht="38.25">
      <c r="A7" s="86" t="s">
        <v>0</v>
      </c>
      <c r="B7" s="91" t="s">
        <v>7</v>
      </c>
      <c r="C7" s="91" t="s">
        <v>8</v>
      </c>
      <c r="D7" s="91" t="s">
        <v>9</v>
      </c>
      <c r="E7" s="91" t="s">
        <v>10</v>
      </c>
      <c r="F7" s="91" t="s">
        <v>27</v>
      </c>
      <c r="G7" s="91" t="s">
        <v>11</v>
      </c>
      <c r="H7" s="91" t="s">
        <v>12</v>
      </c>
      <c r="I7" s="91" t="s">
        <v>128</v>
      </c>
    </row>
    <row r="8" spans="1:12" ht="19.5" customHeight="1">
      <c r="A8" s="288" t="str">
        <f>'Dist. Rev. Reconciliation'!A8</f>
        <v>Residential</v>
      </c>
      <c r="B8" s="250">
        <f>+'Forecast Data For 2012'!$C$8</f>
        <v>95979438.06817514</v>
      </c>
      <c r="C8" s="250"/>
      <c r="D8" s="250"/>
      <c r="E8" s="250">
        <f>+'Forecast Data For 2012'!$C$7*12</f>
        <v>120281.1081442729</v>
      </c>
      <c r="F8" s="250"/>
      <c r="G8" s="291">
        <f>+E8*'2011 Existing Rates'!$C$8</f>
        <v>1338728.7336457574</v>
      </c>
      <c r="H8" s="291">
        <f>+B8*'2011 Existing Rates'!$E$8</f>
        <v>758237.5607385837</v>
      </c>
      <c r="I8" s="291">
        <f>+G8+H8</f>
        <v>2096966.2943843412</v>
      </c>
      <c r="K8" s="315"/>
      <c r="L8" s="315"/>
    </row>
    <row r="9" spans="1:12" ht="19.5" customHeight="1">
      <c r="A9" s="288" t="str">
        <f>'Dist. Rev. Reconciliation'!A9</f>
        <v>GS &lt; 50 kW</v>
      </c>
      <c r="B9" s="250">
        <f>+'Forecast Data For 2012'!$C$10</f>
        <v>32594961.595119234</v>
      </c>
      <c r="C9" s="250"/>
      <c r="D9" s="250"/>
      <c r="E9" s="250">
        <f>+'Forecast Data For 2012'!$C$9*12</f>
        <v>14573.761495825383</v>
      </c>
      <c r="F9" s="250"/>
      <c r="G9" s="291">
        <f>+E9*'2011 Existing Rates'!$C$9</f>
        <v>161185.80214382874</v>
      </c>
      <c r="H9" s="291">
        <f>+B9*'2011 Existing Rates'!$E$9</f>
        <v>55411.43471170269</v>
      </c>
      <c r="I9" s="291">
        <f aca="true" t="shared" si="0" ref="I9:I16">+G9+H9</f>
        <v>216597.23685553143</v>
      </c>
      <c r="K9" s="315"/>
      <c r="L9" s="315"/>
    </row>
    <row r="10" spans="1:12" ht="19.5" customHeight="1">
      <c r="A10" s="288" t="str">
        <f>'Dist. Rev. Reconciliation'!A10</f>
        <v>GS &gt;50</v>
      </c>
      <c r="B10" s="250">
        <f>+'Forecast Data For 2012'!$C$13</f>
        <v>66668106.41348041</v>
      </c>
      <c r="C10" s="250">
        <f>+'Forecast Data For 2012'!$C$12</f>
        <v>214066.91291445112</v>
      </c>
      <c r="D10" s="250">
        <f>'Transformer Allowance'!B12</f>
        <v>147695.87359169687</v>
      </c>
      <c r="E10" s="250">
        <f>+'Forecast Data For 2012'!$C$11*12</f>
        <v>1121.5493849685997</v>
      </c>
      <c r="F10" s="250"/>
      <c r="G10" s="291">
        <f>+E10*'2012 Test Yr On Existing Rates'!F22</f>
        <v>494971.38573742844</v>
      </c>
      <c r="H10" s="291">
        <f>+C10*'2012 Test Yr On Existing Rates'!G22</f>
        <v>451374.8195782282</v>
      </c>
      <c r="I10" s="291">
        <f t="shared" si="0"/>
        <v>946346.2053156567</v>
      </c>
      <c r="K10" s="315"/>
      <c r="L10" s="315"/>
    </row>
    <row r="11" spans="1:12" ht="19.5" customHeight="1">
      <c r="A11" s="288" t="str">
        <f>'Dist. Rev. Reconciliation'!A11</f>
        <v>   </v>
      </c>
      <c r="B11" s="250">
        <f>'Forecast Data For 2012'!C16</f>
        <v>0</v>
      </c>
      <c r="C11" s="250">
        <f>+'Forecast Data For 2012'!$C$15</f>
        <v>0</v>
      </c>
      <c r="D11" s="250">
        <f>'Transformer Allowance'!B13</f>
        <v>0</v>
      </c>
      <c r="E11" s="250">
        <f>+'Forecast Data For 2012'!$C$14*12</f>
        <v>0</v>
      </c>
      <c r="F11" s="250"/>
      <c r="G11" s="291">
        <f>+E11*'2011 Existing Rates'!$C$11</f>
        <v>0</v>
      </c>
      <c r="H11" s="291">
        <f>+C11*'2011 Existing Rates'!$D$11</f>
        <v>0</v>
      </c>
      <c r="I11" s="291">
        <f t="shared" si="0"/>
        <v>0</v>
      </c>
      <c r="K11" s="315"/>
      <c r="L11" s="315"/>
    </row>
    <row r="12" spans="1:12" ht="19.5" customHeight="1">
      <c r="A12" s="288" t="str">
        <f>'Dist. Rev. Reconciliation'!A12</f>
        <v>Sentinel Lights</v>
      </c>
      <c r="B12" s="250">
        <f>+'Forecast Data For 2012'!$C$19</f>
        <v>5564.296647778189</v>
      </c>
      <c r="C12" s="250">
        <f>+'Forecast Data For 2012'!$C$18</f>
        <v>15.091686685374189</v>
      </c>
      <c r="D12" s="250"/>
      <c r="E12" s="250"/>
      <c r="F12" s="250">
        <f>+'Forecast Data For 2012'!$C$17*12</f>
        <v>84</v>
      </c>
      <c r="G12" s="291">
        <f>+F12*'2011 Existing Rates'!$B$12</f>
        <v>33.6</v>
      </c>
      <c r="H12" s="291">
        <f>+C12*'2011 Existing Rates'!$D$12</f>
        <v>11.330838363378941</v>
      </c>
      <c r="I12" s="291">
        <f t="shared" si="0"/>
        <v>44.93083836337894</v>
      </c>
      <c r="K12" s="315"/>
      <c r="L12" s="315"/>
    </row>
    <row r="13" spans="1:12" ht="19.5" customHeight="1">
      <c r="A13" s="288" t="str">
        <f>'Dist. Rev. Reconciliation'!A13</f>
        <v>Street Lighting</v>
      </c>
      <c r="B13" s="250">
        <f>+'Forecast Data For 2012'!$C$22</f>
        <v>2225083.8466967554</v>
      </c>
      <c r="C13" s="250">
        <f>+'Forecast Data For 2012'!$C$21</f>
        <v>6082.85914889724</v>
      </c>
      <c r="D13" s="250"/>
      <c r="E13" s="250"/>
      <c r="F13" s="250">
        <f>+'Forecast Data For 2012'!$C$20*12</f>
        <v>33614.32367489402</v>
      </c>
      <c r="G13" s="291">
        <f>+F13*'2011 Existing Rates'!$B$13</f>
        <v>336.1432367489402</v>
      </c>
      <c r="H13" s="291">
        <f>+C13*'2011 Existing Rates'!$D$13</f>
        <v>592.4704811025912</v>
      </c>
      <c r="I13" s="291">
        <f t="shared" si="0"/>
        <v>928.6137178515314</v>
      </c>
      <c r="K13" s="315"/>
      <c r="L13" s="315"/>
    </row>
    <row r="14" spans="1:12" ht="19.5" customHeight="1">
      <c r="A14" s="288" t="str">
        <f>'Dist. Rev. Reconciliation'!A14</f>
        <v>USL</v>
      </c>
      <c r="B14" s="250">
        <f>+'Forecast Data For 2012'!$C$24</f>
        <v>188991.4155690055</v>
      </c>
      <c r="C14" s="250"/>
      <c r="D14" s="250"/>
      <c r="E14" s="250"/>
      <c r="F14" s="250">
        <f>+'Forecast Data For 2012'!$C$23*12</f>
        <v>384.34303532151273</v>
      </c>
      <c r="G14" s="291">
        <f>+F14*'2011 Existing Rates'!$C$14</f>
        <v>2129.2604156811803</v>
      </c>
      <c r="H14" s="291">
        <f>+B14*'2011 Existing Rates'!$E$14</f>
        <v>321.2854064673093</v>
      </c>
      <c r="I14" s="291">
        <f t="shared" si="0"/>
        <v>2450.5458221484896</v>
      </c>
      <c r="K14" s="315"/>
      <c r="L14" s="315"/>
    </row>
    <row r="15" spans="1:12" ht="19.5" customHeight="1">
      <c r="A15" s="288" t="str">
        <f>'Dist. Rev. Reconciliation'!A15</f>
        <v>   </v>
      </c>
      <c r="B15" s="250"/>
      <c r="C15" s="250">
        <f>'Forecast Data For 2012'!C26</f>
        <v>0</v>
      </c>
      <c r="D15" s="250"/>
      <c r="E15" s="250"/>
      <c r="F15" s="250"/>
      <c r="G15" s="291">
        <f>+F15*'2011 Existing Rates'!$B$14</f>
        <v>0</v>
      </c>
      <c r="H15" s="291">
        <f>C15*'2011 Existing Rates'!D15</f>
        <v>0</v>
      </c>
      <c r="I15" s="291">
        <f t="shared" si="0"/>
        <v>0</v>
      </c>
      <c r="J15" s="25"/>
      <c r="K15" s="315"/>
      <c r="L15" s="315"/>
    </row>
    <row r="16" spans="1:12" ht="19.5" customHeight="1">
      <c r="A16" s="288" t="str">
        <f>'Dist. Rev. Reconciliation'!A16</f>
        <v>Hydro One </v>
      </c>
      <c r="B16" s="250">
        <f>'Forecast Data For 2012'!C29</f>
        <v>42996782.15295344</v>
      </c>
      <c r="C16" s="250">
        <f>'Forecast Data For 2012'!C28</f>
        <v>96048.52418372396</v>
      </c>
      <c r="D16" s="250"/>
      <c r="E16" s="250">
        <f>'Forecast Data For 2012'!C27*12</f>
        <v>48</v>
      </c>
      <c r="F16" s="250"/>
      <c r="G16" s="291">
        <f>E16*'2011 Existing Rates'!C16</f>
        <v>40437.600000000006</v>
      </c>
      <c r="H16" s="291">
        <f>C16*'2011 Existing Rates'!D68</f>
        <v>12034.880080220611</v>
      </c>
      <c r="I16" s="291">
        <f t="shared" si="0"/>
        <v>52472.480080220615</v>
      </c>
      <c r="J16" s="25"/>
      <c r="K16" s="315"/>
      <c r="L16" s="315"/>
    </row>
    <row r="17" spans="1:10" ht="24.75" customHeight="1" thickBot="1">
      <c r="A17" s="57" t="s">
        <v>41</v>
      </c>
      <c r="B17" s="251">
        <f aca="true" t="shared" si="1" ref="B17:I17">SUM(B8:B16)</f>
        <v>240658927.78864178</v>
      </c>
      <c r="C17" s="251">
        <f t="shared" si="1"/>
        <v>316213.3879337577</v>
      </c>
      <c r="D17" s="251">
        <f t="shared" si="1"/>
        <v>147695.87359169687</v>
      </c>
      <c r="E17" s="251">
        <f t="shared" si="1"/>
        <v>136024.4190250669</v>
      </c>
      <c r="F17" s="251">
        <f t="shared" si="1"/>
        <v>34082.66671021553</v>
      </c>
      <c r="G17" s="251">
        <f t="shared" si="1"/>
        <v>2037822.5251794448</v>
      </c>
      <c r="H17" s="251">
        <f t="shared" si="1"/>
        <v>1277983.7818346685</v>
      </c>
      <c r="I17" s="251">
        <f t="shared" si="1"/>
        <v>3315806.307014114</v>
      </c>
      <c r="J17" s="398"/>
    </row>
    <row r="18" spans="1:9" ht="9.75" customHeight="1" thickTop="1">
      <c r="A18" s="471"/>
      <c r="B18" s="471"/>
      <c r="C18" s="471"/>
      <c r="D18" s="471"/>
      <c r="E18" s="471"/>
      <c r="F18" s="471"/>
      <c r="G18" s="471"/>
      <c r="H18" s="471"/>
      <c r="I18" s="471"/>
    </row>
    <row r="19" spans="1:9" ht="18" customHeight="1">
      <c r="A19" s="558" t="s">
        <v>143</v>
      </c>
      <c r="B19" s="471"/>
      <c r="C19" s="471"/>
      <c r="D19" s="471"/>
      <c r="E19" s="471"/>
      <c r="F19" s="471"/>
      <c r="G19" s="471"/>
      <c r="H19" s="471"/>
      <c r="I19" s="8"/>
    </row>
    <row r="20" spans="1:9" ht="18" customHeight="1">
      <c r="A20" s="559" t="str">
        <f>A10</f>
        <v>GS &gt;50</v>
      </c>
      <c r="B20" s="471"/>
      <c r="C20" s="471"/>
      <c r="D20" s="471"/>
      <c r="E20" s="471"/>
      <c r="F20" s="471"/>
      <c r="G20" s="471"/>
      <c r="H20" s="471"/>
      <c r="I20" s="295">
        <f>'Transformer Allowance'!C12</f>
        <v>-88617.52415501812</v>
      </c>
    </row>
    <row r="21" spans="1:9" ht="18" customHeight="1">
      <c r="A21" s="559" t="str">
        <f>A11</f>
        <v>   </v>
      </c>
      <c r="B21" s="471"/>
      <c r="C21" s="471"/>
      <c r="D21" s="471"/>
      <c r="E21" s="471"/>
      <c r="F21" s="471"/>
      <c r="G21" s="471"/>
      <c r="H21" s="471"/>
      <c r="I21" s="295">
        <f>'Transformer Allowance'!C13</f>
        <v>0</v>
      </c>
    </row>
    <row r="22" spans="1:9" ht="7.5" customHeight="1">
      <c r="A22" s="471"/>
      <c r="B22" s="471"/>
      <c r="C22" s="471"/>
      <c r="D22" s="471"/>
      <c r="E22" s="471"/>
      <c r="F22" s="471"/>
      <c r="G22" s="471"/>
      <c r="H22" s="471"/>
      <c r="I22" s="295"/>
    </row>
    <row r="23" spans="1:9" ht="18" customHeight="1" thickBot="1">
      <c r="A23" s="480" t="s">
        <v>144</v>
      </c>
      <c r="B23" s="480"/>
      <c r="C23" s="480"/>
      <c r="D23" s="480"/>
      <c r="E23" s="480"/>
      <c r="F23" s="480"/>
      <c r="G23" s="480"/>
      <c r="H23" s="480"/>
      <c r="I23" s="296">
        <f>+I17+I20+I21</f>
        <v>3227188.7828590963</v>
      </c>
    </row>
    <row r="24" spans="1:9" ht="7.5" customHeight="1" thickTop="1">
      <c r="A24" s="471"/>
      <c r="B24" s="471"/>
      <c r="C24" s="471"/>
      <c r="D24" s="471"/>
      <c r="E24" s="471"/>
      <c r="F24" s="471"/>
      <c r="G24" s="471"/>
      <c r="H24" s="471"/>
      <c r="I24" s="297"/>
    </row>
    <row r="25" spans="1:9" ht="18" customHeight="1">
      <c r="A25" s="556" t="s">
        <v>141</v>
      </c>
      <c r="B25" s="556"/>
      <c r="C25" s="556"/>
      <c r="D25" s="556"/>
      <c r="E25" s="556"/>
      <c r="F25" s="556"/>
      <c r="G25" s="556"/>
      <c r="H25" s="556"/>
      <c r="I25" s="298">
        <f>+'Revenue Input'!B9</f>
        <v>627805.125</v>
      </c>
    </row>
    <row r="26" spans="1:9" ht="18" customHeight="1" thickBot="1">
      <c r="A26" s="480" t="s">
        <v>142</v>
      </c>
      <c r="B26" s="480"/>
      <c r="C26" s="480"/>
      <c r="D26" s="480"/>
      <c r="E26" s="480"/>
      <c r="F26" s="480"/>
      <c r="G26" s="480"/>
      <c r="H26" s="480"/>
      <c r="I26" s="299">
        <f>+I23+I25</f>
        <v>3854993.9078590963</v>
      </c>
    </row>
    <row r="27" spans="1:9" ht="7.5" customHeight="1">
      <c r="A27" s="471"/>
      <c r="B27" s="471"/>
      <c r="C27" s="471"/>
      <c r="D27" s="471"/>
      <c r="E27" s="471"/>
      <c r="F27" s="471"/>
      <c r="G27" s="471"/>
      <c r="H27" s="471"/>
      <c r="I27" s="297"/>
    </row>
    <row r="28" spans="1:9" ht="18" customHeight="1" thickBot="1">
      <c r="A28" s="480" t="s">
        <v>139</v>
      </c>
      <c r="B28" s="480"/>
      <c r="C28" s="480"/>
      <c r="D28" s="480"/>
      <c r="E28" s="480"/>
      <c r="F28" s="480"/>
      <c r="G28" s="480"/>
      <c r="H28" s="480"/>
      <c r="I28" s="299">
        <f>+'Revenue Input'!B8</f>
        <v>3725085.0806821873</v>
      </c>
    </row>
    <row r="29" spans="1:9" ht="7.5" customHeight="1">
      <c r="A29" s="471"/>
      <c r="B29" s="471"/>
      <c r="C29" s="471"/>
      <c r="D29" s="471"/>
      <c r="E29" s="471"/>
      <c r="F29" s="471"/>
      <c r="G29" s="471"/>
      <c r="H29" s="471"/>
      <c r="I29" s="300"/>
    </row>
    <row r="30" spans="1:9" ht="18" customHeight="1" thickBot="1">
      <c r="A30" s="480" t="s">
        <v>140</v>
      </c>
      <c r="B30" s="480"/>
      <c r="C30" s="480"/>
      <c r="D30" s="480"/>
      <c r="E30" s="480"/>
      <c r="F30" s="480"/>
      <c r="G30" s="480"/>
      <c r="H30" s="480"/>
      <c r="I30" s="301">
        <f>+I28-I26</f>
        <v>-129908.82717690896</v>
      </c>
    </row>
    <row r="31" ht="13.5" thickTop="1"/>
    <row r="32" spans="7:11" ht="12.75">
      <c r="G32" s="16"/>
      <c r="H32" s="16"/>
      <c r="I32" s="16"/>
      <c r="J32" s="16"/>
      <c r="K32" s="16"/>
    </row>
    <row r="33" spans="7:11" ht="12.75">
      <c r="G33" s="16"/>
      <c r="H33" s="16"/>
      <c r="I33" s="16"/>
      <c r="J33" s="16"/>
      <c r="K33" s="16"/>
    </row>
    <row r="34" ht="12.75">
      <c r="I34" s="9"/>
    </row>
  </sheetData>
  <sheetProtection/>
  <mergeCells count="19">
    <mergeCell ref="A5:I5"/>
    <mergeCell ref="A6:I6"/>
    <mergeCell ref="A1:I1"/>
    <mergeCell ref="A2:I2"/>
    <mergeCell ref="A3:I3"/>
    <mergeCell ref="A4:I4"/>
    <mergeCell ref="A18:I18"/>
    <mergeCell ref="A19:H19"/>
    <mergeCell ref="A20:H20"/>
    <mergeCell ref="A21:H21"/>
    <mergeCell ref="A22:H22"/>
    <mergeCell ref="A23:H23"/>
    <mergeCell ref="A24:H24"/>
    <mergeCell ref="A25:H25"/>
    <mergeCell ref="A30:H30"/>
    <mergeCell ref="A26:H26"/>
    <mergeCell ref="A27:H27"/>
    <mergeCell ref="A28:H28"/>
    <mergeCell ref="A29:H29"/>
  </mergeCells>
  <printOptions/>
  <pageMargins left="0.75" right="0.75" top="1" bottom="1" header="0.5" footer="0.5"/>
  <pageSetup fitToHeight="1" fitToWidth="1" horizontalDpi="355" verticalDpi="355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0.8515625" style="0" customWidth="1"/>
    <col min="2" max="2" width="15.7109375" style="0" customWidth="1"/>
    <col min="3" max="3" width="17.57421875" style="0" bestFit="1" customWidth="1"/>
    <col min="4" max="4" width="15.7109375" style="0" customWidth="1"/>
    <col min="5" max="5" width="17.57421875" style="0" bestFit="1" customWidth="1"/>
    <col min="6" max="6" width="15.7109375" style="0" customWidth="1"/>
    <col min="7" max="7" width="17.57421875" style="0" bestFit="1" customWidth="1"/>
    <col min="8" max="8" width="15.7109375" style="0" customWidth="1"/>
    <col min="9" max="9" width="17.57421875" style="0" bestFit="1" customWidth="1"/>
  </cols>
  <sheetData>
    <row r="1" spans="1:9" ht="12.75">
      <c r="A1" s="470" t="str">
        <f>+'Revenue Input'!A1</f>
        <v>E.L.K. Energy Inc., </v>
      </c>
      <c r="B1" s="470"/>
      <c r="C1" s="470"/>
      <c r="D1" s="470"/>
      <c r="E1" s="470"/>
      <c r="F1" s="470"/>
      <c r="G1" s="470"/>
      <c r="H1" s="470"/>
      <c r="I1" s="470"/>
    </row>
    <row r="2" spans="1:9" ht="12.75">
      <c r="A2" s="470" t="str">
        <f>+'Revenue Input'!A2</f>
        <v>ED-2003-0015 , EB-2011-099</v>
      </c>
      <c r="B2" s="470"/>
      <c r="C2" s="470"/>
      <c r="D2" s="470"/>
      <c r="E2" s="470"/>
      <c r="F2" s="470"/>
      <c r="G2" s="470"/>
      <c r="H2" s="470"/>
      <c r="I2" s="470"/>
    </row>
    <row r="3" spans="1:9" ht="12.75">
      <c r="A3" s="470">
        <f>+'Revenue Input'!A3</f>
        <v>0</v>
      </c>
      <c r="B3" s="470"/>
      <c r="C3" s="470"/>
      <c r="D3" s="470"/>
      <c r="E3" s="470"/>
      <c r="F3" s="470"/>
      <c r="G3" s="470"/>
      <c r="H3" s="470"/>
      <c r="I3" s="470"/>
    </row>
    <row r="4" spans="1:9" ht="8.25" customHeight="1">
      <c r="A4" s="471"/>
      <c r="B4" s="471"/>
      <c r="C4" s="471"/>
      <c r="D4" s="471"/>
      <c r="E4" s="471"/>
      <c r="F4" s="471"/>
      <c r="G4" s="471"/>
      <c r="H4" s="471"/>
      <c r="I4" s="471"/>
    </row>
    <row r="5" spans="1:9" ht="17.25" customHeight="1">
      <c r="A5" s="8"/>
      <c r="B5" s="8"/>
      <c r="C5" s="8"/>
      <c r="D5" s="8"/>
      <c r="E5" s="8"/>
      <c r="F5" s="8"/>
      <c r="G5" s="8"/>
      <c r="H5" s="8"/>
      <c r="I5" s="8"/>
    </row>
    <row r="6" spans="1:3" ht="15" customHeight="1">
      <c r="A6" s="475" t="s">
        <v>38</v>
      </c>
      <c r="B6" s="475"/>
      <c r="C6" s="475"/>
    </row>
    <row r="7" ht="15" customHeight="1"/>
    <row r="8" spans="1:3" ht="15" customHeight="1">
      <c r="A8" s="476"/>
      <c r="B8" s="476"/>
      <c r="C8" s="476"/>
    </row>
    <row r="9" spans="1:3" ht="15.75">
      <c r="A9" s="473" t="s">
        <v>175</v>
      </c>
      <c r="B9" s="472" t="s">
        <v>238</v>
      </c>
      <c r="C9" s="472"/>
    </row>
    <row r="10" spans="1:3" ht="15.75">
      <c r="A10" s="474"/>
      <c r="B10" s="78" t="s">
        <v>34</v>
      </c>
      <c r="C10" s="79" t="s">
        <v>37</v>
      </c>
    </row>
    <row r="11" spans="1:3" ht="15.75">
      <c r="A11" s="80" t="s">
        <v>35</v>
      </c>
      <c r="B11" s="81"/>
      <c r="C11" s="82"/>
    </row>
    <row r="12" spans="1:9" ht="15.75">
      <c r="A12" s="83" t="str">
        <f>'Forecast Data For 2012'!A11</f>
        <v>GS &gt;50</v>
      </c>
      <c r="B12" s="425">
        <f>36722/53224*'Forecast Data For 2012'!C12</f>
        <v>147695.87359169687</v>
      </c>
      <c r="C12" s="292">
        <f>+B12*$B$17</f>
        <v>-88617.52415501812</v>
      </c>
      <c r="E12" s="56"/>
      <c r="F12" s="56"/>
      <c r="G12" s="56"/>
      <c r="H12" s="8"/>
      <c r="I12" s="8"/>
    </row>
    <row r="13" spans="1:9" ht="15.75">
      <c r="A13" s="83" t="str">
        <f>'Forecast Data For 2012'!A14</f>
        <v>   </v>
      </c>
      <c r="B13" s="285"/>
      <c r="C13" s="292">
        <f>+B13*$B$17</f>
        <v>0</v>
      </c>
      <c r="E13" s="56"/>
      <c r="F13" s="56"/>
      <c r="G13" s="56"/>
      <c r="H13" s="8"/>
      <c r="I13" s="8"/>
    </row>
    <row r="14" spans="1:9" ht="15.75">
      <c r="A14" s="83"/>
      <c r="B14" s="285">
        <v>0</v>
      </c>
      <c r="C14" s="292">
        <f>+B14*$B$17</f>
        <v>0</v>
      </c>
      <c r="E14" s="56"/>
      <c r="F14" s="56"/>
      <c r="G14" s="56"/>
      <c r="H14" s="8"/>
      <c r="I14" s="8"/>
    </row>
    <row r="15" spans="1:3" ht="15.75">
      <c r="A15" s="84" t="s">
        <v>36</v>
      </c>
      <c r="B15" s="286">
        <f>SUM(B12:B14)</f>
        <v>147695.87359169687</v>
      </c>
      <c r="C15" s="292">
        <f>SUM(C12:C14)</f>
        <v>-88617.52415501812</v>
      </c>
    </row>
    <row r="16" ht="13.5" thickBot="1"/>
    <row r="17" spans="1:2" ht="16.5" thickBot="1">
      <c r="A17" s="5" t="s">
        <v>176</v>
      </c>
      <c r="B17" s="293">
        <v>-0.6</v>
      </c>
    </row>
    <row r="18" ht="15">
      <c r="A18" s="4"/>
    </row>
    <row r="19" ht="15.75">
      <c r="A19" s="5"/>
    </row>
    <row r="20" ht="15">
      <c r="A20" s="4"/>
    </row>
    <row r="21" ht="15">
      <c r="A21" s="4"/>
    </row>
    <row r="22" ht="15">
      <c r="A22" s="4"/>
    </row>
    <row r="24" ht="15.75">
      <c r="A24" s="5"/>
    </row>
    <row r="25" ht="15">
      <c r="A25" s="4"/>
    </row>
    <row r="26" ht="15.75">
      <c r="A26" s="5"/>
    </row>
    <row r="27" ht="15">
      <c r="A27" s="4"/>
    </row>
    <row r="28" ht="15">
      <c r="A28" s="4"/>
    </row>
    <row r="29" ht="15">
      <c r="A29" s="4"/>
    </row>
    <row r="31" ht="15.75">
      <c r="A31" s="5"/>
    </row>
    <row r="32" ht="15">
      <c r="A32" s="4"/>
    </row>
    <row r="33" ht="15.75">
      <c r="A33" s="5"/>
    </row>
    <row r="34" ht="15">
      <c r="A34" s="4"/>
    </row>
    <row r="35" ht="15">
      <c r="A35" s="4"/>
    </row>
    <row r="36" ht="15">
      <c r="A36" s="4"/>
    </row>
  </sheetData>
  <sheetProtection/>
  <mergeCells count="8">
    <mergeCell ref="A1:I1"/>
    <mergeCell ref="A2:I2"/>
    <mergeCell ref="A3:I3"/>
    <mergeCell ref="A4:I4"/>
    <mergeCell ref="B9:C9"/>
    <mergeCell ref="A9:A10"/>
    <mergeCell ref="A6:C6"/>
    <mergeCell ref="A8:C8"/>
  </mergeCells>
  <printOptions/>
  <pageMargins left="0.75" right="0.75" top="1" bottom="1" header="0.5" footer="0.5"/>
  <pageSetup fitToHeight="1" fitToWidth="1" horizontalDpi="355" verticalDpi="355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D16" sqref="D16"/>
    </sheetView>
  </sheetViews>
  <sheetFormatPr defaultColWidth="9.28125" defaultRowHeight="12.75"/>
  <cols>
    <col min="1" max="1" width="32.7109375" style="0" bestFit="1" customWidth="1"/>
    <col min="2" max="2" width="16.421875" style="0" customWidth="1"/>
    <col min="3" max="3" width="15.140625" style="0" customWidth="1"/>
    <col min="4" max="4" width="12.00390625" style="0" customWidth="1"/>
    <col min="5" max="5" width="14.421875" style="0" customWidth="1"/>
  </cols>
  <sheetData>
    <row r="1" spans="1:5" ht="12.75">
      <c r="A1" s="470" t="str">
        <f>+'Revenue Input'!A1</f>
        <v>E.L.K. Energy Inc., </v>
      </c>
      <c r="B1" s="470"/>
      <c r="C1" s="470"/>
      <c r="D1" s="470"/>
      <c r="E1" s="470"/>
    </row>
    <row r="2" spans="1:5" ht="12.75">
      <c r="A2" s="470" t="str">
        <f>+'Revenue Input'!A1</f>
        <v>E.L.K. Energy Inc., </v>
      </c>
      <c r="B2" s="470"/>
      <c r="C2" s="470"/>
      <c r="D2" s="470"/>
      <c r="E2" s="470"/>
    </row>
    <row r="3" spans="1:5" ht="12.75">
      <c r="A3" s="470" t="str">
        <f>+'Revenue Input'!A2</f>
        <v>ED-2003-0015 , EB-2011-099</v>
      </c>
      <c r="B3" s="470"/>
      <c r="C3" s="470"/>
      <c r="D3" s="470"/>
      <c r="E3" s="470"/>
    </row>
    <row r="4" spans="1:5" ht="12.75">
      <c r="A4" s="480"/>
      <c r="B4" s="480"/>
      <c r="C4" s="480"/>
      <c r="D4" s="480"/>
      <c r="E4" s="480"/>
    </row>
    <row r="5" spans="1:5" s="8" customFormat="1" ht="48.75" customHeight="1">
      <c r="A5" s="485" t="s">
        <v>236</v>
      </c>
      <c r="B5" s="485"/>
      <c r="C5" s="485"/>
      <c r="D5" s="485"/>
      <c r="E5" s="485"/>
    </row>
    <row r="6" spans="1:5" s="8" customFormat="1" ht="13.5" thickBot="1">
      <c r="A6" s="484"/>
      <c r="B6" s="484"/>
      <c r="C6" s="484"/>
      <c r="D6" s="484"/>
      <c r="E6" s="484"/>
    </row>
    <row r="7" spans="1:5" ht="13.5" thickBot="1">
      <c r="A7" s="87" t="s">
        <v>0</v>
      </c>
      <c r="B7" s="88" t="s">
        <v>25</v>
      </c>
      <c r="C7" s="88" t="s">
        <v>26</v>
      </c>
      <c r="D7" s="88" t="s">
        <v>17</v>
      </c>
      <c r="E7" s="88" t="s">
        <v>16</v>
      </c>
    </row>
    <row r="8" spans="1:9" ht="12.75">
      <c r="A8" s="89" t="str">
        <f>'Forecast Data For 2012'!A7</f>
        <v>Residential</v>
      </c>
      <c r="B8" s="387"/>
      <c r="C8" s="394">
        <v>11.13</v>
      </c>
      <c r="D8" s="387"/>
      <c r="E8" s="387">
        <v>0.0079</v>
      </c>
      <c r="F8" s="56"/>
      <c r="G8" s="8"/>
      <c r="H8" s="8"/>
      <c r="I8" s="8"/>
    </row>
    <row r="9" spans="1:9" ht="12.75">
      <c r="A9" s="90" t="str">
        <f>'Forecast Data For 2012'!A9</f>
        <v>GS &lt; 50 kW</v>
      </c>
      <c r="B9" s="387"/>
      <c r="C9" s="394">
        <v>11.06</v>
      </c>
      <c r="D9" s="387"/>
      <c r="E9" s="387">
        <v>0.0017</v>
      </c>
      <c r="F9" s="8"/>
      <c r="G9" s="8"/>
      <c r="H9" s="8"/>
      <c r="I9" s="8"/>
    </row>
    <row r="10" spans="1:9" ht="12.75">
      <c r="A10" s="90" t="str">
        <f>'Forecast Data For 2012'!A11</f>
        <v>GS &gt;50</v>
      </c>
      <c r="B10" s="387"/>
      <c r="C10" s="394">
        <v>436.99</v>
      </c>
      <c r="D10" s="387">
        <v>2.8308</v>
      </c>
      <c r="E10" s="387"/>
      <c r="F10" s="8"/>
      <c r="G10" s="8"/>
      <c r="H10" s="8"/>
      <c r="I10" s="8"/>
    </row>
    <row r="11" spans="1:9" ht="12.75">
      <c r="A11" s="90" t="str">
        <f>'Forecast Data For 2012'!A14</f>
        <v>   </v>
      </c>
      <c r="B11" s="387"/>
      <c r="C11" s="394">
        <v>842.45</v>
      </c>
      <c r="D11" s="387">
        <v>0.1253</v>
      </c>
      <c r="E11" s="387"/>
      <c r="F11" s="8"/>
      <c r="G11" s="8"/>
      <c r="H11" s="8"/>
      <c r="I11" s="8"/>
    </row>
    <row r="12" spans="1:9" ht="12.75">
      <c r="A12" s="90" t="str">
        <f>'Forecast Data For 2012'!A17</f>
        <v>Sentinel Lights</v>
      </c>
      <c r="B12" s="394">
        <v>0.4</v>
      </c>
      <c r="C12" s="394"/>
      <c r="D12" s="387">
        <v>0.7508</v>
      </c>
      <c r="E12" s="387"/>
      <c r="F12" s="8"/>
      <c r="G12" s="8"/>
      <c r="H12" s="8"/>
      <c r="I12" s="8"/>
    </row>
    <row r="13" spans="1:9" ht="12.75">
      <c r="A13" s="90" t="str">
        <f>'Forecast Data For 2012'!A20</f>
        <v>Street Lighting</v>
      </c>
      <c r="B13" s="394">
        <v>0.01</v>
      </c>
      <c r="C13" s="394"/>
      <c r="D13" s="387">
        <v>0.0974</v>
      </c>
      <c r="E13" s="387"/>
      <c r="F13" s="8"/>
      <c r="G13" s="8"/>
      <c r="H13" s="8"/>
      <c r="I13" s="8"/>
    </row>
    <row r="14" spans="1:9" ht="12.75">
      <c r="A14" s="90" t="str">
        <f>'Forecast Data For 2012'!A23</f>
        <v>USL</v>
      </c>
      <c r="B14" s="394"/>
      <c r="C14" s="394">
        <v>5.54</v>
      </c>
      <c r="D14" s="387"/>
      <c r="E14" s="387">
        <v>0.0017</v>
      </c>
      <c r="F14" s="8"/>
      <c r="G14" s="8"/>
      <c r="H14" s="8"/>
      <c r="I14" s="8"/>
    </row>
    <row r="15" spans="1:9" ht="12.75">
      <c r="A15" s="90" t="str">
        <f>'Forecast Data For 2012'!A25</f>
        <v>   </v>
      </c>
      <c r="B15" s="394"/>
      <c r="C15" s="394"/>
      <c r="D15" s="387"/>
      <c r="E15" s="387"/>
      <c r="F15" s="8"/>
      <c r="G15" s="8"/>
      <c r="H15" s="8"/>
      <c r="I15" s="8"/>
    </row>
    <row r="16" spans="1:9" ht="12.75">
      <c r="A16" s="90" t="str">
        <f>'Forecast Data For 2012'!A27</f>
        <v>Hydro One </v>
      </c>
      <c r="B16" s="387"/>
      <c r="C16" s="394">
        <v>842.45</v>
      </c>
      <c r="D16" s="387">
        <v>0.1253</v>
      </c>
      <c r="E16" s="387"/>
      <c r="F16" s="8"/>
      <c r="G16" s="8"/>
      <c r="H16" s="8"/>
      <c r="I16" s="8"/>
    </row>
    <row r="17" spans="1:5" s="8" customFormat="1" ht="12.75">
      <c r="A17" s="471"/>
      <c r="B17" s="471"/>
      <c r="C17" s="471"/>
      <c r="D17" s="471"/>
      <c r="E17" s="471"/>
    </row>
    <row r="18" spans="1:5" s="8" customFormat="1" ht="18">
      <c r="A18" s="479" t="s">
        <v>240</v>
      </c>
      <c r="B18" s="479"/>
      <c r="C18" s="479"/>
      <c r="D18" s="479"/>
      <c r="E18" s="479"/>
    </row>
    <row r="19" spans="1:5" s="8" customFormat="1" ht="13.5" thickBot="1">
      <c r="A19" s="480"/>
      <c r="B19" s="480"/>
      <c r="C19" s="480"/>
      <c r="D19" s="480"/>
      <c r="E19" s="480"/>
    </row>
    <row r="20" spans="1:9" ht="51.75" customHeight="1" thickBot="1">
      <c r="A20" s="87" t="s">
        <v>0</v>
      </c>
      <c r="B20" s="481" t="s">
        <v>46</v>
      </c>
      <c r="C20" s="483"/>
      <c r="D20" s="481" t="s">
        <v>47</v>
      </c>
      <c r="E20" s="483"/>
      <c r="F20" s="8"/>
      <c r="G20" s="8"/>
      <c r="H20" s="8"/>
      <c r="I20" s="8"/>
    </row>
    <row r="21" spans="1:5" ht="12.75">
      <c r="A21" s="89" t="str">
        <f aca="true" t="shared" si="0" ref="A21:A29">A8</f>
        <v>Residential</v>
      </c>
      <c r="B21" s="487">
        <v>0.0086</v>
      </c>
      <c r="C21" s="487"/>
      <c r="D21" s="487"/>
      <c r="E21" s="487"/>
    </row>
    <row r="22" spans="1:5" ht="12.75">
      <c r="A22" s="89" t="str">
        <f t="shared" si="0"/>
        <v>GS &lt; 50 kW</v>
      </c>
      <c r="B22" s="477">
        <v>0.0067</v>
      </c>
      <c r="C22" s="477"/>
      <c r="D22" s="477"/>
      <c r="E22" s="477"/>
    </row>
    <row r="23" spans="1:5" ht="12.75">
      <c r="A23" s="89" t="str">
        <f t="shared" si="0"/>
        <v>GS &gt;50</v>
      </c>
      <c r="B23" s="486"/>
      <c r="C23" s="486"/>
      <c r="D23" s="477">
        <v>5.9562</v>
      </c>
      <c r="E23" s="477"/>
    </row>
    <row r="24" spans="1:5" ht="12.75">
      <c r="A24" s="89" t="str">
        <f t="shared" si="0"/>
        <v>   </v>
      </c>
      <c r="B24" s="477"/>
      <c r="C24" s="477"/>
      <c r="D24" s="477"/>
      <c r="E24" s="477"/>
    </row>
    <row r="25" spans="1:5" ht="12.75">
      <c r="A25" s="89" t="str">
        <f t="shared" si="0"/>
        <v>Sentinel Lights</v>
      </c>
      <c r="B25" s="486"/>
      <c r="C25" s="486"/>
      <c r="D25" s="477"/>
      <c r="E25" s="477"/>
    </row>
    <row r="26" spans="1:5" ht="12.75">
      <c r="A26" s="89" t="str">
        <f t="shared" si="0"/>
        <v>Street Lighting</v>
      </c>
      <c r="B26" s="486"/>
      <c r="C26" s="486"/>
      <c r="D26" s="477">
        <v>0.0209</v>
      </c>
      <c r="E26" s="477"/>
    </row>
    <row r="27" spans="1:5" ht="12.75">
      <c r="A27" s="89" t="str">
        <f t="shared" si="0"/>
        <v>USL</v>
      </c>
      <c r="B27" s="477">
        <v>0.0001</v>
      </c>
      <c r="C27" s="477"/>
      <c r="D27" s="477"/>
      <c r="E27" s="477"/>
    </row>
    <row r="28" spans="1:5" ht="12.75">
      <c r="A28" s="89" t="str">
        <f t="shared" si="0"/>
        <v>   </v>
      </c>
      <c r="B28" s="477"/>
      <c r="C28" s="477"/>
      <c r="D28" s="477"/>
      <c r="E28" s="477"/>
    </row>
    <row r="29" spans="1:5" ht="12.75">
      <c r="A29" s="89" t="str">
        <f t="shared" si="0"/>
        <v>Hydro One </v>
      </c>
      <c r="B29" s="477"/>
      <c r="C29" s="477"/>
      <c r="D29" s="477"/>
      <c r="E29" s="477"/>
    </row>
    <row r="30" spans="1:5" ht="12.75">
      <c r="A30" s="65"/>
      <c r="B30" s="389"/>
      <c r="C30" s="389"/>
      <c r="D30" s="389"/>
      <c r="E30" s="389"/>
    </row>
    <row r="31" spans="1:5" ht="18">
      <c r="A31" s="479" t="s">
        <v>241</v>
      </c>
      <c r="B31" s="479"/>
      <c r="C31" s="479"/>
      <c r="D31" s="479"/>
      <c r="E31" s="479"/>
    </row>
    <row r="32" spans="1:5" ht="13.5" thickBot="1">
      <c r="A32" s="480"/>
      <c r="B32" s="480"/>
      <c r="C32" s="480"/>
      <c r="D32" s="480"/>
      <c r="E32" s="480"/>
    </row>
    <row r="33" spans="1:5" ht="40.5" customHeight="1" thickBot="1">
      <c r="A33" s="87" t="s">
        <v>0</v>
      </c>
      <c r="B33" s="481" t="s">
        <v>170</v>
      </c>
      <c r="C33" s="482"/>
      <c r="D33" s="481" t="s">
        <v>171</v>
      </c>
      <c r="E33" s="482"/>
    </row>
    <row r="34" spans="1:5" ht="12.75">
      <c r="A34" s="90" t="str">
        <f aca="true" t="shared" si="1" ref="A34:A42">A21</f>
        <v>Residential</v>
      </c>
      <c r="B34" s="477">
        <v>0.0016</v>
      </c>
      <c r="C34" s="477"/>
      <c r="D34" s="477"/>
      <c r="E34" s="477"/>
    </row>
    <row r="35" spans="1:5" ht="12.75">
      <c r="A35" s="90" t="str">
        <f t="shared" si="1"/>
        <v>GS &lt; 50 kW</v>
      </c>
      <c r="B35" s="477">
        <v>0.0014</v>
      </c>
      <c r="C35" s="477"/>
      <c r="D35" s="477"/>
      <c r="E35" s="477"/>
    </row>
    <row r="36" spans="1:5" ht="12.75">
      <c r="A36" s="90" t="str">
        <f t="shared" si="1"/>
        <v>GS &gt;50</v>
      </c>
      <c r="B36" s="477"/>
      <c r="C36" s="477"/>
      <c r="D36" s="477">
        <v>0.5822</v>
      </c>
      <c r="E36" s="477"/>
    </row>
    <row r="37" spans="1:5" ht="12.75">
      <c r="A37" s="90" t="str">
        <f t="shared" si="1"/>
        <v>   </v>
      </c>
      <c r="B37" s="477"/>
      <c r="C37" s="477"/>
      <c r="D37" s="477"/>
      <c r="E37" s="477"/>
    </row>
    <row r="38" spans="1:5" ht="12.75">
      <c r="A38" s="90" t="str">
        <f t="shared" si="1"/>
        <v>Sentinel Lights</v>
      </c>
      <c r="B38" s="477"/>
      <c r="C38" s="477"/>
      <c r="D38" s="477"/>
      <c r="E38" s="477"/>
    </row>
    <row r="39" spans="1:5" ht="12.75">
      <c r="A39" s="90" t="str">
        <f t="shared" si="1"/>
        <v>Street Lighting</v>
      </c>
      <c r="B39" s="477"/>
      <c r="C39" s="477"/>
      <c r="D39" s="477">
        <v>0.4394</v>
      </c>
      <c r="E39" s="477"/>
    </row>
    <row r="40" spans="1:5" ht="12.75">
      <c r="A40" s="90" t="str">
        <f t="shared" si="1"/>
        <v>USL</v>
      </c>
      <c r="B40" s="477">
        <v>0.0014</v>
      </c>
      <c r="C40" s="477"/>
      <c r="D40" s="477"/>
      <c r="E40" s="477"/>
    </row>
    <row r="41" spans="1:5" ht="12.75">
      <c r="A41" s="90" t="str">
        <f t="shared" si="1"/>
        <v>   </v>
      </c>
      <c r="B41" s="477"/>
      <c r="C41" s="477"/>
      <c r="D41" s="477"/>
      <c r="E41" s="477"/>
    </row>
    <row r="42" spans="1:5" ht="12.75">
      <c r="A42" s="90" t="str">
        <f t="shared" si="1"/>
        <v>Hydro One </v>
      </c>
      <c r="B42" s="477"/>
      <c r="C42" s="477"/>
      <c r="D42" s="477"/>
      <c r="E42" s="477"/>
    </row>
    <row r="43" spans="1:5" ht="12.75">
      <c r="A43" s="65"/>
      <c r="B43" s="389"/>
      <c r="C43" s="389"/>
      <c r="D43" s="389"/>
      <c r="E43" s="389"/>
    </row>
    <row r="44" spans="1:5" ht="18">
      <c r="A44" s="479" t="s">
        <v>242</v>
      </c>
      <c r="B44" s="479"/>
      <c r="C44" s="479"/>
      <c r="D44" s="479"/>
      <c r="E44" s="479"/>
    </row>
    <row r="45" spans="1:5" ht="13.5" thickBot="1">
      <c r="A45" s="480"/>
      <c r="B45" s="480"/>
      <c r="C45" s="480"/>
      <c r="D45" s="480"/>
      <c r="E45" s="480"/>
    </row>
    <row r="46" spans="1:2" ht="13.5" thickBot="1">
      <c r="A46" s="274" t="s">
        <v>0</v>
      </c>
      <c r="B46" s="275" t="s">
        <v>188</v>
      </c>
    </row>
    <row r="47" spans="1:2" ht="12.75">
      <c r="A47" s="90" t="str">
        <f aca="true" t="shared" si="2" ref="A47:A55">A34</f>
        <v>Residential</v>
      </c>
      <c r="B47" s="386">
        <v>1.45</v>
      </c>
    </row>
    <row r="48" spans="1:2" ht="12.75">
      <c r="A48" s="90" t="str">
        <f t="shared" si="2"/>
        <v>GS &lt; 50 kW</v>
      </c>
      <c r="B48" s="386">
        <v>1.45</v>
      </c>
    </row>
    <row r="49" spans="1:2" ht="12.75">
      <c r="A49" s="90" t="str">
        <f t="shared" si="2"/>
        <v>GS &gt;50</v>
      </c>
      <c r="B49" s="386">
        <v>1.45</v>
      </c>
    </row>
    <row r="50" spans="1:2" ht="12.75">
      <c r="A50" s="90" t="str">
        <f t="shared" si="2"/>
        <v>   </v>
      </c>
      <c r="B50" s="386"/>
    </row>
    <row r="51" spans="1:2" ht="12.75">
      <c r="A51" s="90" t="str">
        <f t="shared" si="2"/>
        <v>Sentinel Lights</v>
      </c>
      <c r="B51" s="386"/>
    </row>
    <row r="52" spans="1:2" ht="12.75">
      <c r="A52" s="90" t="str">
        <f t="shared" si="2"/>
        <v>Street Lighting</v>
      </c>
      <c r="B52" s="386"/>
    </row>
    <row r="53" spans="1:2" ht="12.75">
      <c r="A53" s="90" t="str">
        <f t="shared" si="2"/>
        <v>USL</v>
      </c>
      <c r="B53" s="386"/>
    </row>
    <row r="54" spans="1:2" ht="12.75">
      <c r="A54" s="90" t="str">
        <f t="shared" si="2"/>
        <v>   </v>
      </c>
      <c r="B54" s="386"/>
    </row>
    <row r="55" spans="1:2" ht="12.75">
      <c r="A55" s="90" t="str">
        <f t="shared" si="2"/>
        <v>Hydro One </v>
      </c>
      <c r="B55" s="386"/>
    </row>
    <row r="57" spans="1:5" s="8" customFormat="1" ht="18">
      <c r="A57" s="479" t="s">
        <v>239</v>
      </c>
      <c r="B57" s="479"/>
      <c r="C57" s="479"/>
      <c r="D57" s="479"/>
      <c r="E57" s="479"/>
    </row>
    <row r="58" spans="1:5" ht="13.5" thickBot="1">
      <c r="A58" s="480"/>
      <c r="B58" s="480"/>
      <c r="C58" s="480"/>
      <c r="D58" s="480"/>
      <c r="E58" s="480"/>
    </row>
    <row r="59" spans="1:5" ht="13.5" thickBot="1">
      <c r="A59" s="87" t="s">
        <v>0</v>
      </c>
      <c r="B59" s="481" t="s">
        <v>56</v>
      </c>
      <c r="C59" s="482"/>
      <c r="D59" s="481" t="s">
        <v>23</v>
      </c>
      <c r="E59" s="482"/>
    </row>
    <row r="60" spans="1:5" ht="12.75">
      <c r="A60" s="90" t="str">
        <f aca="true" t="shared" si="3" ref="A60:A68">A34</f>
        <v>Residential</v>
      </c>
      <c r="B60" s="478">
        <f>E8</f>
        <v>0.0079</v>
      </c>
      <c r="C60" s="478"/>
      <c r="D60" s="478">
        <f>D8</f>
        <v>0</v>
      </c>
      <c r="E60" s="478"/>
    </row>
    <row r="61" spans="1:5" ht="12.75">
      <c r="A61" s="90" t="str">
        <f t="shared" si="3"/>
        <v>GS &lt; 50 kW</v>
      </c>
      <c r="B61" s="478">
        <f aca="true" t="shared" si="4" ref="B61:B67">E9</f>
        <v>0.0017</v>
      </c>
      <c r="C61" s="478"/>
      <c r="D61" s="478">
        <f aca="true" t="shared" si="5" ref="D61:D68">D9</f>
        <v>0</v>
      </c>
      <c r="E61" s="478"/>
    </row>
    <row r="62" spans="1:5" ht="12.75">
      <c r="A62" s="90" t="str">
        <f t="shared" si="3"/>
        <v>GS &gt;50</v>
      </c>
      <c r="B62" s="478">
        <f t="shared" si="4"/>
        <v>0</v>
      </c>
      <c r="C62" s="478"/>
      <c r="D62" s="478">
        <f t="shared" si="5"/>
        <v>2.8308</v>
      </c>
      <c r="E62" s="478"/>
    </row>
    <row r="63" spans="1:5" ht="12.75">
      <c r="A63" s="90" t="str">
        <f t="shared" si="3"/>
        <v>   </v>
      </c>
      <c r="B63" s="478">
        <f t="shared" si="4"/>
        <v>0</v>
      </c>
      <c r="C63" s="478"/>
      <c r="D63" s="478">
        <f t="shared" si="5"/>
        <v>0.1253</v>
      </c>
      <c r="E63" s="478"/>
    </row>
    <row r="64" spans="1:5" ht="12.75">
      <c r="A64" s="90" t="str">
        <f t="shared" si="3"/>
        <v>Sentinel Lights</v>
      </c>
      <c r="B64" s="478">
        <f t="shared" si="4"/>
        <v>0</v>
      </c>
      <c r="C64" s="478"/>
      <c r="D64" s="478">
        <f t="shared" si="5"/>
        <v>0.7508</v>
      </c>
      <c r="E64" s="478"/>
    </row>
    <row r="65" spans="1:5" ht="12.75">
      <c r="A65" s="90" t="str">
        <f t="shared" si="3"/>
        <v>Street Lighting</v>
      </c>
      <c r="B65" s="478">
        <f t="shared" si="4"/>
        <v>0</v>
      </c>
      <c r="C65" s="478"/>
      <c r="D65" s="478">
        <f t="shared" si="5"/>
        <v>0.0974</v>
      </c>
      <c r="E65" s="478"/>
    </row>
    <row r="66" spans="1:5" ht="12.75">
      <c r="A66" s="90" t="str">
        <f t="shared" si="3"/>
        <v>USL</v>
      </c>
      <c r="B66" s="478">
        <f t="shared" si="4"/>
        <v>0.0017</v>
      </c>
      <c r="C66" s="478"/>
      <c r="D66" s="478">
        <f t="shared" si="5"/>
        <v>0</v>
      </c>
      <c r="E66" s="478"/>
    </row>
    <row r="67" spans="1:5" ht="12.75">
      <c r="A67" s="90" t="str">
        <f t="shared" si="3"/>
        <v>   </v>
      </c>
      <c r="B67" s="478">
        <f t="shared" si="4"/>
        <v>0</v>
      </c>
      <c r="C67" s="478"/>
      <c r="D67" s="478">
        <f t="shared" si="5"/>
        <v>0</v>
      </c>
      <c r="E67" s="478"/>
    </row>
    <row r="68" spans="1:5" ht="12.75">
      <c r="A68" s="90" t="str">
        <f t="shared" si="3"/>
        <v>Hydro One </v>
      </c>
      <c r="B68" s="478">
        <f>E16</f>
        <v>0</v>
      </c>
      <c r="C68" s="478"/>
      <c r="D68" s="478">
        <f t="shared" si="5"/>
        <v>0.1253</v>
      </c>
      <c r="E68" s="478"/>
    </row>
    <row r="71" spans="1:5" ht="18">
      <c r="A71" s="479" t="s">
        <v>269</v>
      </c>
      <c r="B71" s="479"/>
      <c r="C71" s="479"/>
      <c r="D71" s="479"/>
      <c r="E71" s="479"/>
    </row>
    <row r="72" spans="1:5" ht="13.5" thickBot="1">
      <c r="A72" s="480"/>
      <c r="B72" s="480"/>
      <c r="C72" s="480"/>
      <c r="D72" s="480"/>
      <c r="E72" s="480"/>
    </row>
    <row r="73" spans="1:3" ht="13.5" thickBot="1">
      <c r="A73" s="87" t="s">
        <v>0</v>
      </c>
      <c r="B73" s="481" t="s">
        <v>273</v>
      </c>
      <c r="C73" s="482"/>
    </row>
    <row r="74" spans="1:3" ht="12.75">
      <c r="A74" s="90" t="str">
        <f aca="true" t="shared" si="6" ref="A74:A82">A60</f>
        <v>Residential</v>
      </c>
      <c r="B74" s="477">
        <v>0.13</v>
      </c>
      <c r="C74" s="477"/>
    </row>
    <row r="75" spans="1:3" ht="12.75">
      <c r="A75" s="90" t="str">
        <f t="shared" si="6"/>
        <v>GS &lt; 50 kW</v>
      </c>
      <c r="B75" s="477">
        <v>0.12</v>
      </c>
      <c r="C75" s="477"/>
    </row>
    <row r="76" spans="1:3" ht="12.75">
      <c r="A76" s="90" t="str">
        <f t="shared" si="6"/>
        <v>GS &gt;50</v>
      </c>
      <c r="B76" s="477">
        <v>7.59</v>
      </c>
      <c r="C76" s="477"/>
    </row>
    <row r="77" spans="1:3" ht="12.75">
      <c r="A77" s="90" t="str">
        <f t="shared" si="6"/>
        <v>   </v>
      </c>
      <c r="B77" s="477"/>
      <c r="C77" s="477"/>
    </row>
    <row r="78" spans="1:3" ht="12.75">
      <c r="A78" s="90" t="str">
        <f t="shared" si="6"/>
        <v>Sentinel Lights</v>
      </c>
      <c r="B78" s="477">
        <v>0.32</v>
      </c>
      <c r="C78" s="477"/>
    </row>
    <row r="79" spans="1:3" ht="12.75">
      <c r="A79" s="90" t="str">
        <f t="shared" si="6"/>
        <v>Street Lighting</v>
      </c>
      <c r="B79" s="477">
        <v>0.73</v>
      </c>
      <c r="C79" s="477"/>
    </row>
    <row r="80" spans="1:3" ht="12.75">
      <c r="A80" s="90" t="str">
        <f t="shared" si="6"/>
        <v>USL</v>
      </c>
      <c r="B80" s="477">
        <v>0.04</v>
      </c>
      <c r="C80" s="477"/>
    </row>
    <row r="81" spans="1:3" ht="12.75">
      <c r="A81" s="90" t="str">
        <f t="shared" si="6"/>
        <v>   </v>
      </c>
      <c r="B81" s="477"/>
      <c r="C81" s="477"/>
    </row>
    <row r="82" spans="1:3" ht="12.75">
      <c r="A82" s="90" t="str">
        <f t="shared" si="6"/>
        <v>Hydro One </v>
      </c>
      <c r="B82" s="477"/>
      <c r="C82" s="477"/>
    </row>
  </sheetData>
  <sheetProtection/>
  <mergeCells count="87">
    <mergeCell ref="B63:C63"/>
    <mergeCell ref="D63:E63"/>
    <mergeCell ref="B62:C62"/>
    <mergeCell ref="D62:E62"/>
    <mergeCell ref="B60:C60"/>
    <mergeCell ref="D60:E60"/>
    <mergeCell ref="B61:C61"/>
    <mergeCell ref="D61:E61"/>
    <mergeCell ref="B66:C66"/>
    <mergeCell ref="D66:E66"/>
    <mergeCell ref="B64:C64"/>
    <mergeCell ref="D64:E64"/>
    <mergeCell ref="B65:C65"/>
    <mergeCell ref="D65:E65"/>
    <mergeCell ref="A57:E57"/>
    <mergeCell ref="A58:E58"/>
    <mergeCell ref="B59:C59"/>
    <mergeCell ref="D59:E59"/>
    <mergeCell ref="B36:C36"/>
    <mergeCell ref="B38:C38"/>
    <mergeCell ref="B39:C39"/>
    <mergeCell ref="B40:C40"/>
    <mergeCell ref="B37:C37"/>
    <mergeCell ref="B42:C42"/>
    <mergeCell ref="D25:E25"/>
    <mergeCell ref="D26:E26"/>
    <mergeCell ref="D27:E27"/>
    <mergeCell ref="D21:E21"/>
    <mergeCell ref="D22:E22"/>
    <mergeCell ref="D23:E23"/>
    <mergeCell ref="D24:E24"/>
    <mergeCell ref="B25:C25"/>
    <mergeCell ref="B26:C26"/>
    <mergeCell ref="B27:C27"/>
    <mergeCell ref="B21:C21"/>
    <mergeCell ref="B22:C22"/>
    <mergeCell ref="B23:C23"/>
    <mergeCell ref="B24:C24"/>
    <mergeCell ref="A1:E1"/>
    <mergeCell ref="A3:E3"/>
    <mergeCell ref="A4:E4"/>
    <mergeCell ref="A2:E2"/>
    <mergeCell ref="A5:E5"/>
    <mergeCell ref="A18:E18"/>
    <mergeCell ref="A31:E31"/>
    <mergeCell ref="B33:C33"/>
    <mergeCell ref="D33:E33"/>
    <mergeCell ref="D20:E20"/>
    <mergeCell ref="B20:C20"/>
    <mergeCell ref="A6:E6"/>
    <mergeCell ref="A17:E17"/>
    <mergeCell ref="A19:E19"/>
    <mergeCell ref="B29:C29"/>
    <mergeCell ref="D29:E29"/>
    <mergeCell ref="B67:C67"/>
    <mergeCell ref="D67:E67"/>
    <mergeCell ref="B28:C28"/>
    <mergeCell ref="D28:E28"/>
    <mergeCell ref="B41:C41"/>
    <mergeCell ref="D41:E41"/>
    <mergeCell ref="A44:E44"/>
    <mergeCell ref="A45:E45"/>
    <mergeCell ref="D39:E39"/>
    <mergeCell ref="D34:E34"/>
    <mergeCell ref="D42:E42"/>
    <mergeCell ref="D35:E35"/>
    <mergeCell ref="D36:E36"/>
    <mergeCell ref="A32:E32"/>
    <mergeCell ref="D40:E40"/>
    <mergeCell ref="B34:C34"/>
    <mergeCell ref="B35:C35"/>
    <mergeCell ref="D37:E37"/>
    <mergeCell ref="D38:E38"/>
    <mergeCell ref="B68:C68"/>
    <mergeCell ref="D68:E68"/>
    <mergeCell ref="A71:E71"/>
    <mergeCell ref="A72:E72"/>
    <mergeCell ref="B73:C73"/>
    <mergeCell ref="B75:C75"/>
    <mergeCell ref="B74:C74"/>
    <mergeCell ref="B76:C76"/>
    <mergeCell ref="B77:C77"/>
    <mergeCell ref="B78:C78"/>
    <mergeCell ref="B79:C79"/>
    <mergeCell ref="B82:C82"/>
    <mergeCell ref="B80:C80"/>
    <mergeCell ref="B81:C81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5" zoomScaleNormal="85" zoomScalePageLayoutView="0" workbookViewId="0" topLeftCell="A2">
      <selection activeCell="G24" sqref="G24"/>
    </sheetView>
  </sheetViews>
  <sheetFormatPr defaultColWidth="9.140625" defaultRowHeight="12.75"/>
  <cols>
    <col min="1" max="1" width="33.140625" style="0" bestFit="1" customWidth="1"/>
    <col min="2" max="2" width="16.140625" style="0" customWidth="1"/>
    <col min="3" max="3" width="12.7109375" style="0" customWidth="1"/>
    <col min="4" max="4" width="13.28125" style="0" customWidth="1"/>
    <col min="5" max="6" width="13.00390625" style="0" customWidth="1"/>
    <col min="7" max="11" width="14.7109375" style="0" customWidth="1"/>
    <col min="12" max="12" width="17.57421875" style="0" customWidth="1"/>
    <col min="13" max="13" width="15.00390625" style="0" customWidth="1"/>
  </cols>
  <sheetData>
    <row r="1" spans="1:12" ht="12.75">
      <c r="A1" s="470" t="str">
        <f>+'Revenue Input'!A1</f>
        <v>E.L.K. Energy Inc., 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</row>
    <row r="2" spans="1:12" ht="12.75">
      <c r="A2" s="470" t="str">
        <f>+'Revenue Input'!A2</f>
        <v>ED-2003-0015 , EB-2011-099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1:12" ht="12.75">
      <c r="A3" s="470">
        <f>+'Revenue Input'!A3</f>
        <v>0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</row>
    <row r="4" spans="1:12" ht="12.75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</row>
    <row r="5" spans="1:12" ht="18" customHeight="1">
      <c r="A5" s="479" t="s">
        <v>237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</row>
    <row r="6" spans="1:12" ht="18" customHeight="1">
      <c r="A6" s="479" t="s">
        <v>28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</row>
    <row r="7" spans="1:12" ht="18" customHeight="1">
      <c r="A7" s="479"/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</row>
    <row r="8" spans="1:13" s="2" customFormat="1" ht="38.25">
      <c r="A8" s="91" t="s">
        <v>24</v>
      </c>
      <c r="B8" s="91" t="s">
        <v>7</v>
      </c>
      <c r="C8" s="91" t="s">
        <v>8</v>
      </c>
      <c r="D8" s="91" t="s">
        <v>10</v>
      </c>
      <c r="E8" s="91" t="s">
        <v>27</v>
      </c>
      <c r="F8" s="91" t="s">
        <v>11</v>
      </c>
      <c r="G8" s="91" t="s">
        <v>12</v>
      </c>
      <c r="H8" s="91" t="s">
        <v>189</v>
      </c>
      <c r="I8" s="91" t="s">
        <v>6</v>
      </c>
      <c r="J8" s="91" t="s">
        <v>190</v>
      </c>
      <c r="K8" s="91" t="s">
        <v>129</v>
      </c>
      <c r="M8"/>
    </row>
    <row r="9" spans="1:11" ht="18" customHeight="1">
      <c r="A9" s="90" t="str">
        <f>'Cost Allocation Study'!A7</f>
        <v>Residential</v>
      </c>
      <c r="B9" s="96">
        <f>+'Forecast Data For 2012'!$C$8</f>
        <v>95979438.06817514</v>
      </c>
      <c r="C9" s="96"/>
      <c r="D9" s="96">
        <f>+'Forecast Data For 2012'!$C$7*12</f>
        <v>120281.1081442729</v>
      </c>
      <c r="E9" s="96"/>
      <c r="F9" s="96">
        <f>+D9*'2011 Existing Rates'!$C$8</f>
        <v>1338728.7336457574</v>
      </c>
      <c r="G9" s="96">
        <f>+B9*'2011 Existing Rates'!$B$60</f>
        <v>758237.5607385837</v>
      </c>
      <c r="H9" s="96">
        <f aca="true" t="shared" si="0" ref="H9:H15">+F9+G9</f>
        <v>2096966.2943843412</v>
      </c>
      <c r="I9" s="96"/>
      <c r="J9" s="96">
        <f>H9-I9</f>
        <v>2096966.2943843412</v>
      </c>
      <c r="K9" s="97">
        <f aca="true" t="shared" si="1" ref="K9:K17">+J9/$J$18</f>
        <v>0.6497811053143767</v>
      </c>
    </row>
    <row r="10" spans="1:11" ht="18" customHeight="1">
      <c r="A10" s="90" t="str">
        <f>'Cost Allocation Study'!A8</f>
        <v>GS &lt; 50 kW</v>
      </c>
      <c r="B10" s="96">
        <f>+'Forecast Data For 2012'!$C$10</f>
        <v>32594961.595119234</v>
      </c>
      <c r="C10" s="96"/>
      <c r="D10" s="96">
        <f>+'Forecast Data For 2012'!$C$9*12</f>
        <v>14573.761495825383</v>
      </c>
      <c r="E10" s="96"/>
      <c r="F10" s="96">
        <f>+D10*'2011 Existing Rates'!$C$9</f>
        <v>161185.80214382874</v>
      </c>
      <c r="G10" s="96">
        <f>+B10*'2011 Existing Rates'!$B$61</f>
        <v>55411.43471170269</v>
      </c>
      <c r="H10" s="96">
        <f t="shared" si="0"/>
        <v>216597.23685553143</v>
      </c>
      <c r="I10" s="96"/>
      <c r="J10" s="96">
        <f aca="true" t="shared" si="2" ref="J10:J15">H10-I10</f>
        <v>216597.23685553143</v>
      </c>
      <c r="K10" s="97">
        <f t="shared" si="1"/>
        <v>0.0671163825326758</v>
      </c>
    </row>
    <row r="11" spans="1:11" ht="18" customHeight="1">
      <c r="A11" s="90" t="str">
        <f>'Cost Allocation Study'!A9</f>
        <v>GS &gt;50</v>
      </c>
      <c r="B11" s="96">
        <f>+'Forecast Data For 2012'!$C$13</f>
        <v>66668106.41348041</v>
      </c>
      <c r="C11" s="96">
        <f>+'Forecast Data For 2012'!$C$12-C12</f>
        <v>156921.91291445112</v>
      </c>
      <c r="D11" s="96">
        <f>+'Forecast Data For 2012'!$C$11*12-D12</f>
        <v>1109.5493849685997</v>
      </c>
      <c r="E11" s="96"/>
      <c r="F11" s="96">
        <f>+D11*'2011 Existing Rates'!$C$10</f>
        <v>484861.9857374284</v>
      </c>
      <c r="G11" s="96">
        <f>+C11*'2011 Existing Rates'!$D$62</f>
        <v>444214.5510782282</v>
      </c>
      <c r="H11" s="96">
        <f t="shared" si="0"/>
        <v>929076.5368156566</v>
      </c>
      <c r="I11" s="96">
        <f>-'Transformer Allowance'!C12</f>
        <v>88617.52415501812</v>
      </c>
      <c r="J11" s="96">
        <f t="shared" si="2"/>
        <v>840459.0126606384</v>
      </c>
      <c r="K11" s="97">
        <f t="shared" si="1"/>
        <v>0.2604306934644345</v>
      </c>
    </row>
    <row r="12" spans="1:11" ht="18" customHeight="1">
      <c r="A12" s="90" t="str">
        <f>'Cost Allocation Study'!A10</f>
        <v>   </v>
      </c>
      <c r="B12" s="96">
        <f>'Forecast Data For 2012'!C16</f>
        <v>0</v>
      </c>
      <c r="C12" s="426">
        <v>57145</v>
      </c>
      <c r="D12" s="426">
        <v>12</v>
      </c>
      <c r="E12" s="96"/>
      <c r="F12" s="96">
        <f>+D12*'2011 Existing Rates'!$C$11</f>
        <v>10109.400000000001</v>
      </c>
      <c r="G12" s="96">
        <f>+C12*'2011 Existing Rates'!$D$63</f>
        <v>7160.2685</v>
      </c>
      <c r="H12" s="96">
        <f t="shared" si="0"/>
        <v>17269.6685</v>
      </c>
      <c r="I12" s="96">
        <f>-'Transformer Allowance'!C13</f>
        <v>0</v>
      </c>
      <c r="J12" s="96">
        <f t="shared" si="2"/>
        <v>17269.6685</v>
      </c>
      <c r="K12" s="97">
        <f t="shared" si="1"/>
        <v>0.005351304079800411</v>
      </c>
    </row>
    <row r="13" spans="1:11" ht="18" customHeight="1">
      <c r="A13" s="90" t="str">
        <f>'Cost Allocation Study'!A11</f>
        <v>Sentinel Lights</v>
      </c>
      <c r="B13" s="96">
        <f>+'Forecast Data For 2012'!$C$19</f>
        <v>5564.296647778189</v>
      </c>
      <c r="C13" s="96">
        <f>+'Forecast Data For 2012'!$C$18</f>
        <v>15.091686685374189</v>
      </c>
      <c r="D13" s="96"/>
      <c r="E13" s="96">
        <f>+'Forecast Data For 2012'!$C$17*12</f>
        <v>84</v>
      </c>
      <c r="F13" s="96">
        <f>+E13*'2011 Existing Rates'!$B$12</f>
        <v>33.6</v>
      </c>
      <c r="G13" s="96">
        <f>+C13*'2011 Existing Rates'!$D$64</f>
        <v>11.330838363378941</v>
      </c>
      <c r="H13" s="96">
        <f t="shared" si="0"/>
        <v>44.93083836337894</v>
      </c>
      <c r="I13" s="96"/>
      <c r="J13" s="96">
        <f t="shared" si="2"/>
        <v>44.93083836337894</v>
      </c>
      <c r="K13" s="97">
        <f t="shared" si="1"/>
        <v>1.3922593745375167E-05</v>
      </c>
    </row>
    <row r="14" spans="1:11" ht="18" customHeight="1">
      <c r="A14" s="90" t="str">
        <f>'Cost Allocation Study'!A12</f>
        <v>Street Lighting</v>
      </c>
      <c r="B14" s="96">
        <f>+'Forecast Data For 2012'!$C$22</f>
        <v>2225083.8466967554</v>
      </c>
      <c r="C14" s="96">
        <f>+'Forecast Data For 2012'!$C$21</f>
        <v>6082.85914889724</v>
      </c>
      <c r="D14" s="96"/>
      <c r="E14" s="96">
        <f>+'Forecast Data For 2012'!$C$20*12</f>
        <v>33614.32367489402</v>
      </c>
      <c r="F14" s="96">
        <f>+E14*'2011 Existing Rates'!$B$13</f>
        <v>336.1432367489402</v>
      </c>
      <c r="G14" s="96">
        <f>+C14*'2011 Existing Rates'!$D$65</f>
        <v>592.4704811025912</v>
      </c>
      <c r="H14" s="96">
        <f t="shared" si="0"/>
        <v>928.6137178515314</v>
      </c>
      <c r="I14" s="96"/>
      <c r="J14" s="96">
        <f t="shared" si="2"/>
        <v>928.6137178515314</v>
      </c>
      <c r="K14" s="97">
        <f t="shared" si="1"/>
        <v>0.0002877469464395062</v>
      </c>
    </row>
    <row r="15" spans="1:11" ht="18" customHeight="1">
      <c r="A15" s="90" t="str">
        <f>'Cost Allocation Study'!A13</f>
        <v>USL</v>
      </c>
      <c r="B15" s="96">
        <f>+'Forecast Data For 2012'!$C$24</f>
        <v>188991.4155690055</v>
      </c>
      <c r="C15" s="96"/>
      <c r="D15" s="96"/>
      <c r="E15" s="96">
        <f>+'Forecast Data For 2012'!$C$23*12</f>
        <v>384.34303532151273</v>
      </c>
      <c r="F15" s="96">
        <f>+E15*'2011 Existing Rates'!$C$14</f>
        <v>2129.2604156811803</v>
      </c>
      <c r="G15" s="96">
        <f>+B15*'2011 Existing Rates'!$B$66</f>
        <v>321.2854064673093</v>
      </c>
      <c r="H15" s="96">
        <f t="shared" si="0"/>
        <v>2450.5458221484896</v>
      </c>
      <c r="I15" s="96"/>
      <c r="J15" s="96">
        <f t="shared" si="2"/>
        <v>2450.5458221484896</v>
      </c>
      <c r="K15" s="97">
        <f t="shared" si="1"/>
        <v>0.0007593438088172372</v>
      </c>
    </row>
    <row r="16" spans="1:11" ht="18" customHeight="1">
      <c r="A16" s="90" t="str">
        <f>'Cost Allocation Study'!A14</f>
        <v>   </v>
      </c>
      <c r="B16" s="96"/>
      <c r="C16" s="96">
        <f>'Forecast Data For 2012'!C26</f>
        <v>0</v>
      </c>
      <c r="D16" s="96"/>
      <c r="E16" s="96"/>
      <c r="F16" s="96">
        <f>+E16*'2011 Existing Rates'!$B$14</f>
        <v>0</v>
      </c>
      <c r="G16" s="96">
        <f>+C16*'2011 Existing Rates'!$D$67</f>
        <v>0</v>
      </c>
      <c r="H16" s="96">
        <f>+F16+G16</f>
        <v>0</v>
      </c>
      <c r="I16" s="96"/>
      <c r="J16" s="96">
        <f>H16-I16</f>
        <v>0</v>
      </c>
      <c r="K16" s="97">
        <f t="shared" si="1"/>
        <v>0</v>
      </c>
    </row>
    <row r="17" spans="1:11" ht="18" customHeight="1">
      <c r="A17" s="90" t="str">
        <f>'Cost Allocation Study'!A15</f>
        <v>Hydro One </v>
      </c>
      <c r="B17" s="96">
        <f>'Forecast Data For 2012'!C29</f>
        <v>42996782.15295344</v>
      </c>
      <c r="C17" s="96">
        <f>'Forecast Data For 2012'!C28</f>
        <v>96048.52418372396</v>
      </c>
      <c r="D17" s="96">
        <f>'Forecast Data For 2012'!C27*12</f>
        <v>48</v>
      </c>
      <c r="E17" s="96"/>
      <c r="F17" s="96">
        <f>D17*'2011 Existing Rates'!C16</f>
        <v>40437.600000000006</v>
      </c>
      <c r="G17" s="96">
        <f>C17*'2011 Existing Rates'!D68</f>
        <v>12034.880080220611</v>
      </c>
      <c r="H17" s="96">
        <f>+F17+G17</f>
        <v>52472.480080220615</v>
      </c>
      <c r="I17" s="96"/>
      <c r="J17" s="96">
        <f>H17-I17</f>
        <v>52472.480080220615</v>
      </c>
      <c r="K17" s="97">
        <f t="shared" si="1"/>
        <v>0.016259501259710363</v>
      </c>
    </row>
    <row r="18" spans="1:11" ht="18" customHeight="1" thickBot="1">
      <c r="A18" s="8"/>
      <c r="B18" s="277">
        <f>SUM(B9:B17)</f>
        <v>240658927.78864178</v>
      </c>
      <c r="C18" s="277">
        <f aca="true" t="shared" si="3" ref="C18:K18">SUM(C9:C17)</f>
        <v>316213.3879337577</v>
      </c>
      <c r="D18" s="277">
        <f t="shared" si="3"/>
        <v>136024.4190250669</v>
      </c>
      <c r="E18" s="277">
        <f t="shared" si="3"/>
        <v>34082.66671021553</v>
      </c>
      <c r="F18" s="277">
        <f t="shared" si="3"/>
        <v>2037822.5251794448</v>
      </c>
      <c r="G18" s="277">
        <f t="shared" si="3"/>
        <v>1277983.7818346685</v>
      </c>
      <c r="H18" s="277">
        <f t="shared" si="3"/>
        <v>3315806.3070141133</v>
      </c>
      <c r="I18" s="277">
        <f t="shared" si="3"/>
        <v>88617.52415501812</v>
      </c>
      <c r="J18" s="277">
        <f t="shared" si="3"/>
        <v>3227188.7828590954</v>
      </c>
      <c r="K18" s="406">
        <f t="shared" si="3"/>
        <v>0.9999999999999999</v>
      </c>
    </row>
    <row r="19" ht="13.5" thickTop="1"/>
    <row r="20" spans="7:12" ht="12.75">
      <c r="G20" s="22"/>
      <c r="H20" s="22"/>
      <c r="I20" s="22"/>
      <c r="J20" s="22"/>
      <c r="K20" s="22"/>
      <c r="L20" s="22"/>
    </row>
    <row r="21" spans="3:12" ht="12.75">
      <c r="C21" s="315">
        <f>C11+C12</f>
        <v>214066.91291445112</v>
      </c>
      <c r="D21" s="315">
        <f>D11+D12</f>
        <v>1121.5493849685997</v>
      </c>
      <c r="F21" s="315">
        <f>F11+F12</f>
        <v>494971.38573742844</v>
      </c>
      <c r="G21" s="315">
        <f>G11+G12</f>
        <v>451374.8195782282</v>
      </c>
      <c r="H21" s="3"/>
      <c r="I21" s="3"/>
      <c r="J21" s="3"/>
      <c r="K21" s="1"/>
      <c r="L21" s="1"/>
    </row>
    <row r="22" spans="6:12" ht="12.75">
      <c r="F22" s="427">
        <f>F21/D21</f>
        <v>441.32821289121057</v>
      </c>
      <c r="G22" s="428">
        <f>G21/C21</f>
        <v>2.1085688275357803</v>
      </c>
      <c r="H22" s="55"/>
      <c r="I22" s="55"/>
      <c r="J22" s="55"/>
      <c r="K22" s="55"/>
      <c r="L22" s="55"/>
    </row>
    <row r="24" ht="12.75">
      <c r="G24">
        <f>G18/'Forecast Data For 2012'!D32</f>
        <v>0.005310352678696613</v>
      </c>
    </row>
  </sheetData>
  <sheetProtection/>
  <mergeCells count="7">
    <mergeCell ref="A7:L7"/>
    <mergeCell ref="A5:L5"/>
    <mergeCell ref="A6:L6"/>
    <mergeCell ref="A1:L1"/>
    <mergeCell ref="A2:L2"/>
    <mergeCell ref="A3:L3"/>
    <mergeCell ref="A4:L4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3">
      <selection activeCell="C28" sqref="C28"/>
    </sheetView>
  </sheetViews>
  <sheetFormatPr defaultColWidth="9.140625" defaultRowHeight="12.75"/>
  <cols>
    <col min="1" max="1" width="35.7109375" style="0" customWidth="1"/>
    <col min="2" max="2" width="16.140625" style="0" bestFit="1" customWidth="1"/>
    <col min="3" max="3" width="12.7109375" style="0" bestFit="1" customWidth="1"/>
    <col min="4" max="4" width="13.421875" style="0" bestFit="1" customWidth="1"/>
    <col min="5" max="5" width="13.8515625" style="0" customWidth="1"/>
    <col min="6" max="10" width="10.140625" style="0" customWidth="1"/>
  </cols>
  <sheetData>
    <row r="1" spans="1:3" ht="12.75">
      <c r="A1" s="320" t="str">
        <f>+'Revenue Input'!A1</f>
        <v>E.L.K. Energy Inc., </v>
      </c>
      <c r="B1" s="320"/>
      <c r="C1" s="320"/>
    </row>
    <row r="2" spans="1:3" ht="12.75">
      <c r="A2" s="320" t="str">
        <f>+'Revenue Input'!A2</f>
        <v>ED-2003-0015 , EB-2011-099</v>
      </c>
      <c r="B2" s="320"/>
      <c r="C2" s="320"/>
    </row>
    <row r="3" spans="1:3" ht="12.75">
      <c r="A3" s="320">
        <f>+'Revenue Input'!A3</f>
        <v>0</v>
      </c>
      <c r="B3" s="320"/>
      <c r="C3" s="320"/>
    </row>
    <row r="4" spans="1:3" ht="27" customHeight="1">
      <c r="A4" s="488" t="s">
        <v>243</v>
      </c>
      <c r="B4" s="489"/>
      <c r="C4" s="490"/>
    </row>
    <row r="5" spans="1:3" ht="18.75" customHeight="1">
      <c r="A5" s="294" t="s">
        <v>30</v>
      </c>
      <c r="B5" s="294"/>
      <c r="C5" s="321"/>
    </row>
    <row r="6" spans="1:10" ht="39" thickBot="1">
      <c r="A6" s="76" t="s">
        <v>24</v>
      </c>
      <c r="B6" s="77" t="s">
        <v>172</v>
      </c>
      <c r="C6" s="76" t="s">
        <v>244</v>
      </c>
      <c r="E6" s="16"/>
      <c r="F6" s="16"/>
      <c r="G6" s="16"/>
      <c r="H6" s="16"/>
      <c r="I6" s="16"/>
      <c r="J6" s="16"/>
    </row>
    <row r="7" spans="1:10" ht="15" customHeight="1">
      <c r="A7" s="270" t="s">
        <v>205</v>
      </c>
      <c r="B7" s="70" t="s">
        <v>173</v>
      </c>
      <c r="C7" s="305">
        <f>'[5]Summary'!$J$12</f>
        <v>10023.42567868941</v>
      </c>
      <c r="E7" s="65"/>
      <c r="F7" s="16"/>
      <c r="G7" s="16"/>
      <c r="H7" s="16"/>
      <c r="I7" s="16"/>
      <c r="J7" s="16"/>
    </row>
    <row r="8" spans="1:10" ht="15" customHeight="1" thickBot="1">
      <c r="A8" s="73"/>
      <c r="B8" s="74" t="s">
        <v>16</v>
      </c>
      <c r="C8" s="306">
        <f>'[5]Summary'!$J$13</f>
        <v>95979438.06817514</v>
      </c>
      <c r="E8" s="16"/>
      <c r="F8" s="16"/>
      <c r="G8" s="16"/>
      <c r="H8" s="16"/>
      <c r="I8" s="16"/>
      <c r="J8" s="16"/>
    </row>
    <row r="9" spans="1:10" ht="15" customHeight="1">
      <c r="A9" s="270" t="s">
        <v>206</v>
      </c>
      <c r="B9" s="70" t="s">
        <v>173</v>
      </c>
      <c r="C9" s="69">
        <f>'[5]Summary'!$J$16</f>
        <v>1214.4801246521154</v>
      </c>
      <c r="E9" s="65"/>
      <c r="F9" s="16"/>
      <c r="G9" s="16"/>
      <c r="H9" s="16"/>
      <c r="I9" s="16"/>
      <c r="J9" s="16"/>
    </row>
    <row r="10" spans="1:10" ht="15" customHeight="1" thickBot="1">
      <c r="A10" s="73"/>
      <c r="B10" s="74" t="s">
        <v>16</v>
      </c>
      <c r="C10" s="75">
        <f>'[5]Summary'!$J$17</f>
        <v>32594961.595119234</v>
      </c>
      <c r="E10" s="16"/>
      <c r="F10" s="16"/>
      <c r="G10" s="16"/>
      <c r="H10" s="16"/>
      <c r="I10" s="16"/>
      <c r="J10" s="16"/>
    </row>
    <row r="11" spans="1:10" ht="15" customHeight="1">
      <c r="A11" s="270" t="s">
        <v>207</v>
      </c>
      <c r="B11" s="70" t="s">
        <v>173</v>
      </c>
      <c r="C11" s="71">
        <f>'[5]Summary'!$J$20</f>
        <v>93.4624487473833</v>
      </c>
      <c r="E11" s="16"/>
      <c r="F11" s="16"/>
      <c r="G11" s="16"/>
      <c r="H11" s="16"/>
      <c r="I11" s="16"/>
      <c r="J11" s="16"/>
    </row>
    <row r="12" spans="1:10" ht="15" customHeight="1">
      <c r="A12" s="72"/>
      <c r="B12" s="68" t="s">
        <v>17</v>
      </c>
      <c r="C12" s="69">
        <f>'[5]Summary'!$J$22</f>
        <v>214066.91291445112</v>
      </c>
      <c r="E12" s="16"/>
      <c r="F12" s="16"/>
      <c r="G12" s="16"/>
      <c r="H12" s="16"/>
      <c r="I12" s="16"/>
      <c r="J12" s="16"/>
    </row>
    <row r="13" spans="1:3" ht="15" customHeight="1" thickBot="1">
      <c r="A13" s="73"/>
      <c r="B13" s="74" t="s">
        <v>16</v>
      </c>
      <c r="C13" s="75">
        <f>'[5]Summary'!$J$21</f>
        <v>66668106.41348041</v>
      </c>
    </row>
    <row r="14" spans="1:10" ht="15" customHeight="1">
      <c r="A14" s="270" t="s">
        <v>264</v>
      </c>
      <c r="B14" s="326" t="s">
        <v>173</v>
      </c>
      <c r="C14" s="324"/>
      <c r="E14" s="16"/>
      <c r="F14" s="16"/>
      <c r="G14" s="16"/>
      <c r="H14" s="16"/>
      <c r="I14" s="16"/>
      <c r="J14" s="16"/>
    </row>
    <row r="15" spans="1:10" ht="15" customHeight="1">
      <c r="A15" s="72"/>
      <c r="B15" s="327" t="s">
        <v>17</v>
      </c>
      <c r="C15" s="323"/>
      <c r="E15" s="16"/>
      <c r="F15" s="16"/>
      <c r="G15" s="16"/>
      <c r="H15" s="16"/>
      <c r="I15" s="16"/>
      <c r="J15" s="16"/>
    </row>
    <row r="16" spans="1:3" ht="15" customHeight="1" thickBot="1">
      <c r="A16" s="73"/>
      <c r="B16" s="328" t="s">
        <v>16</v>
      </c>
      <c r="C16" s="325"/>
    </row>
    <row r="17" spans="1:3" ht="15" customHeight="1">
      <c r="A17" s="270" t="s">
        <v>208</v>
      </c>
      <c r="B17" s="326" t="s">
        <v>174</v>
      </c>
      <c r="C17" s="324">
        <f>'[5]Summary'!$J$34</f>
        <v>7</v>
      </c>
    </row>
    <row r="18" spans="1:5" ht="15" customHeight="1">
      <c r="A18" s="72"/>
      <c r="B18" s="327" t="s">
        <v>17</v>
      </c>
      <c r="C18" s="323">
        <f>'[5]Summary'!$J$36</f>
        <v>15.091686685374189</v>
      </c>
      <c r="E18" s="16"/>
    </row>
    <row r="19" spans="1:3" ht="15" customHeight="1" thickBot="1">
      <c r="A19" s="73"/>
      <c r="B19" s="74" t="s">
        <v>16</v>
      </c>
      <c r="C19" s="75">
        <f>'[5]Summary'!$J$35</f>
        <v>5564.296647778189</v>
      </c>
    </row>
    <row r="20" spans="1:3" ht="15" customHeight="1">
      <c r="A20" s="270" t="s">
        <v>209</v>
      </c>
      <c r="B20" s="70" t="s">
        <v>174</v>
      </c>
      <c r="C20" s="71">
        <f>'[5]Summary'!$J$25</f>
        <v>2801.1936395745015</v>
      </c>
    </row>
    <row r="21" spans="1:5" ht="15" customHeight="1">
      <c r="A21" s="72"/>
      <c r="B21" s="68" t="s">
        <v>17</v>
      </c>
      <c r="C21" s="69">
        <f>'[5]Summary'!$J$27</f>
        <v>6082.85914889724</v>
      </c>
      <c r="E21" s="16"/>
    </row>
    <row r="22" spans="1:3" ht="15" customHeight="1" thickBot="1">
      <c r="A22" s="73"/>
      <c r="B22" s="74" t="s">
        <v>16</v>
      </c>
      <c r="C22" s="75">
        <f>'[5]Summary'!$J$26</f>
        <v>2225083.8466967554</v>
      </c>
    </row>
    <row r="23" spans="1:3" ht="15" customHeight="1">
      <c r="A23" s="270" t="s">
        <v>210</v>
      </c>
      <c r="B23" s="70" t="s">
        <v>174</v>
      </c>
      <c r="C23" s="71">
        <f>'[5]Summary'!$J$30</f>
        <v>32.02858627679273</v>
      </c>
    </row>
    <row r="24" spans="1:3" ht="15" customHeight="1" thickBot="1">
      <c r="A24" s="73"/>
      <c r="B24" s="74" t="s">
        <v>16</v>
      </c>
      <c r="C24" s="69">
        <f>'[5]Summary'!$J$31</f>
        <v>188991.4155690055</v>
      </c>
    </row>
    <row r="25" spans="1:3" ht="15" customHeight="1">
      <c r="A25" s="270" t="s">
        <v>264</v>
      </c>
      <c r="B25" s="70"/>
      <c r="C25" s="71"/>
    </row>
    <row r="26" spans="1:3" ht="15" customHeight="1" thickBot="1">
      <c r="A26" s="73"/>
      <c r="B26" s="74" t="s">
        <v>17</v>
      </c>
      <c r="C26" s="69"/>
    </row>
    <row r="27" spans="1:3" ht="15" customHeight="1">
      <c r="A27" s="270" t="s">
        <v>263</v>
      </c>
      <c r="B27" s="326" t="s">
        <v>173</v>
      </c>
      <c r="C27" s="324">
        <f>'[5]Summary'!$J$39</f>
        <v>4</v>
      </c>
    </row>
    <row r="28" spans="1:3" ht="15" customHeight="1">
      <c r="A28" s="72"/>
      <c r="B28" s="327" t="s">
        <v>17</v>
      </c>
      <c r="C28" s="323">
        <f>'[5]Summary'!$J$41</f>
        <v>96048.52418372396</v>
      </c>
    </row>
    <row r="29" spans="1:3" ht="15" customHeight="1" thickBot="1">
      <c r="A29" s="73"/>
      <c r="B29" s="328" t="s">
        <v>16</v>
      </c>
      <c r="C29" s="325">
        <f>'[5]Summary'!$J$40</f>
        <v>42996782.15295344</v>
      </c>
    </row>
    <row r="30" spans="1:5" ht="15" customHeight="1">
      <c r="A30" s="329" t="s">
        <v>211</v>
      </c>
      <c r="B30" s="70" t="s">
        <v>212</v>
      </c>
      <c r="C30" s="403">
        <f>C7+C9+C11+C14+C17+C20+C23+C27</f>
        <v>14175.5904779402</v>
      </c>
      <c r="D30" s="400">
        <f>'[5]Summary'!$J$49</f>
        <v>14175.5904779402</v>
      </c>
      <c r="E30" s="22">
        <f>C30-D30</f>
        <v>0</v>
      </c>
    </row>
    <row r="31" spans="1:5" ht="15" customHeight="1">
      <c r="A31" s="330"/>
      <c r="B31" s="68" t="s">
        <v>17</v>
      </c>
      <c r="C31" s="404">
        <f>C12+C15+C18+C21+C26+C28</f>
        <v>316213.3879337577</v>
      </c>
      <c r="D31" s="401">
        <f>'[5]Summary'!$J$51</f>
        <v>316213.3879337577</v>
      </c>
      <c r="E31" s="22">
        <f>C31-D31</f>
        <v>0</v>
      </c>
    </row>
    <row r="32" spans="1:5" ht="15" customHeight="1" thickBot="1">
      <c r="A32" s="73"/>
      <c r="B32" s="74" t="s">
        <v>16</v>
      </c>
      <c r="C32" s="405">
        <f>C8+C10+C13+C16+C19+C22+C24+C29</f>
        <v>240658927.78864178</v>
      </c>
      <c r="D32" s="402">
        <f>'[5]Summary'!$J$50</f>
        <v>240658927.78864178</v>
      </c>
      <c r="E32" s="22">
        <f>C32-D32</f>
        <v>0</v>
      </c>
    </row>
    <row r="33" ht="12.75">
      <c r="E33" s="3"/>
    </row>
    <row r="34" ht="12.75">
      <c r="C34" s="22"/>
    </row>
    <row r="35" ht="12.75">
      <c r="C35" s="22"/>
    </row>
    <row r="36" ht="12.75">
      <c r="C36" s="22"/>
    </row>
  </sheetData>
  <sheetProtection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85" zoomScaleNormal="85" zoomScalePageLayoutView="0" workbookViewId="0" topLeftCell="A3">
      <selection activeCell="H16" sqref="H16"/>
    </sheetView>
  </sheetViews>
  <sheetFormatPr defaultColWidth="9.140625" defaultRowHeight="12.75"/>
  <cols>
    <col min="1" max="1" width="33.140625" style="0" bestFit="1" customWidth="1"/>
    <col min="2" max="2" width="15.8515625" style="310" customWidth="1"/>
    <col min="3" max="3" width="16.140625" style="0" customWidth="1"/>
    <col min="4" max="4" width="20.421875" style="0" customWidth="1"/>
    <col min="5" max="5" width="17.57421875" style="0" customWidth="1"/>
    <col min="6" max="6" width="17.8515625" style="0" customWidth="1"/>
    <col min="7" max="8" width="15.7109375" style="0" customWidth="1"/>
    <col min="9" max="9" width="16.7109375" style="0" bestFit="1" customWidth="1"/>
    <col min="10" max="10" width="14.421875" style="0" customWidth="1"/>
    <col min="11" max="11" width="13.8515625" style="0" customWidth="1"/>
    <col min="12" max="12" width="15.00390625" style="0" customWidth="1"/>
    <col min="13" max="13" width="13.28125" style="0" customWidth="1"/>
    <col min="15" max="15" width="13.57421875" style="0" customWidth="1"/>
    <col min="16" max="16" width="22.421875" style="0" customWidth="1"/>
  </cols>
  <sheetData>
    <row r="1" spans="1:13" ht="12.75">
      <c r="A1" s="492" t="str">
        <f>+'Revenue Input'!A1</f>
        <v>E.L.K. Energy Inc., 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</row>
    <row r="2" spans="1:13" ht="12.75">
      <c r="A2" s="492" t="str">
        <f>+'Revenue Input'!A2</f>
        <v>ED-2003-0015 , EB-2011-099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</row>
    <row r="3" spans="1:13" ht="12.75">
      <c r="A3" s="492">
        <f>+'Revenue Input'!A3</f>
        <v>0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</row>
    <row r="4" spans="1:13" s="8" customFormat="1" ht="10.5" customHeight="1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</row>
    <row r="5" spans="1:14" ht="36" customHeight="1">
      <c r="A5" s="491" t="s">
        <v>183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N5" s="273"/>
    </row>
    <row r="6" spans="1:13" ht="89.25">
      <c r="A6" s="86" t="s">
        <v>24</v>
      </c>
      <c r="B6" s="307" t="s">
        <v>248</v>
      </c>
      <c r="C6" s="91" t="s">
        <v>245</v>
      </c>
      <c r="D6" s="91" t="s">
        <v>247</v>
      </c>
      <c r="E6" s="91" t="s">
        <v>198</v>
      </c>
      <c r="F6" s="91" t="s">
        <v>199</v>
      </c>
      <c r="G6" s="91" t="s">
        <v>246</v>
      </c>
      <c r="H6" s="91" t="s">
        <v>200</v>
      </c>
      <c r="I6" s="91" t="s">
        <v>201</v>
      </c>
      <c r="J6" s="91" t="s">
        <v>202</v>
      </c>
      <c r="K6" s="331" t="s">
        <v>203</v>
      </c>
      <c r="L6" s="333" t="s">
        <v>213</v>
      </c>
      <c r="M6" s="332" t="s">
        <v>214</v>
      </c>
    </row>
    <row r="7" spans="1:15" ht="18" customHeight="1">
      <c r="A7" s="90" t="str">
        <f>'2011 Existing Rates'!A8</f>
        <v>Residential</v>
      </c>
      <c r="B7" s="308">
        <f>'[10]O1 Revenue to cost|RR'!$D$40</f>
        <v>2496517.982943015</v>
      </c>
      <c r="C7" s="276">
        <f>'2012 Test Yr On Existing Rates'!K9*'Cost Allocation Study'!$C$16</f>
        <v>2012553.9930712355</v>
      </c>
      <c r="D7" s="388">
        <f>'[10]O1 Revenue to cost|RR'!$D$24</f>
        <v>433230.3774365544</v>
      </c>
      <c r="E7" s="311">
        <f>C7+D7</f>
        <v>2445784.37050779</v>
      </c>
      <c r="F7" s="312">
        <f>E7/B7</f>
        <v>0.9796782507549102</v>
      </c>
      <c r="G7" s="313">
        <f>'[10]O1 Revenue to cost|RR'!$D$75</f>
        <v>0.9796782507549103</v>
      </c>
      <c r="H7" s="317">
        <f>G7</f>
        <v>0.9796782507549103</v>
      </c>
      <c r="I7" s="114">
        <f aca="true" t="shared" si="0" ref="I7:I15">B7*H7</f>
        <v>2445784.3705077902</v>
      </c>
      <c r="J7" s="114">
        <f aca="true" t="shared" si="1" ref="J7:J15">D7</f>
        <v>433230.3774365544</v>
      </c>
      <c r="K7" s="311">
        <f aca="true" t="shared" si="2" ref="K7:K15">I7-J7</f>
        <v>2012553.9930712357</v>
      </c>
      <c r="L7" s="334">
        <v>0.85</v>
      </c>
      <c r="M7" s="335">
        <v>1.15</v>
      </c>
      <c r="O7" s="1"/>
    </row>
    <row r="8" spans="1:15" ht="18" customHeight="1">
      <c r="A8" s="90" t="str">
        <f>'2011 Existing Rates'!A9</f>
        <v>GS &lt; 50 kW</v>
      </c>
      <c r="B8" s="308">
        <f>'[10]O1 Revenue to cost|RR'!$E$40</f>
        <v>531270.7202816125</v>
      </c>
      <c r="C8" s="276">
        <f>'2012 Test Yr On Existing Rates'!K10*'Cost Allocation Study'!$C$16</f>
        <v>207878.22631635482</v>
      </c>
      <c r="D8" s="388">
        <f>'[10]O1 Revenue to cost|RR'!$E$24</f>
        <v>82016.57619976738</v>
      </c>
      <c r="E8" s="311">
        <f aca="true" t="shared" si="3" ref="E8:E15">C8+D8</f>
        <v>289894.80251612223</v>
      </c>
      <c r="F8" s="312">
        <f aca="true" t="shared" si="4" ref="F8:F15">E8/B8</f>
        <v>0.5456630517158121</v>
      </c>
      <c r="G8" s="313">
        <f>'[10]O1 Revenue to cost|RR'!$E$75</f>
        <v>0.5456630517158121</v>
      </c>
      <c r="H8" s="317">
        <v>0.950412</v>
      </c>
      <c r="I8" s="114">
        <f t="shared" si="0"/>
        <v>504926.0678042879</v>
      </c>
      <c r="J8" s="114">
        <f t="shared" si="1"/>
        <v>82016.57619976738</v>
      </c>
      <c r="K8" s="311">
        <f t="shared" si="2"/>
        <v>422909.4916045205</v>
      </c>
      <c r="L8" s="334">
        <v>0.8</v>
      </c>
      <c r="M8" s="335">
        <v>1.2</v>
      </c>
      <c r="O8" s="1"/>
    </row>
    <row r="9" spans="1:15" ht="18" customHeight="1">
      <c r="A9" s="90" t="str">
        <f>'2011 Existing Rates'!A10</f>
        <v>GS &gt;50</v>
      </c>
      <c r="B9" s="308">
        <f>'[10]O1 Revenue to cost|RR'!$F$40</f>
        <v>421995.55514393054</v>
      </c>
      <c r="C9" s="276">
        <f>'2012 Test Yr On Existing Rates'!K11*'Cost Allocation Study'!$C$16+'2012 Test Yr On Existing Rates'!K12*'Cost Allocation Study'!$C$16</f>
        <v>823201.2535749311</v>
      </c>
      <c r="D9" s="388">
        <f>'[10]O1 Revenue to cost|RR'!$F$19</f>
        <v>74996.89312137137</v>
      </c>
      <c r="E9" s="311">
        <f t="shared" si="3"/>
        <v>898198.1466963025</v>
      </c>
      <c r="F9" s="312">
        <f t="shared" si="4"/>
        <v>2.1284540458961776</v>
      </c>
      <c r="G9" s="313">
        <f>'[10]O1 Revenue to cost|RR'!$F$75</f>
        <v>2.128454045896178</v>
      </c>
      <c r="H9" s="317">
        <v>1.2</v>
      </c>
      <c r="I9" s="114">
        <f t="shared" si="0"/>
        <v>506394.66617271665</v>
      </c>
      <c r="J9" s="114">
        <f t="shared" si="1"/>
        <v>74996.89312137137</v>
      </c>
      <c r="K9" s="311">
        <f t="shared" si="2"/>
        <v>431397.77305134526</v>
      </c>
      <c r="L9" s="334">
        <v>0.8</v>
      </c>
      <c r="M9" s="335">
        <v>1.2</v>
      </c>
      <c r="O9" s="1"/>
    </row>
    <row r="10" spans="1:15" ht="18" customHeight="1" hidden="1">
      <c r="A10" s="90" t="str">
        <f>'2011 Existing Rates'!A11</f>
        <v>   </v>
      </c>
      <c r="B10" s="308"/>
      <c r="C10" s="276"/>
      <c r="D10" s="388"/>
      <c r="E10" s="311">
        <f t="shared" si="3"/>
        <v>0</v>
      </c>
      <c r="F10" s="312"/>
      <c r="G10" s="313"/>
      <c r="H10" s="317"/>
      <c r="I10" s="114">
        <f t="shared" si="0"/>
        <v>0</v>
      </c>
      <c r="J10" s="114">
        <f t="shared" si="1"/>
        <v>0</v>
      </c>
      <c r="K10" s="311">
        <f t="shared" si="2"/>
        <v>0</v>
      </c>
      <c r="L10" s="334">
        <v>0.85</v>
      </c>
      <c r="M10" s="335">
        <v>1.15</v>
      </c>
      <c r="O10" s="1"/>
    </row>
    <row r="11" spans="1:15" ht="18" customHeight="1">
      <c r="A11" s="90" t="str">
        <f>'2011 Existing Rates'!A12</f>
        <v>Sentinel Lights</v>
      </c>
      <c r="B11" s="308">
        <f>'[10]O1 Revenue to cost|RR'!$K$40</f>
        <v>470.04477245160507</v>
      </c>
      <c r="C11" s="276">
        <f>'2012 Test Yr On Existing Rates'!K13*'Cost Allocation Study'!$C$16</f>
        <v>43.1221705386567</v>
      </c>
      <c r="D11" s="388">
        <f>'[10]O1 Revenue to cost|RR'!$K$24</f>
        <v>65.43145991836465</v>
      </c>
      <c r="E11" s="311">
        <f t="shared" si="3"/>
        <v>108.55363045702134</v>
      </c>
      <c r="F11" s="312">
        <f t="shared" si="4"/>
        <v>0.230943171415012</v>
      </c>
      <c r="G11" s="313">
        <f>'[10]O1 Revenue to cost|RR'!$K$75</f>
        <v>0.23094317141501203</v>
      </c>
      <c r="H11" s="317">
        <f>H8</f>
        <v>0.950412</v>
      </c>
      <c r="I11" s="114">
        <f t="shared" si="0"/>
        <v>446.7361922752749</v>
      </c>
      <c r="J11" s="114">
        <f t="shared" si="1"/>
        <v>65.43145991836465</v>
      </c>
      <c r="K11" s="311">
        <f t="shared" si="2"/>
        <v>381.3047323569102</v>
      </c>
      <c r="L11" s="334">
        <v>0.8</v>
      </c>
      <c r="M11" s="335">
        <v>1.2</v>
      </c>
      <c r="O11" s="1"/>
    </row>
    <row r="12" spans="1:15" ht="18" customHeight="1">
      <c r="A12" s="90" t="str">
        <f>'2011 Existing Rates'!A13</f>
        <v>Street Lighting</v>
      </c>
      <c r="B12" s="308">
        <f>'[10]O1 Revenue to cost|RR'!$J$40</f>
        <v>143316.97721926565</v>
      </c>
      <c r="C12" s="276">
        <f>'2012 Test Yr On Existing Rates'!K14*'Cost Allocation Study'!$C$16</f>
        <v>891.2328495158386</v>
      </c>
      <c r="D12" s="388">
        <f>'[10]O1 Revenue to cost|RR'!$J$24</f>
        <v>18450.77949952447</v>
      </c>
      <c r="E12" s="311">
        <f t="shared" si="3"/>
        <v>19342.01234904031</v>
      </c>
      <c r="F12" s="312">
        <f t="shared" si="4"/>
        <v>0.13495967277797305</v>
      </c>
      <c r="G12" s="313">
        <f>'[10]O1 Revenue to cost|RR'!$J$75</f>
        <v>0.13495967277797305</v>
      </c>
      <c r="H12" s="317">
        <f>H8</f>
        <v>0.950412</v>
      </c>
      <c r="I12" s="114">
        <f t="shared" si="0"/>
        <v>136210.1749529167</v>
      </c>
      <c r="J12" s="114">
        <f t="shared" si="1"/>
        <v>18450.77949952447</v>
      </c>
      <c r="K12" s="311">
        <f t="shared" si="2"/>
        <v>117759.39545339224</v>
      </c>
      <c r="L12" s="334">
        <v>0.7</v>
      </c>
      <c r="M12" s="335">
        <v>1.2</v>
      </c>
      <c r="O12" s="1"/>
    </row>
    <row r="13" spans="1:15" ht="18" customHeight="1">
      <c r="A13" s="90" t="str">
        <f>'2011 Existing Rates'!A14</f>
        <v>USL</v>
      </c>
      <c r="B13" s="308">
        <f>'[10]O1 Revenue to cost|RR'!$L$40</f>
        <v>3839.3326841773132</v>
      </c>
      <c r="C13" s="276">
        <f>'2012 Test Yr On Existing Rates'!K15*'Cost Allocation Study'!$C$16</f>
        <v>2351.9003585209957</v>
      </c>
      <c r="D13" s="388">
        <f>'[10]O1 Revenue to cost|RR'!$L$24</f>
        <v>574.9631777908872</v>
      </c>
      <c r="E13" s="311">
        <f t="shared" si="3"/>
        <v>2926.863536311883</v>
      </c>
      <c r="F13" s="312">
        <f t="shared" si="4"/>
        <v>0.7623365248794653</v>
      </c>
      <c r="G13" s="313">
        <f>'[10]O1 Revenue to cost|RR'!$L$75</f>
        <v>0.7623365248794656</v>
      </c>
      <c r="H13" s="317">
        <f>H8</f>
        <v>0.950412</v>
      </c>
      <c r="I13" s="114">
        <f t="shared" si="0"/>
        <v>3648.9478550343288</v>
      </c>
      <c r="J13" s="114">
        <f t="shared" si="1"/>
        <v>574.9631777908872</v>
      </c>
      <c r="K13" s="311">
        <f t="shared" si="2"/>
        <v>3073.9846772434416</v>
      </c>
      <c r="L13" s="334">
        <v>0.8</v>
      </c>
      <c r="M13" s="335">
        <v>1.2</v>
      </c>
      <c r="O13" s="1"/>
    </row>
    <row r="14" spans="1:15" ht="18" customHeight="1" hidden="1">
      <c r="A14" s="90" t="str">
        <f>'2011 Existing Rates'!A15</f>
        <v>   </v>
      </c>
      <c r="B14" s="390"/>
      <c r="C14" s="276">
        <f>'2012 Test Yr On Existing Rates'!K16*'Cost Allocation Study'!$C$16</f>
        <v>0</v>
      </c>
      <c r="D14" s="391"/>
      <c r="E14" s="311">
        <f t="shared" si="3"/>
        <v>0</v>
      </c>
      <c r="F14" s="312"/>
      <c r="G14" s="392"/>
      <c r="H14" s="317"/>
      <c r="I14" s="114">
        <f t="shared" si="0"/>
        <v>0</v>
      </c>
      <c r="J14" s="114">
        <f t="shared" si="1"/>
        <v>0</v>
      </c>
      <c r="K14" s="311">
        <f t="shared" si="2"/>
        <v>0</v>
      </c>
      <c r="L14" s="334">
        <v>0.8</v>
      </c>
      <c r="M14" s="335">
        <v>1.2</v>
      </c>
      <c r="O14" s="1"/>
    </row>
    <row r="15" spans="1:15" ht="18" customHeight="1">
      <c r="A15" s="90" t="str">
        <f>'2011 Existing Rates'!A16</f>
        <v>Hydro One </v>
      </c>
      <c r="B15" s="390">
        <f>'[10]O1 Revenue to cost|RR'!$M$40</f>
        <v>127674.46763773449</v>
      </c>
      <c r="C15" s="276">
        <f>'2012 Test Yr On Existing Rates'!K17*'Cost Allocation Study'!$C$16</f>
        <v>50360.22734109018</v>
      </c>
      <c r="D15" s="391">
        <f>'[10]O1 Revenue to cost|RR'!$M$24</f>
        <v>18470.104105073067</v>
      </c>
      <c r="E15" s="311">
        <f t="shared" si="3"/>
        <v>68830.33144616325</v>
      </c>
      <c r="F15" s="312">
        <f t="shared" si="4"/>
        <v>0.5391080356133813</v>
      </c>
      <c r="G15" s="392">
        <f>'[10]O1 Revenue to cost|RR'!$M$75</f>
        <v>0.5391080356133813</v>
      </c>
      <c r="H15" s="317">
        <v>1</v>
      </c>
      <c r="I15" s="114">
        <f t="shared" si="0"/>
        <v>127674.46763773449</v>
      </c>
      <c r="J15" s="114">
        <f t="shared" si="1"/>
        <v>18470.104105073067</v>
      </c>
      <c r="K15" s="311">
        <f t="shared" si="2"/>
        <v>109204.36353266142</v>
      </c>
      <c r="L15" s="334">
        <v>0.85</v>
      </c>
      <c r="M15" s="335">
        <v>1.15</v>
      </c>
      <c r="O15" s="1"/>
    </row>
    <row r="16" spans="1:13" ht="18" customHeight="1" thickBot="1">
      <c r="A16" s="92" t="s">
        <v>1</v>
      </c>
      <c r="B16" s="309">
        <f>SUM(B7:B15)</f>
        <v>3725085.080682188</v>
      </c>
      <c r="C16" s="93">
        <f>'Revenue Input'!B10</f>
        <v>3097279.9556821873</v>
      </c>
      <c r="D16" s="309">
        <f>SUM(D7:D15)</f>
        <v>627805.125</v>
      </c>
      <c r="E16" s="309">
        <f>SUM(E7:E15)</f>
        <v>3725085.080682187</v>
      </c>
      <c r="F16" s="312">
        <f>E16/B16</f>
        <v>0.9999999999999998</v>
      </c>
      <c r="G16" s="314">
        <v>0.9999999964557681</v>
      </c>
      <c r="H16" s="94"/>
      <c r="I16" s="309">
        <f>SUM(I7:I15)</f>
        <v>3725085.4311227556</v>
      </c>
      <c r="J16" s="309">
        <f>SUM(J7:J15)</f>
        <v>627805.125</v>
      </c>
      <c r="K16" s="309">
        <f>SUM(K7:K15)</f>
        <v>3097280.306122755</v>
      </c>
      <c r="L16" s="311"/>
      <c r="M16" s="336"/>
    </row>
    <row r="17" ht="13.5" customHeight="1"/>
    <row r="18" spans="2:11" ht="12.75">
      <c r="B18" s="310">
        <f>'Revenue Input'!B8</f>
        <v>3725085.0806821873</v>
      </c>
      <c r="K18" s="310">
        <f>'Revenue Input'!B10</f>
        <v>3097279.9556821873</v>
      </c>
    </row>
    <row r="19" ht="12.75">
      <c r="L19" t="s">
        <v>204</v>
      </c>
    </row>
    <row r="20" spans="2:11" ht="12.75">
      <c r="B20" s="316">
        <f>B16-B18</f>
        <v>0</v>
      </c>
      <c r="C20" t="s">
        <v>197</v>
      </c>
      <c r="K20" s="316">
        <f>K16-K18</f>
        <v>0.35044056782498956</v>
      </c>
    </row>
  </sheetData>
  <sheetProtection/>
  <mergeCells count="5">
    <mergeCell ref="A5:K5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600" verticalDpi="600" orientation="landscape" paperSize="5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PageLayoutView="0" workbookViewId="0" topLeftCell="A4">
      <selection activeCell="D10" sqref="D10"/>
    </sheetView>
  </sheetViews>
  <sheetFormatPr defaultColWidth="9.140625" defaultRowHeight="12.75"/>
  <cols>
    <col min="1" max="1" width="32.7109375" style="0" bestFit="1" customWidth="1"/>
    <col min="2" max="2" width="18.57421875" style="315" bestFit="1" customWidth="1"/>
    <col min="3" max="3" width="14.8515625" style="0" bestFit="1" customWidth="1"/>
    <col min="4" max="4" width="14.00390625" style="0" customWidth="1"/>
    <col min="5" max="5" width="19.28125" style="0" customWidth="1"/>
    <col min="6" max="6" width="18.7109375" style="0" bestFit="1" customWidth="1"/>
    <col min="7" max="7" width="15.00390625" style="0" customWidth="1"/>
    <col min="8" max="8" width="13.140625" style="0" bestFit="1" customWidth="1"/>
    <col min="9" max="9" width="14.140625" style="0" bestFit="1" customWidth="1"/>
    <col min="10" max="10" width="11.421875" style="0" bestFit="1" customWidth="1"/>
    <col min="11" max="11" width="14.140625" style="0" bestFit="1" customWidth="1"/>
    <col min="13" max="13" width="13.421875" style="0" bestFit="1" customWidth="1"/>
  </cols>
  <sheetData>
    <row r="1" spans="1:11" ht="12.75">
      <c r="A1" s="493" t="str">
        <f>+'Revenue Input'!A1</f>
        <v>E.L.K. Energy Inc., 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2" spans="1:11" ht="12.75">
      <c r="A2" s="493" t="str">
        <f>+'Revenue Input'!A2</f>
        <v>ED-2003-0015 , EB-2011-099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</row>
    <row r="3" spans="1:11" ht="12.75">
      <c r="A3" s="493">
        <f>+'Revenue Input'!A3</f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</row>
    <row r="4" spans="1:11" ht="12.75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</row>
    <row r="5" spans="1:11" ht="15.75">
      <c r="A5" s="495" t="s">
        <v>249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2.75">
      <c r="A6" s="496"/>
      <c r="B6" s="496"/>
      <c r="C6" s="496"/>
      <c r="D6" s="496"/>
      <c r="E6" s="496"/>
      <c r="F6" s="496"/>
      <c r="G6" s="496"/>
      <c r="H6" s="496"/>
      <c r="I6" s="496"/>
      <c r="J6" s="496"/>
      <c r="K6" s="496"/>
    </row>
    <row r="7" spans="1:11" ht="38.25">
      <c r="A7" s="91" t="s">
        <v>0</v>
      </c>
      <c r="B7" s="307" t="s">
        <v>148</v>
      </c>
      <c r="C7" s="91" t="s">
        <v>130</v>
      </c>
      <c r="D7" s="91" t="s">
        <v>2</v>
      </c>
      <c r="E7" s="91" t="s">
        <v>3</v>
      </c>
      <c r="F7" s="91" t="s">
        <v>4</v>
      </c>
      <c r="G7" s="91" t="s">
        <v>5</v>
      </c>
      <c r="H7" s="91" t="s">
        <v>6</v>
      </c>
      <c r="I7" s="91" t="s">
        <v>149</v>
      </c>
      <c r="J7" s="91" t="s">
        <v>42</v>
      </c>
      <c r="K7" s="91" t="s">
        <v>41</v>
      </c>
    </row>
    <row r="8" spans="1:11" ht="18" customHeight="1">
      <c r="A8" s="104" t="str">
        <f>'Cost Allocation Study'!A7</f>
        <v>Residential</v>
      </c>
      <c r="B8" s="114">
        <f>'Cost Allocation Study'!K7</f>
        <v>2012553.9930712357</v>
      </c>
      <c r="C8" s="95">
        <f>+B8/$B$17</f>
        <v>0.649781031795148</v>
      </c>
      <c r="D8" s="112">
        <f>MIN(E26,G26)</f>
        <v>10.68196756565384</v>
      </c>
      <c r="E8" s="105">
        <f>+G8/'Forecast Data For 2012'!C8</f>
        <v>0.007581989556933093</v>
      </c>
      <c r="F8" s="106">
        <f>+D8*'Forecast Data For 2012'!C7*12</f>
        <v>1284838.8959580252</v>
      </c>
      <c r="G8" s="106">
        <f>+B8-F8</f>
        <v>727715.0971132105</v>
      </c>
      <c r="H8" s="107"/>
      <c r="I8" s="289">
        <f>+F8+G8+H8</f>
        <v>2012553.9930712357</v>
      </c>
      <c r="J8" s="289">
        <f>+'Allocation Low Voltage Costs'!F8</f>
        <v>115181.6884552167</v>
      </c>
      <c r="K8" s="289">
        <f>+I8+J8</f>
        <v>2127735.6815264523</v>
      </c>
    </row>
    <row r="9" spans="1:11" ht="18" customHeight="1">
      <c r="A9" s="104" t="str">
        <f>'Cost Allocation Study'!A8</f>
        <v>GS &lt; 50 kW</v>
      </c>
      <c r="B9" s="114">
        <f>'Cost Allocation Study'!K8</f>
        <v>422909.4916045205</v>
      </c>
      <c r="C9" s="95">
        <f aca="true" t="shared" si="0" ref="C9:C16">+B9/$B$17</f>
        <v>0.1365422079391736</v>
      </c>
      <c r="D9" s="112">
        <f>MIN(E27,G27)</f>
        <v>14.95558435017145</v>
      </c>
      <c r="E9" s="105">
        <f>+G9/'Forecast Data For 2012'!C10</f>
        <v>0.006287793027653463</v>
      </c>
      <c r="F9" s="106">
        <f>+D9*'Forecast Data For 2012'!C9*12</f>
        <v>217959.11935009737</v>
      </c>
      <c r="G9" s="106">
        <f aca="true" t="shared" si="1" ref="G9:G16">+B9-F9</f>
        <v>204950.3722544231</v>
      </c>
      <c r="H9" s="107"/>
      <c r="I9" s="289">
        <f aca="true" t="shared" si="2" ref="I9:I16">+F9+G9+H9</f>
        <v>422909.4916045205</v>
      </c>
      <c r="J9" s="289">
        <f>+'Allocation Low Voltage Costs'!F9</f>
        <v>35639.126758396196</v>
      </c>
      <c r="K9" s="289">
        <f aca="true" t="shared" si="3" ref="K9:K16">+I9+J9</f>
        <v>458548.6183629167</v>
      </c>
    </row>
    <row r="10" spans="1:11" ht="18" customHeight="1">
      <c r="A10" s="104" t="str">
        <f>'Cost Allocation Study'!A9</f>
        <v>GS &gt;50</v>
      </c>
      <c r="B10" s="114">
        <f>'Cost Allocation Study'!K9</f>
        <v>431397.77305134526</v>
      </c>
      <c r="C10" s="95">
        <f t="shared" si="0"/>
        <v>0.13928276759405694</v>
      </c>
      <c r="D10" s="463">
        <f>(E28+G28)/2</f>
        <v>177.31503049704634</v>
      </c>
      <c r="E10" s="105">
        <f>(+G10+H10)/'Forecast Data For 2012'!C12</f>
        <v>1.5002212599527456</v>
      </c>
      <c r="F10" s="106">
        <f>+D10*'Forecast Data For 2012'!C11*12</f>
        <v>198867.5633996508</v>
      </c>
      <c r="G10" s="106">
        <f t="shared" si="1"/>
        <v>232530.20965169446</v>
      </c>
      <c r="H10" s="106">
        <f>-'Transformer Allowance'!C12</f>
        <v>88617.52415501812</v>
      </c>
      <c r="I10" s="289">
        <f t="shared" si="2"/>
        <v>520015.2972063634</v>
      </c>
      <c r="J10" s="289">
        <f>+'Allocation Low Voltage Costs'!F10</f>
        <v>92727.4921494256</v>
      </c>
      <c r="K10" s="289">
        <f t="shared" si="3"/>
        <v>612742.789355789</v>
      </c>
    </row>
    <row r="11" spans="1:11" ht="18" customHeight="1" hidden="1">
      <c r="A11" s="104" t="str">
        <f>'Cost Allocation Study'!A10</f>
        <v>   </v>
      </c>
      <c r="B11" s="114">
        <f>'Cost Allocation Study'!K10</f>
        <v>0</v>
      </c>
      <c r="C11" s="95">
        <f t="shared" si="0"/>
        <v>0</v>
      </c>
      <c r="D11" s="112"/>
      <c r="E11" s="105" t="e">
        <f>(+G11+H11)/'Forecast Data For 2012'!C15</f>
        <v>#DIV/0!</v>
      </c>
      <c r="F11" s="106">
        <f>+D11*'Forecast Data For 2012'!C14*12</f>
        <v>0</v>
      </c>
      <c r="G11" s="106">
        <f t="shared" si="1"/>
        <v>0</v>
      </c>
      <c r="H11" s="106"/>
      <c r="I11" s="289">
        <f t="shared" si="2"/>
        <v>0</v>
      </c>
      <c r="J11" s="289"/>
      <c r="K11" s="289">
        <f t="shared" si="3"/>
        <v>0</v>
      </c>
    </row>
    <row r="12" spans="1:11" ht="18" customHeight="1">
      <c r="A12" s="104" t="str">
        <f>'Cost Allocation Study'!A11</f>
        <v>Sentinel Lights</v>
      </c>
      <c r="B12" s="114">
        <f>'Cost Allocation Study'!K11</f>
        <v>381.3047323569102</v>
      </c>
      <c r="C12" s="95">
        <f t="shared" si="0"/>
        <v>0.00012310953309687235</v>
      </c>
      <c r="D12" s="112">
        <f>MIN(E30,G30)</f>
        <v>3.3945926338885695</v>
      </c>
      <c r="E12" s="105">
        <f>(+G12+H12)/'Forecast Data For 2012'!C18</f>
        <v>6.371650373808846</v>
      </c>
      <c r="F12" s="106">
        <f>+D12*'Forecast Data For 2012'!C17*12</f>
        <v>285.1457812466398</v>
      </c>
      <c r="G12" s="106">
        <f t="shared" si="1"/>
        <v>96.15895111027044</v>
      </c>
      <c r="H12" s="107"/>
      <c r="I12" s="289">
        <f t="shared" si="2"/>
        <v>381.3047323569102</v>
      </c>
      <c r="J12" s="289">
        <f>+'Allocation Low Voltage Costs'!F12</f>
        <v>5.163251850481745</v>
      </c>
      <c r="K12" s="289">
        <f t="shared" si="3"/>
        <v>386.46798420739196</v>
      </c>
    </row>
    <row r="13" spans="1:11" ht="18" customHeight="1">
      <c r="A13" s="104" t="str">
        <f>'Cost Allocation Study'!A12</f>
        <v>Street Lighting</v>
      </c>
      <c r="B13" s="114">
        <f>'Cost Allocation Study'!K12</f>
        <v>117759.39545339224</v>
      </c>
      <c r="C13" s="95">
        <f t="shared" si="0"/>
        <v>0.038020257714680684</v>
      </c>
      <c r="D13" s="112">
        <f>MIN(E31,G31)</f>
        <v>1.2681203517630983</v>
      </c>
      <c r="E13" s="105">
        <f>+G13/'Forecast Data For 2012'!C21</f>
        <v>12.351492226172574</v>
      </c>
      <c r="F13" s="106">
        <f>+D13*'Forecast Data For 2012'!C20*12</f>
        <v>42627.00796288525</v>
      </c>
      <c r="G13" s="106">
        <f t="shared" si="1"/>
        <v>75132.38749050698</v>
      </c>
      <c r="H13" s="107"/>
      <c r="I13" s="289">
        <f t="shared" si="2"/>
        <v>117759.39545339224</v>
      </c>
      <c r="J13" s="289">
        <f>+'Allocation Low Voltage Costs'!F11</f>
        <v>2038.2759356097679</v>
      </c>
      <c r="K13" s="289">
        <f t="shared" si="3"/>
        <v>119797.671389002</v>
      </c>
    </row>
    <row r="14" spans="1:11" ht="18" customHeight="1">
      <c r="A14" s="104" t="str">
        <f>'Cost Allocation Study'!A13</f>
        <v>USL</v>
      </c>
      <c r="B14" s="114">
        <f>'Cost Allocation Study'!K13</f>
        <v>3073.9846772434416</v>
      </c>
      <c r="C14" s="95">
        <f t="shared" si="0"/>
        <v>0.0009924786823997615</v>
      </c>
      <c r="D14" s="112">
        <f>MIN(E32,G32)</f>
        <v>6.949421209760487</v>
      </c>
      <c r="E14" s="105">
        <f>+G14/'Forecast Data For 2012'!C24</f>
        <v>0.0021324938730311964</v>
      </c>
      <c r="F14" s="106">
        <f>+D14*'Forecast Data For 2012'!C23*12</f>
        <v>2670.9616414870447</v>
      </c>
      <c r="G14" s="106">
        <f t="shared" si="1"/>
        <v>403.0230357563969</v>
      </c>
      <c r="H14" s="107"/>
      <c r="I14" s="289">
        <f t="shared" si="2"/>
        <v>3073.9846772434416</v>
      </c>
      <c r="J14" s="289">
        <f>+'Allocation Low Voltage Costs'!F13</f>
        <v>206.64202950682696</v>
      </c>
      <c r="K14" s="289">
        <f t="shared" si="3"/>
        <v>3280.6267067502686</v>
      </c>
    </row>
    <row r="15" spans="1:11" ht="18" customHeight="1" hidden="1">
      <c r="A15" s="104" t="str">
        <f>'Cost Allocation Study'!A14</f>
        <v>   </v>
      </c>
      <c r="B15" s="114">
        <f>'Cost Allocation Study'!K14</f>
        <v>0</v>
      </c>
      <c r="C15" s="95">
        <f t="shared" si="0"/>
        <v>0</v>
      </c>
      <c r="D15" s="395"/>
      <c r="E15" s="105" t="e">
        <f>+G15/'Forecast Data For 2012'!C26</f>
        <v>#DIV/0!</v>
      </c>
      <c r="F15" s="106">
        <f>+D15*'Forecast Data For 2012'!C24*12</f>
        <v>0</v>
      </c>
      <c r="G15" s="106">
        <f t="shared" si="1"/>
        <v>0</v>
      </c>
      <c r="H15" s="396"/>
      <c r="I15" s="289">
        <f t="shared" si="2"/>
        <v>0</v>
      </c>
      <c r="J15" s="289">
        <f>+'Allocation Low Voltage Costs'!F15</f>
        <v>0</v>
      </c>
      <c r="K15" s="289">
        <f t="shared" si="3"/>
        <v>0</v>
      </c>
    </row>
    <row r="16" spans="1:11" ht="18" customHeight="1">
      <c r="A16" s="104" t="str">
        <f>'Cost Allocation Study'!A15</f>
        <v>Hydro One </v>
      </c>
      <c r="B16" s="114">
        <f>'Cost Allocation Study'!K15</f>
        <v>109204.36353266142</v>
      </c>
      <c r="C16" s="95">
        <f t="shared" si="0"/>
        <v>0.035258146741444236</v>
      </c>
      <c r="D16" s="395">
        <f>E34</f>
        <v>1753.2850728122821</v>
      </c>
      <c r="E16" s="105">
        <f>+G16/'Forecast Data For 2012'!C28</f>
        <v>0.26077110763057615</v>
      </c>
      <c r="F16" s="407">
        <f>D16*'Forecast Data For 2012'!C27*12</f>
        <v>84157.68349498954</v>
      </c>
      <c r="G16" s="106">
        <f t="shared" si="1"/>
        <v>25046.680037671875</v>
      </c>
      <c r="H16" s="396"/>
      <c r="I16" s="289">
        <f t="shared" si="2"/>
        <v>109204.36353266142</v>
      </c>
      <c r="J16" s="289">
        <f>+'Allocation Low Voltage Costs'!F14</f>
        <v>41605.39641999449</v>
      </c>
      <c r="K16" s="289">
        <f t="shared" si="3"/>
        <v>150809.7599526559</v>
      </c>
    </row>
    <row r="17" spans="1:13" ht="18" customHeight="1" thickBot="1">
      <c r="A17" s="98" t="s">
        <v>1</v>
      </c>
      <c r="B17" s="318">
        <f>SUM(B8:B16)</f>
        <v>3097280.306122755</v>
      </c>
      <c r="C17" s="397">
        <f>SUM(C8:C16)</f>
        <v>1</v>
      </c>
      <c r="D17" s="102"/>
      <c r="E17" s="103"/>
      <c r="F17" s="101">
        <f aca="true" t="shared" si="4" ref="F17:K17">SUM(F8:F16)</f>
        <v>1831406.377588382</v>
      </c>
      <c r="G17" s="101">
        <f t="shared" si="4"/>
        <v>1265873.9285343734</v>
      </c>
      <c r="H17" s="101">
        <f t="shared" si="4"/>
        <v>88617.52415501812</v>
      </c>
      <c r="I17" s="101">
        <f t="shared" si="4"/>
        <v>3185897.830277773</v>
      </c>
      <c r="J17" s="101">
        <f t="shared" si="4"/>
        <v>287403.78500000003</v>
      </c>
      <c r="K17" s="101">
        <f t="shared" si="4"/>
        <v>3473301.6152777732</v>
      </c>
      <c r="M17" s="408"/>
    </row>
    <row r="18" spans="4:9" ht="18" customHeight="1" thickBot="1" thickTop="1">
      <c r="D18" s="99" t="s">
        <v>138</v>
      </c>
      <c r="E18" s="99"/>
      <c r="F18" s="100">
        <f>+F17/I17</f>
        <v>0.5748478059099292</v>
      </c>
      <c r="G18" s="100">
        <f>+G17/I17</f>
        <v>0.3973366366315658</v>
      </c>
      <c r="H18" s="100">
        <f>+H17/I17</f>
        <v>0.0278155574585051</v>
      </c>
      <c r="I18" s="100">
        <f>F18+G18+H18</f>
        <v>1.0000000000000002</v>
      </c>
    </row>
    <row r="19" spans="4:10" ht="18" customHeight="1">
      <c r="D19" s="16"/>
      <c r="E19" s="16"/>
      <c r="F19" s="302"/>
      <c r="G19" s="302"/>
      <c r="H19" s="302"/>
      <c r="I19" s="302"/>
      <c r="J19" s="8"/>
    </row>
    <row r="20" spans="7:8" ht="12.75">
      <c r="G20" s="443">
        <f>E10-H20</f>
        <v>1.0862501191140261</v>
      </c>
      <c r="H20">
        <f>H10/'Forecast Data For 2012'!C12</f>
        <v>0.4139711408387194</v>
      </c>
    </row>
    <row r="21" spans="4:9" ht="12.75">
      <c r="D21" s="56"/>
      <c r="E21" s="56"/>
      <c r="F21" s="17"/>
      <c r="G21" s="17"/>
      <c r="H21" s="17"/>
      <c r="I21" s="17"/>
    </row>
    <row r="24" spans="1:8" ht="18">
      <c r="A24" s="494" t="s">
        <v>184</v>
      </c>
      <c r="B24" s="494"/>
      <c r="C24" s="494"/>
      <c r="D24" s="494"/>
      <c r="E24" s="494"/>
      <c r="F24" s="494"/>
      <c r="G24" s="494"/>
      <c r="H24" s="494"/>
    </row>
    <row r="25" spans="1:9" ht="114.75">
      <c r="A25" s="91" t="s">
        <v>0</v>
      </c>
      <c r="B25" s="307" t="s">
        <v>185</v>
      </c>
      <c r="C25" s="91" t="s">
        <v>186</v>
      </c>
      <c r="D25" s="91" t="s">
        <v>41</v>
      </c>
      <c r="E25" s="91" t="s">
        <v>187</v>
      </c>
      <c r="F25" s="91" t="s">
        <v>250</v>
      </c>
      <c r="G25" s="91" t="s">
        <v>150</v>
      </c>
      <c r="H25" s="91" t="s">
        <v>230</v>
      </c>
      <c r="I25" s="91" t="s">
        <v>231</v>
      </c>
    </row>
    <row r="26" spans="1:9" ht="18" customHeight="1">
      <c r="A26" s="104" t="str">
        <f aca="true" t="shared" si="5" ref="A26:A34">A8</f>
        <v>Residential</v>
      </c>
      <c r="B26" s="97">
        <f>('2012 Test Yr On Existing Rates'!G9-'2012 Test Yr On Existing Rates'!I9)/'2012 Test Yr On Existing Rates'!J9</f>
        <v>0.3615878627945226</v>
      </c>
      <c r="C26" s="97">
        <f>1-B26</f>
        <v>0.6384121372054774</v>
      </c>
      <c r="D26" s="97">
        <f>SUM(B26:C26)</f>
        <v>1</v>
      </c>
      <c r="E26" s="108">
        <f>+$B$8*$C$26/'Forecast Data For 2012'!$C$7/12</f>
        <v>10.68196756565384</v>
      </c>
      <c r="F26" s="108">
        <f>+'2011 Existing Rates'!C8</f>
        <v>11.13</v>
      </c>
      <c r="G26" s="108">
        <f>'[10]O2 Fixed Charge|Floor|Ceiling'!$D$17</f>
        <v>14.516585930260378</v>
      </c>
      <c r="H26" s="413"/>
      <c r="I26" s="108">
        <f>+B8*H26/'Forecast Data For 2012'!C7/12</f>
        <v>0</v>
      </c>
    </row>
    <row r="27" spans="1:9" ht="18" customHeight="1">
      <c r="A27" s="104" t="str">
        <f t="shared" si="5"/>
        <v>GS &lt; 50 kW</v>
      </c>
      <c r="B27" s="97">
        <f>('2012 Test Yr On Existing Rates'!G10-'2012 Test Yr On Existing Rates'!I10)/'2012 Test Yr On Existing Rates'!J10</f>
        <v>0.25582706185980414</v>
      </c>
      <c r="C27" s="97">
        <f aca="true" t="shared" si="6" ref="C27:C34">1-B27</f>
        <v>0.7441729381401958</v>
      </c>
      <c r="D27" s="97">
        <f aca="true" t="shared" si="7" ref="D27:D34">SUM(B27:C27)</f>
        <v>1</v>
      </c>
      <c r="E27" s="108">
        <f>+B9*C27/'Forecast Data For 2012'!C9/12</f>
        <v>21.5948229305703</v>
      </c>
      <c r="F27" s="108">
        <f>+'2011 Existing Rates'!C9</f>
        <v>11.06</v>
      </c>
      <c r="G27" s="108">
        <f>'[10]O2 Fixed Charge|Floor|Ceiling'!$E$17</f>
        <v>14.95558435017145</v>
      </c>
      <c r="H27" s="413"/>
      <c r="I27" s="108">
        <f>+B9*H27/'Forecast Data For 2012'!C9/12</f>
        <v>0</v>
      </c>
    </row>
    <row r="28" spans="1:9" ht="18" customHeight="1">
      <c r="A28" s="104" t="str">
        <f t="shared" si="5"/>
        <v>GS &gt;50</v>
      </c>
      <c r="B28" s="97">
        <f>('2012 Test Yr On Existing Rates'!G11+'2012 Test Yr On Existing Rates'!G12-'2012 Test Yr On Existing Rates'!I11)/('2012 Test Yr On Existing Rates'!J11+'2012 Test Yr On Existing Rates'!J12)</f>
        <v>0.42292778986047647</v>
      </c>
      <c r="C28" s="97">
        <f t="shared" si="6"/>
        <v>0.5770722101395236</v>
      </c>
      <c r="D28" s="97">
        <f t="shared" si="7"/>
        <v>1</v>
      </c>
      <c r="E28" s="108">
        <f>+B10*C28/'Forecast Data For 2012'!C11/12</f>
        <v>221.9676366288394</v>
      </c>
      <c r="F28" s="108">
        <f>'2012 Test Yr On Existing Rates'!F22</f>
        <v>441.32821289121057</v>
      </c>
      <c r="G28" s="108">
        <f>'[10]O2 Fixed Charge|Floor|Ceiling'!$F$17</f>
        <v>132.6624243652533</v>
      </c>
      <c r="H28" s="413"/>
      <c r="I28" s="108">
        <f>+B10*H28/'Forecast Data For 2012'!C11/12</f>
        <v>0</v>
      </c>
    </row>
    <row r="29" spans="1:9" ht="18" customHeight="1">
      <c r="A29" s="104"/>
      <c r="B29" s="97"/>
      <c r="C29" s="97"/>
      <c r="D29" s="97"/>
      <c r="E29" s="108"/>
      <c r="F29" s="108"/>
      <c r="G29" s="108"/>
      <c r="H29" s="413"/>
      <c r="I29" s="108"/>
    </row>
    <row r="30" spans="1:9" ht="18" customHeight="1">
      <c r="A30" s="104" t="str">
        <f t="shared" si="5"/>
        <v>Sentinel Lights</v>
      </c>
      <c r="B30" s="97">
        <f>('2012 Test Yr On Existing Rates'!G13-'2012 Test Yr On Existing Rates'!I13)/'2012 Test Yr On Existing Rates'!J13</f>
        <v>0.2521839960283088</v>
      </c>
      <c r="C30" s="97">
        <f t="shared" si="6"/>
        <v>0.7478160039716912</v>
      </c>
      <c r="D30" s="97">
        <f t="shared" si="7"/>
        <v>1</v>
      </c>
      <c r="E30" s="108">
        <f>+B12*C30/'Forecast Data For 2012'!C17/12</f>
        <v>3.3945926338885695</v>
      </c>
      <c r="F30" s="108">
        <f>'2011 Existing Rates'!B12</f>
        <v>0.4</v>
      </c>
      <c r="G30" s="108">
        <f>'[10]O2 Fixed Charge|Floor|Ceiling'!$K$17</f>
        <v>5.561367748357885</v>
      </c>
      <c r="H30" s="413"/>
      <c r="I30" s="108">
        <f>+B12*H30/'Forecast Data For 2012'!C17/12</f>
        <v>0</v>
      </c>
    </row>
    <row r="31" spans="1:9" ht="18" customHeight="1">
      <c r="A31" s="104" t="str">
        <f t="shared" si="5"/>
        <v>Street Lighting</v>
      </c>
      <c r="B31" s="97">
        <f>('2012 Test Yr On Existing Rates'!G14-'2012 Test Yr On Existing Rates'!I14)/'2012 Test Yr On Existing Rates'!J14</f>
        <v>0.6380160767744727</v>
      </c>
      <c r="C31" s="97">
        <f t="shared" si="6"/>
        <v>0.3619839232255273</v>
      </c>
      <c r="D31" s="97">
        <f t="shared" si="7"/>
        <v>1</v>
      </c>
      <c r="E31" s="108">
        <f>+B13*C31/'Forecast Data For 2012'!C20/12</f>
        <v>1.2681203517630983</v>
      </c>
      <c r="F31" s="108">
        <f>'2011 Existing Rates'!B13</f>
        <v>0.01</v>
      </c>
      <c r="G31" s="108">
        <f>'[10]O2 Fixed Charge|Floor|Ceiling'!$J$17</f>
        <v>4.237118321282804</v>
      </c>
      <c r="H31" s="413"/>
      <c r="I31" s="108">
        <f>+B13*H31/'Forecast Data For 2012'!C20/12</f>
        <v>0</v>
      </c>
    </row>
    <row r="32" spans="1:9" ht="18" customHeight="1">
      <c r="A32" s="104" t="str">
        <f t="shared" si="5"/>
        <v>USL</v>
      </c>
      <c r="B32" s="97">
        <f>('2012 Test Yr On Existing Rates'!G15-'2012 Test Yr On Existing Rates'!I15)/'2012 Test Yr On Existing Rates'!J15</f>
        <v>0.13110769183072277</v>
      </c>
      <c r="C32" s="97">
        <f t="shared" si="6"/>
        <v>0.8688923081692772</v>
      </c>
      <c r="D32" s="97">
        <f t="shared" si="7"/>
        <v>1</v>
      </c>
      <c r="E32" s="108">
        <f>+B14*C32/'Forecast Data For 2012'!C23/12</f>
        <v>6.949421209760487</v>
      </c>
      <c r="F32" s="108">
        <f>'2011 Existing Rates'!C14</f>
        <v>5.54</v>
      </c>
      <c r="G32" s="108">
        <f>'[10]O2 Fixed Charge|Floor|Ceiling'!$L$17</f>
        <v>7.504699613095539</v>
      </c>
      <c r="H32" s="413"/>
      <c r="I32" s="108">
        <f>+B14*H32/'Forecast Data For 2012'!C23/12</f>
        <v>0</v>
      </c>
    </row>
    <row r="33" spans="1:9" ht="18" customHeight="1">
      <c r="A33" s="104"/>
      <c r="B33" s="97"/>
      <c r="C33" s="97"/>
      <c r="D33" s="97"/>
      <c r="E33" s="108"/>
      <c r="F33" s="108"/>
      <c r="G33" s="108"/>
      <c r="H33" s="413"/>
      <c r="I33" s="108"/>
    </row>
    <row r="34" spans="1:9" ht="18" customHeight="1">
      <c r="A34" s="104" t="str">
        <f t="shared" si="5"/>
        <v>Hydro One </v>
      </c>
      <c r="B34" s="97">
        <f>('2012 Test Yr On Existing Rates'!G17-'2012 Test Yr On Existing Rates'!I17)/'2012 Test Yr On Existing Rates'!J17</f>
        <v>0.22935603695158926</v>
      </c>
      <c r="C34" s="97">
        <f t="shared" si="6"/>
        <v>0.7706439630484108</v>
      </c>
      <c r="D34" s="97">
        <f t="shared" si="7"/>
        <v>1</v>
      </c>
      <c r="E34" s="108">
        <f>+B16*C34/'Forecast Data For 2012'!C27/12</f>
        <v>1753.2850728122821</v>
      </c>
      <c r="F34" s="429">
        <f>'2011 Existing Rates'!C16</f>
        <v>842.45</v>
      </c>
      <c r="G34" s="429">
        <f>'[10]O2 Fixed Charge|Floor|Ceiling'!$M$17</f>
        <v>64.90203663745446</v>
      </c>
      <c r="H34" s="430"/>
      <c r="I34" s="429"/>
    </row>
    <row r="35" spans="1:9" ht="18" customHeight="1" thickBot="1">
      <c r="A35" s="110" t="s">
        <v>1</v>
      </c>
      <c r="B35" s="319"/>
      <c r="C35" s="111"/>
      <c r="D35" s="111"/>
      <c r="E35" s="111"/>
      <c r="F35" s="111"/>
      <c r="G35" s="111"/>
      <c r="H35" s="111"/>
      <c r="I35" s="111"/>
    </row>
    <row r="36" ht="13.5" thickTop="1">
      <c r="F36" s="1"/>
    </row>
    <row r="37" spans="3:6" ht="12.75">
      <c r="C37" s="10"/>
      <c r="F37" s="67"/>
    </row>
    <row r="38" ht="12.75">
      <c r="F38" s="67"/>
    </row>
    <row r="39" spans="3:6" ht="12.75">
      <c r="C39" s="3"/>
      <c r="F39" s="67"/>
    </row>
    <row r="40" spans="3:6" ht="12.75">
      <c r="C40" s="3"/>
      <c r="F40" s="67"/>
    </row>
    <row r="41" spans="3:6" ht="10.5" customHeight="1">
      <c r="C41" s="3"/>
      <c r="F41" s="67"/>
    </row>
    <row r="42" spans="3:6" ht="12.75">
      <c r="C42" s="1"/>
      <c r="F42" s="67"/>
    </row>
    <row r="43" spans="3:6" ht="12.75">
      <c r="C43" s="1"/>
      <c r="F43" s="67"/>
    </row>
    <row r="44" spans="3:6" ht="12.75">
      <c r="C44" s="1"/>
      <c r="F44" s="62"/>
    </row>
    <row r="45" spans="3:6" ht="12.75">
      <c r="C45" s="1"/>
      <c r="F45" s="62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</sheetData>
  <sheetProtection/>
  <mergeCells count="7">
    <mergeCell ref="A1:K1"/>
    <mergeCell ref="A2:K2"/>
    <mergeCell ref="A3:K3"/>
    <mergeCell ref="A24:H24"/>
    <mergeCell ref="A4:K4"/>
    <mergeCell ref="A5:K5"/>
    <mergeCell ref="A6:K6"/>
  </mergeCells>
  <printOptions/>
  <pageMargins left="0.75" right="0.75" top="1" bottom="1" header="0.5" footer="0.5"/>
  <pageSetup fitToHeight="1" fitToWidth="1" horizontalDpi="355" verticalDpi="355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2.57421875" style="0" bestFit="1" customWidth="1"/>
    <col min="2" max="2" width="10.00390625" style="0" bestFit="1" customWidth="1"/>
    <col min="3" max="3" width="7.421875" style="0" bestFit="1" customWidth="1"/>
    <col min="4" max="4" width="12.8515625" style="0" bestFit="1" customWidth="1"/>
    <col min="5" max="5" width="12.28125" style="0" bestFit="1" customWidth="1"/>
    <col min="6" max="6" width="11.140625" style="0" bestFit="1" customWidth="1"/>
    <col min="15" max="15" width="12.140625" style="0" bestFit="1" customWidth="1"/>
  </cols>
  <sheetData>
    <row r="1" spans="1:6" ht="12.75">
      <c r="A1" s="493" t="str">
        <f>+'Revenue Input'!A1</f>
        <v>E.L.K. Energy Inc., </v>
      </c>
      <c r="B1" s="493"/>
      <c r="C1" s="493"/>
      <c r="D1" s="493"/>
      <c r="E1" s="493"/>
      <c r="F1" s="493"/>
    </row>
    <row r="2" spans="1:6" ht="12.75">
      <c r="A2" s="493" t="str">
        <f>+'Revenue Input'!A2</f>
        <v>ED-2003-0015 , EB-2011-099</v>
      </c>
      <c r="B2" s="493"/>
      <c r="C2" s="493"/>
      <c r="D2" s="493"/>
      <c r="E2" s="493"/>
      <c r="F2" s="493"/>
    </row>
    <row r="3" spans="1:6" ht="12.75">
      <c r="A3" s="493">
        <f>+'Revenue Input'!A3</f>
        <v>0</v>
      </c>
      <c r="B3" s="493"/>
      <c r="C3" s="493"/>
      <c r="D3" s="493"/>
      <c r="E3" s="493"/>
      <c r="F3" s="493"/>
    </row>
    <row r="4" spans="1:6" ht="13.5" thickBot="1">
      <c r="A4" s="471"/>
      <c r="B4" s="471"/>
      <c r="C4" s="471"/>
      <c r="D4" s="471"/>
      <c r="E4" s="471"/>
      <c r="F4" s="471"/>
    </row>
    <row r="5" spans="1:6" s="58" customFormat="1" ht="15">
      <c r="A5" s="498" t="s">
        <v>276</v>
      </c>
      <c r="B5" s="499"/>
      <c r="C5" s="499"/>
      <c r="D5" s="499"/>
      <c r="E5" s="499"/>
      <c r="F5" s="500"/>
    </row>
    <row r="6" spans="1:6" ht="38.25" customHeight="1">
      <c r="A6" s="497" t="s">
        <v>0</v>
      </c>
      <c r="B6" s="497" t="s">
        <v>19</v>
      </c>
      <c r="C6" s="497"/>
      <c r="D6" s="501" t="s">
        <v>177</v>
      </c>
      <c r="E6" s="501" t="s">
        <v>20</v>
      </c>
      <c r="F6" s="501" t="s">
        <v>21</v>
      </c>
    </row>
    <row r="7" spans="1:6" ht="12.75">
      <c r="A7" s="497"/>
      <c r="B7" s="444" t="s">
        <v>22</v>
      </c>
      <c r="C7" s="445" t="s">
        <v>23</v>
      </c>
      <c r="D7" s="501"/>
      <c r="E7" s="501"/>
      <c r="F7" s="501"/>
    </row>
    <row r="8" spans="1:6" ht="18" customHeight="1">
      <c r="A8" s="104" t="str">
        <f>'[6]Exhibit 8 Tables'!B75</f>
        <v>Residential</v>
      </c>
      <c r="B8" s="115">
        <f>'[1]13. Final 2012 RTS Rates'!$H$26</f>
        <v>0.004593717503877448</v>
      </c>
      <c r="C8" s="115"/>
      <c r="D8" s="114">
        <f>+B8*'Forecast Data For 2012'!C8</f>
        <v>440902.4246660976</v>
      </c>
      <c r="E8" s="95">
        <f aca="true" t="shared" si="0" ref="E8:E15">D8/$D$17</f>
        <v>0.4007660805692475</v>
      </c>
      <c r="F8" s="114">
        <f aca="true" t="shared" si="1" ref="F8:F15">+$F$17*E8</f>
        <v>115181.6884552167</v>
      </c>
    </row>
    <row r="9" spans="1:6" ht="18" customHeight="1">
      <c r="A9" s="104" t="str">
        <f>'[6]Exhibit 8 Tables'!B76</f>
        <v>General Service &lt; 50 kW</v>
      </c>
      <c r="B9" s="115">
        <f>'[1]13. Final 2012 RTS Rates'!$H$27</f>
        <v>0.004185387059088343</v>
      </c>
      <c r="C9" s="115"/>
      <c r="D9" s="114">
        <f>+B9*'Forecast Data For 2012'!C10</f>
        <v>136422.53045169357</v>
      </c>
      <c r="E9" s="95">
        <f t="shared" si="0"/>
        <v>0.12400367920831729</v>
      </c>
      <c r="F9" s="114">
        <f t="shared" si="1"/>
        <v>35639.126758396196</v>
      </c>
    </row>
    <row r="10" spans="1:6" ht="18" customHeight="1">
      <c r="A10" s="104" t="str">
        <f>'[6]Exhibit 8 Tables'!B77</f>
        <v>General Service 50 to 4,999 kW</v>
      </c>
      <c r="B10" s="115"/>
      <c r="C10" s="115">
        <f>'[1]13. Final 2012 RTS Rates'!$H$28</f>
        <v>1.6581278536773647</v>
      </c>
      <c r="D10" s="114">
        <f>+C10*'Forecast Data For 2012'!C12</f>
        <v>354950.3108541782</v>
      </c>
      <c r="E10" s="95">
        <f t="shared" si="0"/>
        <v>0.3226383819177106</v>
      </c>
      <c r="F10" s="114">
        <f t="shared" si="1"/>
        <v>92727.4921494256</v>
      </c>
    </row>
    <row r="11" spans="1:6" ht="18" customHeight="1">
      <c r="A11" s="104" t="str">
        <f>'[6]Exhibit 8 Tables'!B78</f>
        <v>Street Lighting</v>
      </c>
      <c r="B11" s="115"/>
      <c r="C11" s="115">
        <f>'[1]13. Final 2012 RTS Rates'!$H$32</f>
        <v>1.2826680096937813</v>
      </c>
      <c r="D11" s="114">
        <f>+C11*'Forecast Data For 2012'!C21</f>
        <v>7802.288837763631</v>
      </c>
      <c r="E11" s="95">
        <f t="shared" si="0"/>
        <v>0.0070920288527507305</v>
      </c>
      <c r="F11" s="114">
        <f t="shared" si="1"/>
        <v>2038.2759356097679</v>
      </c>
    </row>
    <row r="12" spans="1:6" ht="18" customHeight="1">
      <c r="A12" s="104" t="str">
        <f>'[6]Exhibit 8 Tables'!B79</f>
        <v>Sentinel Lighting</v>
      </c>
      <c r="B12" s="115"/>
      <c r="C12" s="115">
        <f>'[1]13. Final 2012 RTS Rates'!$H$31</f>
        <v>1.309617819049862</v>
      </c>
      <c r="D12" s="114">
        <f>+C12*'Forecast Data For 2012'!C18</f>
        <v>19.764341802683585</v>
      </c>
      <c r="E12" s="95">
        <f t="shared" si="0"/>
        <v>1.796514910366175E-05</v>
      </c>
      <c r="F12" s="114">
        <f t="shared" si="1"/>
        <v>5.163251850481745</v>
      </c>
    </row>
    <row r="13" spans="1:6" ht="18" customHeight="1">
      <c r="A13" s="104" t="str">
        <f>'[6]Exhibit 8 Tables'!B80</f>
        <v>Unmetered Scattered Load</v>
      </c>
      <c r="B13" s="115">
        <f>'[1]13. Final 2012 RTS Rates'!$H$30</f>
        <v>0.004185387059088343</v>
      </c>
      <c r="C13" s="115"/>
      <c r="D13" s="114">
        <f>+B13*'Forecast Data For 2012'!C24</f>
        <v>791.0022250013029</v>
      </c>
      <c r="E13" s="95">
        <f t="shared" si="0"/>
        <v>0.0007189955049020212</v>
      </c>
      <c r="F13" s="114">
        <f t="shared" si="1"/>
        <v>206.64202950682696</v>
      </c>
    </row>
    <row r="14" spans="1:6" ht="18" customHeight="1">
      <c r="A14" s="104" t="str">
        <f>'[6]Exhibit 8 Tables'!B81</f>
        <v>Embedded Distributor - Hydro One</v>
      </c>
      <c r="B14" s="115"/>
      <c r="C14" s="115">
        <f>C10</f>
        <v>1.6581278536773647</v>
      </c>
      <c r="D14" s="393">
        <f>C14*'Forecast Data For 2012'!C28</f>
        <v>159260.73325363666</v>
      </c>
      <c r="E14" s="95">
        <f t="shared" si="0"/>
        <v>0.1447628687979683</v>
      </c>
      <c r="F14" s="114">
        <f t="shared" si="1"/>
        <v>41605.39641999449</v>
      </c>
    </row>
    <row r="15" spans="1:6" ht="18" customHeight="1" hidden="1">
      <c r="A15" s="104" t="str">
        <f>'Rates By Rate Class'!A15</f>
        <v>   </v>
      </c>
      <c r="B15" s="115"/>
      <c r="C15" s="115"/>
      <c r="D15" s="393"/>
      <c r="E15" s="95">
        <f t="shared" si="0"/>
        <v>0</v>
      </c>
      <c r="F15" s="114">
        <f t="shared" si="1"/>
        <v>0</v>
      </c>
    </row>
    <row r="16" spans="1:6" ht="18" customHeight="1" hidden="1">
      <c r="A16" s="104" t="str">
        <f>'Rates By Rate Class'!A16</f>
        <v>Hydro One </v>
      </c>
      <c r="B16" s="25"/>
      <c r="C16" s="25"/>
      <c r="D16" s="25"/>
      <c r="E16" s="25"/>
      <c r="F16" s="447"/>
    </row>
    <row r="17" spans="1:6" ht="18" customHeight="1">
      <c r="A17" s="92" t="s">
        <v>18</v>
      </c>
      <c r="B17" s="451"/>
      <c r="C17" s="452"/>
      <c r="D17" s="453">
        <f>SUM(D8:D15)</f>
        <v>1100149.0546301736</v>
      </c>
      <c r="E17" s="454">
        <f>SUM(E8:E15)</f>
        <v>1.0000000000000002</v>
      </c>
      <c r="F17" s="455">
        <f>'Revenue Input'!B12</f>
        <v>287403.78500000003</v>
      </c>
    </row>
    <row r="19" spans="2:3" ht="12.75">
      <c r="B19" s="56"/>
      <c r="C19" s="56"/>
    </row>
  </sheetData>
  <sheetProtection/>
  <mergeCells count="10">
    <mergeCell ref="B6:C6"/>
    <mergeCell ref="A5:F5"/>
    <mergeCell ref="A1:F1"/>
    <mergeCell ref="A2:F2"/>
    <mergeCell ref="A3:F3"/>
    <mergeCell ref="A4:F4"/>
    <mergeCell ref="A6:A7"/>
    <mergeCell ref="D6:D7"/>
    <mergeCell ref="E6:E7"/>
    <mergeCell ref="F6:F7"/>
  </mergeCells>
  <printOptions/>
  <pageMargins left="0.75" right="0.75" top="1" bottom="1" header="0.5" footer="0.5"/>
  <pageSetup fitToHeight="1" fitToWidth="1" horizontalDpi="355" verticalDpi="3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2.7109375" style="0" bestFit="1" customWidth="1"/>
    <col min="2" max="2" width="11.8515625" style="0" bestFit="1" customWidth="1"/>
    <col min="3" max="3" width="15.7109375" style="0" bestFit="1" customWidth="1"/>
    <col min="4" max="4" width="14.28125" style="0" bestFit="1" customWidth="1"/>
    <col min="5" max="5" width="10.8515625" style="0" bestFit="1" customWidth="1"/>
    <col min="6" max="6" width="10.57421875" style="0" bestFit="1" customWidth="1"/>
    <col min="7" max="7" width="10.00390625" style="0" bestFit="1" customWidth="1"/>
  </cols>
  <sheetData>
    <row r="1" spans="1:7" ht="12.75">
      <c r="A1" s="493" t="str">
        <f>+'Revenue Input'!A1</f>
        <v>E.L.K. Energy Inc., </v>
      </c>
      <c r="B1" s="493"/>
      <c r="C1" s="493"/>
      <c r="D1" s="493"/>
      <c r="E1" s="493"/>
      <c r="F1" s="493"/>
      <c r="G1" s="493"/>
    </row>
    <row r="2" spans="1:7" ht="12.75">
      <c r="A2" s="493" t="str">
        <f>+'Revenue Input'!A2</f>
        <v>ED-2003-0015 , EB-2011-099</v>
      </c>
      <c r="B2" s="493"/>
      <c r="C2" s="493"/>
      <c r="D2" s="493"/>
      <c r="E2" s="493"/>
      <c r="F2" s="493"/>
      <c r="G2" s="493"/>
    </row>
    <row r="3" spans="1:7" ht="12.75">
      <c r="A3" s="493">
        <f>+'Revenue Input'!A3</f>
        <v>0</v>
      </c>
      <c r="B3" s="493"/>
      <c r="C3" s="493"/>
      <c r="D3" s="493"/>
      <c r="E3" s="493"/>
      <c r="F3" s="493"/>
      <c r="G3" s="493"/>
    </row>
    <row r="4" spans="1:7" ht="6.75" customHeight="1" thickBot="1">
      <c r="A4" s="471"/>
      <c r="B4" s="471"/>
      <c r="C4" s="471"/>
      <c r="D4" s="471"/>
      <c r="E4" s="471"/>
      <c r="F4" s="471"/>
      <c r="G4" s="471"/>
    </row>
    <row r="5" spans="1:7" ht="15">
      <c r="A5" s="502" t="s">
        <v>275</v>
      </c>
      <c r="B5" s="503"/>
      <c r="C5" s="503"/>
      <c r="D5" s="503"/>
      <c r="E5" s="503"/>
      <c r="F5" s="503"/>
      <c r="G5" s="504"/>
    </row>
    <row r="6" spans="1:7" ht="25.5">
      <c r="A6" s="110" t="s">
        <v>0</v>
      </c>
      <c r="B6" s="446" t="s">
        <v>133</v>
      </c>
      <c r="C6" s="446" t="s">
        <v>13</v>
      </c>
      <c r="D6" s="446" t="s">
        <v>14</v>
      </c>
      <c r="E6" s="446" t="s">
        <v>15</v>
      </c>
      <c r="F6" s="446" t="s">
        <v>131</v>
      </c>
      <c r="G6" s="446" t="s">
        <v>132</v>
      </c>
    </row>
    <row r="7" spans="1:9" ht="18" customHeight="1">
      <c r="A7" s="104" t="str">
        <f>'Allocation Low Voltage Costs'!A8</f>
        <v>Residential</v>
      </c>
      <c r="B7" s="114">
        <f>+'Allocation Low Voltage Costs'!F8</f>
        <v>115181.6884552167</v>
      </c>
      <c r="C7" s="114">
        <f>'Forecast Data For 2012'!C8</f>
        <v>95979438.06817514</v>
      </c>
      <c r="D7" s="114">
        <f>+'2012 Test Yr On Existing Rates'!C9</f>
        <v>0</v>
      </c>
      <c r="E7" s="113" t="s">
        <v>16</v>
      </c>
      <c r="F7" s="115">
        <f>+B7/C7</f>
        <v>0.0012000662930887554</v>
      </c>
      <c r="G7" s="115"/>
      <c r="I7" s="315"/>
    </row>
    <row r="8" spans="1:9" ht="18" customHeight="1">
      <c r="A8" s="104" t="str">
        <f>'Allocation Low Voltage Costs'!A9</f>
        <v>General Service &lt; 50 kW</v>
      </c>
      <c r="B8" s="114">
        <f>+'Allocation Low Voltage Costs'!F9</f>
        <v>35639.126758396196</v>
      </c>
      <c r="C8" s="114">
        <f>'Forecast Data For 2012'!C10</f>
        <v>32594961.595119234</v>
      </c>
      <c r="D8" s="114">
        <f>+'2012 Test Yr On Existing Rates'!C10</f>
        <v>0</v>
      </c>
      <c r="E8" s="113" t="s">
        <v>16</v>
      </c>
      <c r="F8" s="115">
        <f>+B8/C8</f>
        <v>0.0010933937337030885</v>
      </c>
      <c r="G8" s="115"/>
      <c r="I8" s="315"/>
    </row>
    <row r="9" spans="1:9" ht="18" customHeight="1">
      <c r="A9" s="104" t="str">
        <f>'Allocation Low Voltage Costs'!A10</f>
        <v>General Service 50 to 4,999 kW</v>
      </c>
      <c r="B9" s="114">
        <f>+'Allocation Low Voltage Costs'!F10</f>
        <v>92727.4921494256</v>
      </c>
      <c r="C9" s="114">
        <f>'Forecast Data For 2012'!C13</f>
        <v>66668106.41348041</v>
      </c>
      <c r="D9" s="114">
        <f>'Forecast Data For 2012'!C12</f>
        <v>214066.91291445112</v>
      </c>
      <c r="E9" s="113" t="s">
        <v>17</v>
      </c>
      <c r="F9" s="115"/>
      <c r="G9" s="115">
        <f>+B9/D9</f>
        <v>0.433170595525348</v>
      </c>
      <c r="I9" s="315"/>
    </row>
    <row r="10" spans="1:9" ht="18" customHeight="1">
      <c r="A10" s="104" t="str">
        <f>'Allocation Low Voltage Costs'!A11</f>
        <v>Street Lighting</v>
      </c>
      <c r="B10" s="114">
        <f>+'Allocation Low Voltage Costs'!F11</f>
        <v>2038.2759356097679</v>
      </c>
      <c r="C10" s="114">
        <f>'Forecast Data For 2012'!C22</f>
        <v>2225083.8466967554</v>
      </c>
      <c r="D10" s="114">
        <f>'Forecast Data For 2012'!C21</f>
        <v>6082.85914889724</v>
      </c>
      <c r="E10" s="113" t="s">
        <v>17</v>
      </c>
      <c r="F10" s="115"/>
      <c r="G10" s="115">
        <f>+B10/D10</f>
        <v>0.335085177170227</v>
      </c>
      <c r="I10" s="315"/>
    </row>
    <row r="11" spans="1:9" ht="18" customHeight="1">
      <c r="A11" s="104" t="str">
        <f>'Allocation Low Voltage Costs'!A12</f>
        <v>Sentinel Lighting</v>
      </c>
      <c r="B11" s="114">
        <f>+'Allocation Low Voltage Costs'!F12</f>
        <v>5.163251850481745</v>
      </c>
      <c r="C11" s="114">
        <f>'Forecast Data For 2012'!C19</f>
        <v>5564.296647778189</v>
      </c>
      <c r="D11" s="114">
        <f>'Forecast Data For 2012'!C18</f>
        <v>15.091686685374189</v>
      </c>
      <c r="E11" s="113" t="s">
        <v>17</v>
      </c>
      <c r="F11" s="115"/>
      <c r="G11" s="115">
        <f>+B11/D11</f>
        <v>0.342125566089681</v>
      </c>
      <c r="I11" s="315"/>
    </row>
    <row r="12" spans="1:15" ht="18" customHeight="1">
      <c r="A12" s="104" t="str">
        <f>'Allocation Low Voltage Costs'!A13</f>
        <v>Unmetered Scattered Load</v>
      </c>
      <c r="B12" s="114">
        <f>+'Allocation Low Voltage Costs'!F13</f>
        <v>206.64202950682696</v>
      </c>
      <c r="C12" s="114">
        <f>'Forecast Data For 2012'!C24</f>
        <v>188991.4155690055</v>
      </c>
      <c r="D12" s="114">
        <f>+'2012 Test Yr On Existing Rates'!C15</f>
        <v>0</v>
      </c>
      <c r="E12" s="113" t="s">
        <v>16</v>
      </c>
      <c r="F12" s="115">
        <f>+B12/C12</f>
        <v>0.0010933937337030885</v>
      </c>
      <c r="G12" s="115"/>
      <c r="I12" s="315"/>
      <c r="O12" s="336"/>
    </row>
    <row r="13" spans="1:9" ht="21" customHeight="1">
      <c r="A13" s="104" t="str">
        <f>'Allocation Low Voltage Costs'!A14</f>
        <v>Embedded Distributor - Hydro One</v>
      </c>
      <c r="B13" s="114">
        <f>+'Allocation Low Voltage Costs'!F14</f>
        <v>41605.39641999449</v>
      </c>
      <c r="C13" s="409">
        <f>'Forecast Data For 2012'!C29</f>
        <v>42996782.15295344</v>
      </c>
      <c r="D13" s="409">
        <f>'Forecast Data For 2012'!C28</f>
        <v>96048.52418372396</v>
      </c>
      <c r="E13" s="113" t="s">
        <v>17</v>
      </c>
      <c r="F13" s="411"/>
      <c r="G13" s="115">
        <f>+B13/D13</f>
        <v>0.4331705955253479</v>
      </c>
      <c r="I13" s="315"/>
    </row>
    <row r="14" spans="1:7" ht="21" customHeight="1" hidden="1">
      <c r="A14" s="104" t="str">
        <f>'Allocation Low Voltage Costs'!A15</f>
        <v>   </v>
      </c>
      <c r="B14" s="114">
        <f>+'Allocation Low Voltage Costs'!F15</f>
        <v>0</v>
      </c>
      <c r="C14" s="409"/>
      <c r="D14" s="409">
        <f>'Forecast Data For 2012'!C26</f>
        <v>0</v>
      </c>
      <c r="E14" s="410" t="s">
        <v>17</v>
      </c>
      <c r="F14" s="411"/>
      <c r="G14" s="411"/>
    </row>
    <row r="15" spans="1:7" ht="21" customHeight="1" hidden="1">
      <c r="A15" s="104" t="str">
        <f>'Allocation Low Voltage Costs'!A16</f>
        <v>Hydro One </v>
      </c>
      <c r="B15" s="25"/>
      <c r="C15" s="25"/>
      <c r="D15" s="25"/>
      <c r="E15" s="25"/>
      <c r="F15" s="25"/>
      <c r="G15" s="447"/>
    </row>
    <row r="16" spans="1:7" ht="18" customHeight="1">
      <c r="A16" s="109" t="s">
        <v>18</v>
      </c>
      <c r="B16" s="448">
        <f>SUM(B7:B14)</f>
        <v>287403.78500000003</v>
      </c>
      <c r="C16" s="448">
        <f>SUM(C7:C14)</f>
        <v>240658927.78864178</v>
      </c>
      <c r="D16" s="448">
        <f>SUM(D7:D14)</f>
        <v>316213.3879337577</v>
      </c>
      <c r="E16" s="449"/>
      <c r="F16" s="450"/>
      <c r="G16" s="449"/>
    </row>
    <row r="18" spans="3:4" ht="12.75">
      <c r="C18" s="315"/>
      <c r="D18" s="315"/>
    </row>
  </sheetData>
  <sheetProtection/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355" verticalDpi="3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Bacon, Bruce</cp:lastModifiedBy>
  <cp:lastPrinted>2013-03-13T16:17:23Z</cp:lastPrinted>
  <dcterms:created xsi:type="dcterms:W3CDTF">2007-07-20T14:53:09Z</dcterms:created>
  <dcterms:modified xsi:type="dcterms:W3CDTF">2014-01-27T17:19:52Z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