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20" windowHeight="1240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definedNames>
    <definedName name="EBNUMBER">'[1]LDC Info'!$E$16</definedName>
  </definedNames>
  <calcPr calcId="145621"/>
</workbook>
</file>

<file path=xl/calcChain.xml><?xml version="1.0" encoding="utf-8"?>
<calcChain xmlns="http://schemas.openxmlformats.org/spreadsheetml/2006/main">
  <c r="F342" i="1" l="1"/>
  <c r="G327" i="1"/>
  <c r="K327" i="1" s="1"/>
  <c r="L327" i="1" s="1"/>
  <c r="K326" i="1"/>
  <c r="L326" i="1" s="1"/>
  <c r="H326" i="1"/>
  <c r="G325" i="1"/>
  <c r="K325" i="1" s="1"/>
  <c r="L325" i="1" s="1"/>
  <c r="K324" i="1"/>
  <c r="L324" i="1" s="1"/>
  <c r="G324" i="1"/>
  <c r="H324" i="1" s="1"/>
  <c r="G323" i="1"/>
  <c r="K322" i="1"/>
  <c r="J322" i="1"/>
  <c r="G322" i="1"/>
  <c r="H322" i="1" s="1"/>
  <c r="L321" i="1"/>
  <c r="H321" i="1"/>
  <c r="J320" i="1"/>
  <c r="J319" i="1"/>
  <c r="G316" i="1"/>
  <c r="L314" i="1"/>
  <c r="N314" i="1" s="1"/>
  <c r="H314" i="1"/>
  <c r="J313" i="1"/>
  <c r="G313" i="1"/>
  <c r="F313" i="1"/>
  <c r="K312" i="1"/>
  <c r="L312" i="1" s="1"/>
  <c r="N312" i="1" s="1"/>
  <c r="H312" i="1"/>
  <c r="O312" i="1" s="1"/>
  <c r="G312" i="1"/>
  <c r="O311" i="1"/>
  <c r="K311" i="1"/>
  <c r="J311" i="1"/>
  <c r="L311" i="1" s="1"/>
  <c r="N311" i="1" s="1"/>
  <c r="G311" i="1"/>
  <c r="H311" i="1" s="1"/>
  <c r="K310" i="1"/>
  <c r="L310" i="1" s="1"/>
  <c r="N310" i="1" s="1"/>
  <c r="G310" i="1"/>
  <c r="H310" i="1" s="1"/>
  <c r="K309" i="1"/>
  <c r="L309" i="1" s="1"/>
  <c r="N309" i="1" s="1"/>
  <c r="O309" i="1" s="1"/>
  <c r="G309" i="1"/>
  <c r="H309" i="1" s="1"/>
  <c r="K308" i="1"/>
  <c r="L308" i="1" s="1"/>
  <c r="J308" i="1"/>
  <c r="G308" i="1"/>
  <c r="H308" i="1" s="1"/>
  <c r="K306" i="1"/>
  <c r="L306" i="1" s="1"/>
  <c r="G306" i="1"/>
  <c r="H306" i="1" s="1"/>
  <c r="O306" i="1" s="1"/>
  <c r="K305" i="1"/>
  <c r="L305" i="1" s="1"/>
  <c r="G305" i="1"/>
  <c r="H305" i="1" s="1"/>
  <c r="O305" i="1" s="1"/>
  <c r="K304" i="1"/>
  <c r="L304" i="1" s="1"/>
  <c r="H304" i="1"/>
  <c r="O304" i="1" s="1"/>
  <c r="G304" i="1"/>
  <c r="K303" i="1"/>
  <c r="L303" i="1" s="1"/>
  <c r="G303" i="1"/>
  <c r="H303" i="1" s="1"/>
  <c r="O303" i="1" s="1"/>
  <c r="K302" i="1"/>
  <c r="L302" i="1" s="1"/>
  <c r="N302" i="1" s="1"/>
  <c r="H302" i="1"/>
  <c r="O302" i="1" s="1"/>
  <c r="G302" i="1"/>
  <c r="K301" i="1"/>
  <c r="L301" i="1" s="1"/>
  <c r="H301" i="1"/>
  <c r="O301" i="1" s="1"/>
  <c r="G301" i="1"/>
  <c r="K300" i="1"/>
  <c r="L300" i="1" s="1"/>
  <c r="H300" i="1"/>
  <c r="O300" i="1" s="1"/>
  <c r="G300" i="1"/>
  <c r="K299" i="1"/>
  <c r="L299" i="1" s="1"/>
  <c r="G299" i="1"/>
  <c r="H299" i="1" s="1"/>
  <c r="O299" i="1" s="1"/>
  <c r="K298" i="1"/>
  <c r="L298" i="1" s="1"/>
  <c r="G298" i="1"/>
  <c r="H298" i="1" s="1"/>
  <c r="O298" i="1" s="1"/>
  <c r="K297" i="1"/>
  <c r="L297" i="1" s="1"/>
  <c r="N297" i="1" s="1"/>
  <c r="J297" i="1"/>
  <c r="H297" i="1"/>
  <c r="G297" i="1"/>
  <c r="L296" i="1"/>
  <c r="H296" i="1"/>
  <c r="O296" i="1" s="1"/>
  <c r="N295" i="1"/>
  <c r="L295" i="1"/>
  <c r="H295" i="1"/>
  <c r="O295" i="1" s="1"/>
  <c r="L294" i="1"/>
  <c r="H294" i="1"/>
  <c r="O294" i="1" s="1"/>
  <c r="L293" i="1"/>
  <c r="H293" i="1"/>
  <c r="O293" i="1" s="1"/>
  <c r="L292" i="1"/>
  <c r="H292" i="1"/>
  <c r="O292" i="1" s="1"/>
  <c r="J291" i="1"/>
  <c r="L291" i="1" s="1"/>
  <c r="H291" i="1"/>
  <c r="F279" i="1"/>
  <c r="O275" i="1"/>
  <c r="N275" i="1"/>
  <c r="G264" i="1"/>
  <c r="K263" i="1"/>
  <c r="L263" i="1" s="1"/>
  <c r="H263" i="1"/>
  <c r="K262" i="1"/>
  <c r="L262" i="1" s="1"/>
  <c r="N262" i="1" s="1"/>
  <c r="H262" i="1"/>
  <c r="O262" i="1" s="1"/>
  <c r="O261" i="1"/>
  <c r="K261" i="1"/>
  <c r="L261" i="1" s="1"/>
  <c r="N261" i="1" s="1"/>
  <c r="H261" i="1"/>
  <c r="K260" i="1"/>
  <c r="L260" i="1" s="1"/>
  <c r="H260" i="1"/>
  <c r="O260" i="1" s="1"/>
  <c r="K259" i="1"/>
  <c r="J259" i="1"/>
  <c r="G259" i="1"/>
  <c r="H259" i="1" s="1"/>
  <c r="L258" i="1"/>
  <c r="N258" i="1" s="1"/>
  <c r="O258" i="1" s="1"/>
  <c r="H258" i="1"/>
  <c r="J257" i="1"/>
  <c r="G257" i="1"/>
  <c r="K257" i="1" s="1"/>
  <c r="L257" i="1" s="1"/>
  <c r="J256" i="1"/>
  <c r="G256" i="1"/>
  <c r="K256" i="1" s="1"/>
  <c r="G254" i="1"/>
  <c r="H254" i="1" s="1"/>
  <c r="K253" i="1"/>
  <c r="G253" i="1"/>
  <c r="H253" i="1" s="1"/>
  <c r="L251" i="1"/>
  <c r="H251" i="1"/>
  <c r="G250" i="1"/>
  <c r="F250" i="1"/>
  <c r="J250" i="1" s="1"/>
  <c r="K249" i="1"/>
  <c r="L249" i="1" s="1"/>
  <c r="G249" i="1"/>
  <c r="H249" i="1" s="1"/>
  <c r="O249" i="1" s="1"/>
  <c r="K248" i="1"/>
  <c r="L248" i="1" s="1"/>
  <c r="N248" i="1" s="1"/>
  <c r="J248" i="1"/>
  <c r="G248" i="1"/>
  <c r="H248" i="1" s="1"/>
  <c r="O248" i="1" s="1"/>
  <c r="K247" i="1"/>
  <c r="L247" i="1" s="1"/>
  <c r="N247" i="1" s="1"/>
  <c r="G247" i="1"/>
  <c r="H247" i="1" s="1"/>
  <c r="K246" i="1"/>
  <c r="L246" i="1" s="1"/>
  <c r="G246" i="1"/>
  <c r="H246" i="1" s="1"/>
  <c r="K245" i="1"/>
  <c r="J245" i="1"/>
  <c r="L245" i="1" s="1"/>
  <c r="G245" i="1"/>
  <c r="H245" i="1" s="1"/>
  <c r="K244" i="1"/>
  <c r="J244" i="1"/>
  <c r="G244" i="1"/>
  <c r="H244" i="1" s="1"/>
  <c r="K242" i="1"/>
  <c r="L242" i="1" s="1"/>
  <c r="G242" i="1"/>
  <c r="H242" i="1" s="1"/>
  <c r="O242" i="1" s="1"/>
  <c r="K241" i="1"/>
  <c r="L241" i="1" s="1"/>
  <c r="G241" i="1"/>
  <c r="H241" i="1" s="1"/>
  <c r="O241" i="1" s="1"/>
  <c r="K240" i="1"/>
  <c r="L240" i="1" s="1"/>
  <c r="H240" i="1"/>
  <c r="O240" i="1" s="1"/>
  <c r="G240" i="1"/>
  <c r="K239" i="1"/>
  <c r="L239" i="1" s="1"/>
  <c r="G239" i="1"/>
  <c r="H239" i="1" s="1"/>
  <c r="O239" i="1" s="1"/>
  <c r="L238" i="1"/>
  <c r="N238" i="1" s="1"/>
  <c r="K238" i="1"/>
  <c r="G238" i="1"/>
  <c r="H238" i="1" s="1"/>
  <c r="O238" i="1" s="1"/>
  <c r="K237" i="1"/>
  <c r="L237" i="1" s="1"/>
  <c r="H237" i="1"/>
  <c r="O237" i="1" s="1"/>
  <c r="G237" i="1"/>
  <c r="K236" i="1"/>
  <c r="L236" i="1" s="1"/>
  <c r="G236" i="1"/>
  <c r="H236" i="1" s="1"/>
  <c r="O236" i="1" s="1"/>
  <c r="K235" i="1"/>
  <c r="L235" i="1" s="1"/>
  <c r="N235" i="1" s="1"/>
  <c r="H235" i="1"/>
  <c r="O235" i="1" s="1"/>
  <c r="G235" i="1"/>
  <c r="K234" i="1"/>
  <c r="L234" i="1" s="1"/>
  <c r="G234" i="1"/>
  <c r="H234" i="1" s="1"/>
  <c r="O234" i="1" s="1"/>
  <c r="K233" i="1"/>
  <c r="J233" i="1"/>
  <c r="G233" i="1"/>
  <c r="H233" i="1" s="1"/>
  <c r="O232" i="1"/>
  <c r="L232" i="1"/>
  <c r="H232" i="1"/>
  <c r="O231" i="1"/>
  <c r="L231" i="1"/>
  <c r="N231" i="1" s="1"/>
  <c r="H231" i="1"/>
  <c r="L230" i="1"/>
  <c r="H230" i="1"/>
  <c r="O230" i="1" s="1"/>
  <c r="L229" i="1"/>
  <c r="H229" i="1"/>
  <c r="O229" i="1" s="1"/>
  <c r="O228" i="1"/>
  <c r="L228" i="1"/>
  <c r="H228" i="1"/>
  <c r="J227" i="1"/>
  <c r="L227" i="1" s="1"/>
  <c r="H227" i="1"/>
  <c r="F215" i="1"/>
  <c r="O211" i="1"/>
  <c r="N211" i="1"/>
  <c r="K200" i="1"/>
  <c r="L200" i="1" s="1"/>
  <c r="N200" i="1" s="1"/>
  <c r="O200" i="1" s="1"/>
  <c r="G200" i="1"/>
  <c r="H200" i="1" s="1"/>
  <c r="K199" i="1"/>
  <c r="L199" i="1" s="1"/>
  <c r="H199" i="1"/>
  <c r="K198" i="1"/>
  <c r="L198" i="1" s="1"/>
  <c r="H198" i="1"/>
  <c r="O198" i="1" s="1"/>
  <c r="K197" i="1"/>
  <c r="L197" i="1" s="1"/>
  <c r="H197" i="1"/>
  <c r="O197" i="1" s="1"/>
  <c r="K196" i="1"/>
  <c r="L196" i="1" s="1"/>
  <c r="H196" i="1"/>
  <c r="O196" i="1" s="1"/>
  <c r="K195" i="1"/>
  <c r="J195" i="1"/>
  <c r="L195" i="1" s="1"/>
  <c r="G195" i="1"/>
  <c r="H195" i="1" s="1"/>
  <c r="L194" i="1"/>
  <c r="N194" i="1" s="1"/>
  <c r="H194" i="1"/>
  <c r="J193" i="1"/>
  <c r="G193" i="1"/>
  <c r="H193" i="1" s="1"/>
  <c r="J192" i="1"/>
  <c r="G192" i="1"/>
  <c r="K189" i="1"/>
  <c r="G189" i="1"/>
  <c r="H189" i="1" s="1"/>
  <c r="L187" i="1"/>
  <c r="N187" i="1" s="1"/>
  <c r="H187" i="1"/>
  <c r="G186" i="1"/>
  <c r="F186" i="1"/>
  <c r="J186" i="1" s="1"/>
  <c r="L185" i="1"/>
  <c r="N185" i="1" s="1"/>
  <c r="K185" i="1"/>
  <c r="G185" i="1"/>
  <c r="H185" i="1" s="1"/>
  <c r="O185" i="1" s="1"/>
  <c r="O184" i="1"/>
  <c r="K184" i="1"/>
  <c r="J184" i="1"/>
  <c r="G184" i="1"/>
  <c r="H184" i="1" s="1"/>
  <c r="K183" i="1"/>
  <c r="L183" i="1" s="1"/>
  <c r="H183" i="1"/>
  <c r="G183" i="1"/>
  <c r="K182" i="1"/>
  <c r="L182" i="1" s="1"/>
  <c r="G182" i="1"/>
  <c r="H182" i="1" s="1"/>
  <c r="J181" i="1"/>
  <c r="G181" i="1"/>
  <c r="H181" i="1" s="1"/>
  <c r="K180" i="1"/>
  <c r="L180" i="1" s="1"/>
  <c r="J180" i="1"/>
  <c r="G180" i="1"/>
  <c r="H180" i="1" s="1"/>
  <c r="K178" i="1"/>
  <c r="L178" i="1" s="1"/>
  <c r="N178" i="1" s="1"/>
  <c r="G178" i="1"/>
  <c r="H178" i="1" s="1"/>
  <c r="O178" i="1" s="1"/>
  <c r="K177" i="1"/>
  <c r="L177" i="1" s="1"/>
  <c r="G177" i="1"/>
  <c r="H177" i="1" s="1"/>
  <c r="O177" i="1" s="1"/>
  <c r="K176" i="1"/>
  <c r="L176" i="1" s="1"/>
  <c r="G176" i="1"/>
  <c r="H176" i="1" s="1"/>
  <c r="O176" i="1" s="1"/>
  <c r="K175" i="1"/>
  <c r="L175" i="1" s="1"/>
  <c r="G175" i="1"/>
  <c r="H175" i="1" s="1"/>
  <c r="O175" i="1" s="1"/>
  <c r="K174" i="1"/>
  <c r="L174" i="1" s="1"/>
  <c r="G174" i="1"/>
  <c r="H174" i="1" s="1"/>
  <c r="O174" i="1" s="1"/>
  <c r="K173" i="1"/>
  <c r="L173" i="1" s="1"/>
  <c r="G173" i="1"/>
  <c r="H173" i="1" s="1"/>
  <c r="O173" i="1" s="1"/>
  <c r="K172" i="1"/>
  <c r="L172" i="1" s="1"/>
  <c r="G172" i="1"/>
  <c r="H172" i="1" s="1"/>
  <c r="O172" i="1" s="1"/>
  <c r="K171" i="1"/>
  <c r="L171" i="1" s="1"/>
  <c r="G171" i="1"/>
  <c r="H171" i="1" s="1"/>
  <c r="O171" i="1" s="1"/>
  <c r="L170" i="1"/>
  <c r="K170" i="1"/>
  <c r="G170" i="1"/>
  <c r="H170" i="1" s="1"/>
  <c r="O170" i="1" s="1"/>
  <c r="K169" i="1"/>
  <c r="J169" i="1"/>
  <c r="G169" i="1"/>
  <c r="H169" i="1" s="1"/>
  <c r="O168" i="1"/>
  <c r="L168" i="1"/>
  <c r="N168" i="1" s="1"/>
  <c r="H168" i="1"/>
  <c r="L167" i="1"/>
  <c r="H167" i="1"/>
  <c r="O167" i="1" s="1"/>
  <c r="L166" i="1"/>
  <c r="H166" i="1"/>
  <c r="O166" i="1" s="1"/>
  <c r="L165" i="1"/>
  <c r="H165" i="1"/>
  <c r="O165" i="1" s="1"/>
  <c r="L164" i="1"/>
  <c r="H164" i="1"/>
  <c r="O164" i="1" s="1"/>
  <c r="J163" i="1"/>
  <c r="L163" i="1" s="1"/>
  <c r="H163" i="1"/>
  <c r="F151" i="1"/>
  <c r="G125" i="1" s="1"/>
  <c r="G136" i="1"/>
  <c r="H136" i="1" s="1"/>
  <c r="K135" i="1"/>
  <c r="L135" i="1" s="1"/>
  <c r="N135" i="1" s="1"/>
  <c r="O135" i="1" s="1"/>
  <c r="H135" i="1"/>
  <c r="K134" i="1"/>
  <c r="L134" i="1" s="1"/>
  <c r="G134" i="1"/>
  <c r="H134" i="1" s="1"/>
  <c r="G133" i="1"/>
  <c r="K132" i="1"/>
  <c r="L132" i="1" s="1"/>
  <c r="G132" i="1"/>
  <c r="H132" i="1" s="1"/>
  <c r="K131" i="1"/>
  <c r="L131" i="1" s="1"/>
  <c r="N131" i="1" s="1"/>
  <c r="J131" i="1"/>
  <c r="G131" i="1"/>
  <c r="H131" i="1" s="1"/>
  <c r="L130" i="1"/>
  <c r="H130" i="1"/>
  <c r="J129" i="1"/>
  <c r="J128" i="1"/>
  <c r="L123" i="1"/>
  <c r="H123" i="1"/>
  <c r="J122" i="1"/>
  <c r="G122" i="1"/>
  <c r="H122" i="1" s="1"/>
  <c r="F122" i="1"/>
  <c r="K121" i="1"/>
  <c r="L121" i="1" s="1"/>
  <c r="G121" i="1"/>
  <c r="H121" i="1" s="1"/>
  <c r="K120" i="1"/>
  <c r="J120" i="1"/>
  <c r="G120" i="1"/>
  <c r="H120" i="1" s="1"/>
  <c r="O120" i="1" s="1"/>
  <c r="K119" i="1"/>
  <c r="L119" i="1" s="1"/>
  <c r="N119" i="1" s="1"/>
  <c r="O119" i="1" s="1"/>
  <c r="G119" i="1"/>
  <c r="H119" i="1" s="1"/>
  <c r="K118" i="1"/>
  <c r="L118" i="1" s="1"/>
  <c r="N118" i="1" s="1"/>
  <c r="G118" i="1"/>
  <c r="H118" i="1" s="1"/>
  <c r="K117" i="1"/>
  <c r="J117" i="1"/>
  <c r="G117" i="1"/>
  <c r="H117" i="1" s="1"/>
  <c r="K115" i="1"/>
  <c r="L115" i="1" s="1"/>
  <c r="N115" i="1" s="1"/>
  <c r="H115" i="1"/>
  <c r="O115" i="1" s="1"/>
  <c r="G115" i="1"/>
  <c r="K114" i="1"/>
  <c r="L114" i="1" s="1"/>
  <c r="H114" i="1"/>
  <c r="O114" i="1" s="1"/>
  <c r="G114" i="1"/>
  <c r="K113" i="1"/>
  <c r="L113" i="1" s="1"/>
  <c r="G113" i="1"/>
  <c r="H113" i="1" s="1"/>
  <c r="K112" i="1"/>
  <c r="L112" i="1" s="1"/>
  <c r="G112" i="1"/>
  <c r="H112" i="1" s="1"/>
  <c r="O112" i="1" s="1"/>
  <c r="L111" i="1"/>
  <c r="K111" i="1"/>
  <c r="G111" i="1"/>
  <c r="H111" i="1" s="1"/>
  <c r="K110" i="1"/>
  <c r="L110" i="1" s="1"/>
  <c r="H110" i="1"/>
  <c r="O110" i="1" s="1"/>
  <c r="G110" i="1"/>
  <c r="K109" i="1"/>
  <c r="L109" i="1" s="1"/>
  <c r="G109" i="1"/>
  <c r="H109" i="1" s="1"/>
  <c r="O109" i="1" s="1"/>
  <c r="K108" i="1"/>
  <c r="L108" i="1" s="1"/>
  <c r="G108" i="1"/>
  <c r="H108" i="1" s="1"/>
  <c r="O108" i="1" s="1"/>
  <c r="K107" i="1"/>
  <c r="L107" i="1" s="1"/>
  <c r="N107" i="1" s="1"/>
  <c r="H107" i="1"/>
  <c r="O107" i="1" s="1"/>
  <c r="G107" i="1"/>
  <c r="K106" i="1"/>
  <c r="J106" i="1"/>
  <c r="L106" i="1" s="1"/>
  <c r="G106" i="1"/>
  <c r="H106" i="1" s="1"/>
  <c r="L105" i="1"/>
  <c r="H105" i="1"/>
  <c r="N105" i="1" s="1"/>
  <c r="O104" i="1"/>
  <c r="J104" i="1"/>
  <c r="L104" i="1" s="1"/>
  <c r="H104" i="1"/>
  <c r="N104" i="1" s="1"/>
  <c r="L103" i="1"/>
  <c r="N103" i="1" s="1"/>
  <c r="O103" i="1" s="1"/>
  <c r="H103" i="1"/>
  <c r="L102" i="1"/>
  <c r="H102" i="1"/>
  <c r="L101" i="1"/>
  <c r="H101" i="1"/>
  <c r="O101" i="1" s="1"/>
  <c r="J100" i="1"/>
  <c r="L100" i="1" s="1"/>
  <c r="H100" i="1"/>
  <c r="J73" i="1"/>
  <c r="J342" i="1" s="1"/>
  <c r="K316" i="1" s="1"/>
  <c r="G58" i="1"/>
  <c r="K58" i="1" s="1"/>
  <c r="L58" i="1" s="1"/>
  <c r="K57" i="1"/>
  <c r="L57" i="1" s="1"/>
  <c r="H57" i="1"/>
  <c r="G57" i="1"/>
  <c r="G56" i="1"/>
  <c r="K56" i="1" s="1"/>
  <c r="L56" i="1" s="1"/>
  <c r="G55" i="1"/>
  <c r="K55" i="1" s="1"/>
  <c r="L55" i="1" s="1"/>
  <c r="G54" i="1"/>
  <c r="K54" i="1" s="1"/>
  <c r="L54" i="1" s="1"/>
  <c r="K53" i="1"/>
  <c r="J53" i="1"/>
  <c r="G53" i="1"/>
  <c r="H53" i="1" s="1"/>
  <c r="J52" i="1"/>
  <c r="L52" i="1" s="1"/>
  <c r="N52" i="1" s="1"/>
  <c r="H52" i="1"/>
  <c r="J51" i="1"/>
  <c r="J50" i="1"/>
  <c r="G48" i="1"/>
  <c r="G50" i="1" s="1"/>
  <c r="H50" i="1" s="1"/>
  <c r="G47" i="1"/>
  <c r="H47" i="1" s="1"/>
  <c r="L45" i="1"/>
  <c r="H45" i="1"/>
  <c r="J44" i="1"/>
  <c r="G44" i="1"/>
  <c r="F44" i="1"/>
  <c r="K43" i="1"/>
  <c r="J43" i="1"/>
  <c r="G43" i="1"/>
  <c r="H43" i="1" s="1"/>
  <c r="O43" i="1" s="1"/>
  <c r="K42" i="1"/>
  <c r="L42" i="1" s="1"/>
  <c r="G42" i="1"/>
  <c r="H42" i="1" s="1"/>
  <c r="K41" i="1"/>
  <c r="L41" i="1" s="1"/>
  <c r="G41" i="1"/>
  <c r="H41" i="1" s="1"/>
  <c r="K40" i="1"/>
  <c r="J40" i="1"/>
  <c r="L40" i="1" s="1"/>
  <c r="G40" i="1"/>
  <c r="H40" i="1" s="1"/>
  <c r="K38" i="1"/>
  <c r="L38" i="1" s="1"/>
  <c r="G38" i="1"/>
  <c r="H38" i="1" s="1"/>
  <c r="O38" i="1" s="1"/>
  <c r="K37" i="1"/>
  <c r="L37" i="1" s="1"/>
  <c r="G37" i="1"/>
  <c r="H37" i="1" s="1"/>
  <c r="O37" i="1" s="1"/>
  <c r="K36" i="1"/>
  <c r="L36" i="1" s="1"/>
  <c r="G36" i="1"/>
  <c r="H36" i="1" s="1"/>
  <c r="O36" i="1" s="1"/>
  <c r="K35" i="1"/>
  <c r="L35" i="1" s="1"/>
  <c r="G35" i="1"/>
  <c r="H35" i="1" s="1"/>
  <c r="O35" i="1" s="1"/>
  <c r="K34" i="1"/>
  <c r="L34" i="1" s="1"/>
  <c r="G34" i="1"/>
  <c r="H34" i="1" s="1"/>
  <c r="O34" i="1" s="1"/>
  <c r="K33" i="1"/>
  <c r="L33" i="1" s="1"/>
  <c r="G33" i="1"/>
  <c r="H33" i="1" s="1"/>
  <c r="O33" i="1" s="1"/>
  <c r="K32" i="1"/>
  <c r="L32" i="1" s="1"/>
  <c r="G32" i="1"/>
  <c r="H32" i="1" s="1"/>
  <c r="O32" i="1" s="1"/>
  <c r="K31" i="1"/>
  <c r="L31" i="1" s="1"/>
  <c r="G31" i="1"/>
  <c r="H31" i="1" s="1"/>
  <c r="K30" i="1"/>
  <c r="L30" i="1" s="1"/>
  <c r="G30" i="1"/>
  <c r="H30" i="1" s="1"/>
  <c r="O30" i="1" s="1"/>
  <c r="K29" i="1"/>
  <c r="J29" i="1"/>
  <c r="H29" i="1"/>
  <c r="G29" i="1"/>
  <c r="L28" i="1"/>
  <c r="H28" i="1"/>
  <c r="O28" i="1" s="1"/>
  <c r="J27" i="1"/>
  <c r="L27" i="1" s="1"/>
  <c r="H27" i="1"/>
  <c r="O27" i="1" s="1"/>
  <c r="L26" i="1"/>
  <c r="N26" i="1" s="1"/>
  <c r="O26" i="1" s="1"/>
  <c r="H26" i="1"/>
  <c r="L25" i="1"/>
  <c r="N25" i="1" s="1"/>
  <c r="O25" i="1" s="1"/>
  <c r="H25" i="1"/>
  <c r="L24" i="1"/>
  <c r="N24" i="1" s="1"/>
  <c r="H24" i="1"/>
  <c r="O24" i="1" s="1"/>
  <c r="J23" i="1"/>
  <c r="L23" i="1" s="1"/>
  <c r="H23" i="1"/>
  <c r="O1" i="1"/>
  <c r="N303" i="1" l="1"/>
  <c r="N299" i="1"/>
  <c r="N260" i="1"/>
  <c r="N230" i="1"/>
  <c r="N229" i="1"/>
  <c r="N228" i="1"/>
  <c r="N232" i="1"/>
  <c r="N177" i="1"/>
  <c r="N170" i="1"/>
  <c r="N164" i="1"/>
  <c r="N109" i="1"/>
  <c r="N56" i="1"/>
  <c r="O56" i="1" s="1"/>
  <c r="N234" i="1"/>
  <c r="N308" i="1"/>
  <c r="N324" i="1"/>
  <c r="O324" i="1" s="1"/>
  <c r="N106" i="1"/>
  <c r="O106" i="1" s="1"/>
  <c r="N123" i="1"/>
  <c r="K136" i="1"/>
  <c r="L136" i="1" s="1"/>
  <c r="N136" i="1" s="1"/>
  <c r="H257" i="1"/>
  <c r="N257" i="1" s="1"/>
  <c r="O257" i="1" s="1"/>
  <c r="N41" i="1"/>
  <c r="O41" i="1" s="1"/>
  <c r="N134" i="1"/>
  <c r="O134" i="1" s="1"/>
  <c r="N28" i="1"/>
  <c r="N34" i="1"/>
  <c r="N45" i="1"/>
  <c r="H56" i="1"/>
  <c r="N36" i="1"/>
  <c r="N166" i="1"/>
  <c r="N182" i="1"/>
  <c r="O182" i="1" s="1"/>
  <c r="G190" i="1"/>
  <c r="H190" i="1" s="1"/>
  <c r="N195" i="1"/>
  <c r="O195" i="1" s="1"/>
  <c r="N227" i="1"/>
  <c r="O227" i="1" s="1"/>
  <c r="N239" i="1"/>
  <c r="N246" i="1"/>
  <c r="H256" i="1"/>
  <c r="N298" i="1"/>
  <c r="H325" i="1"/>
  <c r="H44" i="1"/>
  <c r="N114" i="1"/>
  <c r="N167" i="1"/>
  <c r="N172" i="1"/>
  <c r="N183" i="1"/>
  <c r="N196" i="1"/>
  <c r="N240" i="1"/>
  <c r="N292" i="1"/>
  <c r="N300" i="1"/>
  <c r="N38" i="1"/>
  <c r="H55" i="1"/>
  <c r="N55" i="1" s="1"/>
  <c r="O55" i="1" s="1"/>
  <c r="N102" i="1"/>
  <c r="O102" i="1" s="1"/>
  <c r="N176" i="1"/>
  <c r="N23" i="1"/>
  <c r="O23" i="1" s="1"/>
  <c r="K44" i="1"/>
  <c r="L44" i="1" s="1"/>
  <c r="N44" i="1" s="1"/>
  <c r="O44" i="1" s="1"/>
  <c r="L53" i="1"/>
  <c r="N53" i="1" s="1"/>
  <c r="O53" i="1" s="1"/>
  <c r="H58" i="1"/>
  <c r="O58" i="1" s="1"/>
  <c r="O105" i="1"/>
  <c r="N112" i="1"/>
  <c r="J151" i="1"/>
  <c r="K125" i="1" s="1"/>
  <c r="N165" i="1"/>
  <c r="N171" i="1"/>
  <c r="H186" i="1"/>
  <c r="N241" i="1"/>
  <c r="L256" i="1"/>
  <c r="N291" i="1"/>
  <c r="O291" i="1" s="1"/>
  <c r="N33" i="1"/>
  <c r="N30" i="1"/>
  <c r="N35" i="1"/>
  <c r="N32" i="1"/>
  <c r="L120" i="1"/>
  <c r="N120" i="1" s="1"/>
  <c r="K126" i="1"/>
  <c r="L125" i="1"/>
  <c r="L233" i="1"/>
  <c r="N233" i="1" s="1"/>
  <c r="O233" i="1" s="1"/>
  <c r="K47" i="1"/>
  <c r="K313" i="1"/>
  <c r="J215" i="1"/>
  <c r="J279" i="1"/>
  <c r="O113" i="1"/>
  <c r="N113" i="1"/>
  <c r="N245" i="1"/>
  <c r="O245" i="1" s="1"/>
  <c r="O111" i="1"/>
  <c r="N111" i="1"/>
  <c r="O31" i="1"/>
  <c r="N31" i="1"/>
  <c r="N40" i="1"/>
  <c r="O40" i="1" s="1"/>
  <c r="N42" i="1"/>
  <c r="O42" i="1"/>
  <c r="O121" i="1"/>
  <c r="N121" i="1"/>
  <c r="L126" i="1"/>
  <c r="K129" i="1"/>
  <c r="L129" i="1" s="1"/>
  <c r="K128" i="1"/>
  <c r="L128" i="1" s="1"/>
  <c r="N37" i="1"/>
  <c r="N125" i="1"/>
  <c r="O199" i="1"/>
  <c r="O263" i="1"/>
  <c r="N27" i="1"/>
  <c r="H39" i="1"/>
  <c r="N57" i="1"/>
  <c r="L316" i="1"/>
  <c r="K317" i="1"/>
  <c r="N237" i="1"/>
  <c r="L29" i="1"/>
  <c r="N29" i="1" s="1"/>
  <c r="O29" i="1" s="1"/>
  <c r="O57" i="1"/>
  <c r="H116" i="1"/>
  <c r="N130" i="1"/>
  <c r="O130" i="1" s="1"/>
  <c r="N198" i="1"/>
  <c r="N256" i="1"/>
  <c r="O256" i="1" s="1"/>
  <c r="O297" i="1"/>
  <c r="H179" i="1"/>
  <c r="K190" i="1"/>
  <c r="L190" i="1" s="1"/>
  <c r="N190" i="1" s="1"/>
  <c r="O190" i="1" s="1"/>
  <c r="L189" i="1"/>
  <c r="N189" i="1" s="1"/>
  <c r="O189" i="1" s="1"/>
  <c r="L43" i="1"/>
  <c r="N43" i="1" s="1"/>
  <c r="N58" i="1"/>
  <c r="N132" i="1"/>
  <c r="O132" i="1" s="1"/>
  <c r="N173" i="1"/>
  <c r="H192" i="1"/>
  <c r="K192" i="1"/>
  <c r="L192" i="1" s="1"/>
  <c r="N242" i="1"/>
  <c r="N249" i="1"/>
  <c r="N101" i="1"/>
  <c r="N108" i="1"/>
  <c r="N110" i="1"/>
  <c r="L116" i="1"/>
  <c r="O118" i="1"/>
  <c r="N175" i="1"/>
  <c r="K193" i="1"/>
  <c r="L193" i="1" s="1"/>
  <c r="N193" i="1" s="1"/>
  <c r="O193" i="1" s="1"/>
  <c r="H243" i="1"/>
  <c r="N236" i="1"/>
  <c r="H48" i="1"/>
  <c r="G51" i="1"/>
  <c r="H51" i="1" s="1"/>
  <c r="O52" i="1"/>
  <c r="H54" i="1"/>
  <c r="N100" i="1"/>
  <c r="O100" i="1" s="1"/>
  <c r="O131" i="1"/>
  <c r="K133" i="1"/>
  <c r="L133" i="1" s="1"/>
  <c r="H133" i="1"/>
  <c r="H125" i="1"/>
  <c r="G126" i="1"/>
  <c r="N163" i="1"/>
  <c r="O163" i="1" s="1"/>
  <c r="N174" i="1"/>
  <c r="N180" i="1"/>
  <c r="O180" i="1" s="1"/>
  <c r="O183" i="1"/>
  <c r="L184" i="1"/>
  <c r="N184" i="1" s="1"/>
  <c r="N197" i="1"/>
  <c r="N199" i="1"/>
  <c r="H250" i="1"/>
  <c r="L253" i="1"/>
  <c r="N253" i="1" s="1"/>
  <c r="O253" i="1" s="1"/>
  <c r="K254" i="1"/>
  <c r="L254" i="1" s="1"/>
  <c r="N254" i="1" s="1"/>
  <c r="N294" i="1"/>
  <c r="L307" i="1"/>
  <c r="K264" i="1"/>
  <c r="L264" i="1" s="1"/>
  <c r="H264" i="1"/>
  <c r="N305" i="1"/>
  <c r="H307" i="1"/>
  <c r="N326" i="1"/>
  <c r="K323" i="1"/>
  <c r="L323" i="1" s="1"/>
  <c r="H323" i="1"/>
  <c r="L244" i="1"/>
  <c r="N244" i="1" s="1"/>
  <c r="O244" i="1" s="1"/>
  <c r="O247" i="1"/>
  <c r="O254" i="1"/>
  <c r="N263" i="1"/>
  <c r="N325" i="1"/>
  <c r="O325" i="1" s="1"/>
  <c r="H327" i="1"/>
  <c r="L117" i="1"/>
  <c r="N117" i="1" s="1"/>
  <c r="O117" i="1" s="1"/>
  <c r="O136" i="1"/>
  <c r="L169" i="1"/>
  <c r="N169" i="1" s="1"/>
  <c r="O169" i="1" s="1"/>
  <c r="O194" i="1"/>
  <c r="L243" i="1"/>
  <c r="O246" i="1"/>
  <c r="L259" i="1"/>
  <c r="N259" i="1" s="1"/>
  <c r="O259" i="1" s="1"/>
  <c r="N293" i="1"/>
  <c r="N296" i="1"/>
  <c r="N301" i="1"/>
  <c r="N304" i="1"/>
  <c r="N306" i="1"/>
  <c r="O308" i="1"/>
  <c r="L313" i="1"/>
  <c r="G317" i="1"/>
  <c r="H316" i="1"/>
  <c r="O321" i="1"/>
  <c r="N321" i="1"/>
  <c r="L322" i="1"/>
  <c r="N322" i="1" s="1"/>
  <c r="O322" i="1" s="1"/>
  <c r="O326" i="1"/>
  <c r="O310" i="1"/>
  <c r="K122" i="1"/>
  <c r="L122" i="1" s="1"/>
  <c r="N122" i="1" s="1"/>
  <c r="O122" i="1" s="1"/>
  <c r="K186" i="1"/>
  <c r="L186" i="1" s="1"/>
  <c r="K250" i="1"/>
  <c r="L250" i="1" s="1"/>
  <c r="N251" i="1"/>
  <c r="H313" i="1"/>
  <c r="N250" i="1" l="1"/>
  <c r="O250" i="1" s="1"/>
  <c r="N186" i="1"/>
  <c r="O186" i="1" s="1"/>
  <c r="N264" i="1"/>
  <c r="O264" i="1" s="1"/>
  <c r="K48" i="1"/>
  <c r="L47" i="1"/>
  <c r="N47" i="1" s="1"/>
  <c r="O47" i="1" s="1"/>
  <c r="L39" i="1"/>
  <c r="L46" i="1" s="1"/>
  <c r="H188" i="1"/>
  <c r="H46" i="1"/>
  <c r="N128" i="1"/>
  <c r="N243" i="1"/>
  <c r="O243" i="1" s="1"/>
  <c r="L252" i="1"/>
  <c r="N307" i="1"/>
  <c r="O307" i="1" s="1"/>
  <c r="L315" i="1"/>
  <c r="N133" i="1"/>
  <c r="O133" i="1" s="1"/>
  <c r="N316" i="1"/>
  <c r="O316" i="1" s="1"/>
  <c r="G320" i="1"/>
  <c r="H320" i="1" s="1"/>
  <c r="H317" i="1"/>
  <c r="G319" i="1"/>
  <c r="H319" i="1" s="1"/>
  <c r="N323" i="1"/>
  <c r="O323" i="1" s="1"/>
  <c r="O125" i="1"/>
  <c r="H252" i="1"/>
  <c r="N192" i="1"/>
  <c r="O192" i="1" s="1"/>
  <c r="L179" i="1"/>
  <c r="N54" i="1"/>
  <c r="O54" i="1" s="1"/>
  <c r="K319" i="1"/>
  <c r="L319" i="1" s="1"/>
  <c r="K320" i="1"/>
  <c r="L320" i="1" s="1"/>
  <c r="N320" i="1" s="1"/>
  <c r="L317" i="1"/>
  <c r="H315" i="1"/>
  <c r="G128" i="1"/>
  <c r="H128" i="1" s="1"/>
  <c r="G129" i="1"/>
  <c r="H129" i="1" s="1"/>
  <c r="H126" i="1"/>
  <c r="N313" i="1"/>
  <c r="O313" i="1" s="1"/>
  <c r="N327" i="1"/>
  <c r="O327" i="1" s="1"/>
  <c r="L124" i="1"/>
  <c r="N116" i="1"/>
  <c r="O116" i="1" s="1"/>
  <c r="H124" i="1"/>
  <c r="N39" i="1" l="1"/>
  <c r="O39" i="1" s="1"/>
  <c r="K50" i="1"/>
  <c r="L50" i="1" s="1"/>
  <c r="N50" i="1" s="1"/>
  <c r="O50" i="1" s="1"/>
  <c r="K51" i="1"/>
  <c r="L51" i="1" s="1"/>
  <c r="N51" i="1" s="1"/>
  <c r="O51" i="1" s="1"/>
  <c r="L48" i="1"/>
  <c r="N48" i="1" s="1"/>
  <c r="O48" i="1" s="1"/>
  <c r="L188" i="1"/>
  <c r="N179" i="1"/>
  <c r="O179" i="1" s="1"/>
  <c r="O317" i="1"/>
  <c r="H49" i="1"/>
  <c r="L127" i="1"/>
  <c r="N124" i="1"/>
  <c r="O124" i="1" s="1"/>
  <c r="H318" i="1"/>
  <c r="H329" i="1" s="1"/>
  <c r="N319" i="1"/>
  <c r="O319" i="1" s="1"/>
  <c r="H255" i="1"/>
  <c r="O320" i="1"/>
  <c r="L318" i="1"/>
  <c r="N315" i="1"/>
  <c r="O315" i="1" s="1"/>
  <c r="L255" i="1"/>
  <c r="N252" i="1"/>
  <c r="O252" i="1" s="1"/>
  <c r="H191" i="1"/>
  <c r="N126" i="1"/>
  <c r="O126" i="1" s="1"/>
  <c r="N129" i="1"/>
  <c r="O129" i="1" s="1"/>
  <c r="H127" i="1"/>
  <c r="H138" i="1"/>
  <c r="O128" i="1"/>
  <c r="N317" i="1"/>
  <c r="N46" i="1"/>
  <c r="O46" i="1" s="1"/>
  <c r="L49" i="1" l="1"/>
  <c r="N49" i="1"/>
  <c r="L66" i="1"/>
  <c r="L60" i="1"/>
  <c r="N318" i="1"/>
  <c r="O318" i="1" s="1"/>
  <c r="L335" i="1"/>
  <c r="O49" i="1"/>
  <c r="H66" i="1"/>
  <c r="H60" i="1"/>
  <c r="H330" i="1"/>
  <c r="H139" i="1"/>
  <c r="H140" i="1" s="1"/>
  <c r="L329" i="1"/>
  <c r="H144" i="1"/>
  <c r="N255" i="1"/>
  <c r="O255" i="1" s="1"/>
  <c r="L266" i="1"/>
  <c r="L272" i="1"/>
  <c r="H266" i="1"/>
  <c r="H272" i="1"/>
  <c r="H335" i="1"/>
  <c r="N127" i="1"/>
  <c r="O127" i="1" s="1"/>
  <c r="L144" i="1"/>
  <c r="L138" i="1"/>
  <c r="H208" i="1"/>
  <c r="H202" i="1"/>
  <c r="L191" i="1"/>
  <c r="N188" i="1"/>
  <c r="O188" i="1" s="1"/>
  <c r="N191" i="1" l="1"/>
  <c r="O191" i="1" s="1"/>
  <c r="L208" i="1"/>
  <c r="L202" i="1"/>
  <c r="L139" i="1"/>
  <c r="N139" i="1" s="1"/>
  <c r="O139" i="1" s="1"/>
  <c r="N138" i="1"/>
  <c r="O138" i="1" s="1"/>
  <c r="N272" i="1"/>
  <c r="O272" i="1" s="1"/>
  <c r="L273" i="1"/>
  <c r="L274" i="1" s="1"/>
  <c r="H145" i="1"/>
  <c r="H146" i="1" s="1"/>
  <c r="H61" i="1"/>
  <c r="H203" i="1"/>
  <c r="L145" i="1"/>
  <c r="N144" i="1"/>
  <c r="O144" i="1" s="1"/>
  <c r="H273" i="1"/>
  <c r="N266" i="1"/>
  <c r="O266" i="1" s="1"/>
  <c r="L267" i="1"/>
  <c r="L268" i="1" s="1"/>
  <c r="L330" i="1"/>
  <c r="N330" i="1" s="1"/>
  <c r="O330" i="1" s="1"/>
  <c r="N329" i="1"/>
  <c r="O329" i="1" s="1"/>
  <c r="H67" i="1"/>
  <c r="H68" i="1" s="1"/>
  <c r="N60" i="1"/>
  <c r="O60" i="1" s="1"/>
  <c r="L61" i="1"/>
  <c r="L62" i="1" s="1"/>
  <c r="H209" i="1"/>
  <c r="H267" i="1"/>
  <c r="H141" i="1"/>
  <c r="N66" i="1"/>
  <c r="O66" i="1" s="1"/>
  <c r="L67" i="1"/>
  <c r="H336" i="1"/>
  <c r="H337" i="1"/>
  <c r="H331" i="1"/>
  <c r="L336" i="1"/>
  <c r="N336" i="1" s="1"/>
  <c r="N335" i="1"/>
  <c r="O335" i="1" s="1"/>
  <c r="N145" i="1" l="1"/>
  <c r="N67" i="1"/>
  <c r="L68" i="1"/>
  <c r="L69" i="1" s="1"/>
  <c r="L146" i="1"/>
  <c r="L147" i="1" s="1"/>
  <c r="L331" i="1"/>
  <c r="N331" i="1" s="1"/>
  <c r="O331" i="1" s="1"/>
  <c r="L63" i="1"/>
  <c r="L64" i="1" s="1"/>
  <c r="H69" i="1"/>
  <c r="H70" i="1" s="1"/>
  <c r="N146" i="1"/>
  <c r="O146" i="1" s="1"/>
  <c r="H147" i="1"/>
  <c r="H148" i="1" s="1"/>
  <c r="L337" i="1"/>
  <c r="H338" i="1"/>
  <c r="N68" i="1"/>
  <c r="O68" i="1" s="1"/>
  <c r="L269" i="1"/>
  <c r="L270" i="1" s="1"/>
  <c r="O145" i="1"/>
  <c r="L276" i="1"/>
  <c r="N202" i="1"/>
  <c r="O202" i="1" s="1"/>
  <c r="L203" i="1"/>
  <c r="N203" i="1" s="1"/>
  <c r="O203" i="1" s="1"/>
  <c r="H332" i="1"/>
  <c r="H333" i="1" s="1"/>
  <c r="O336" i="1"/>
  <c r="H210" i="1"/>
  <c r="N267" i="1"/>
  <c r="O267" i="1" s="1"/>
  <c r="H274" i="1"/>
  <c r="H204" i="1"/>
  <c r="N208" i="1"/>
  <c r="O208" i="1" s="1"/>
  <c r="L209" i="1"/>
  <c r="N209" i="1" s="1"/>
  <c r="O209" i="1" s="1"/>
  <c r="H142" i="1"/>
  <c r="H268" i="1"/>
  <c r="N268" i="1" s="1"/>
  <c r="N61" i="1"/>
  <c r="O61" i="1" s="1"/>
  <c r="O67" i="1"/>
  <c r="H62" i="1"/>
  <c r="N62" i="1" s="1"/>
  <c r="N273" i="1"/>
  <c r="O273" i="1" s="1"/>
  <c r="L140" i="1"/>
  <c r="L210" i="1" l="1"/>
  <c r="N210" i="1" s="1"/>
  <c r="O210" i="1" s="1"/>
  <c r="N147" i="1"/>
  <c r="O147" i="1" s="1"/>
  <c r="L332" i="1"/>
  <c r="N332" i="1" s="1"/>
  <c r="O332" i="1" s="1"/>
  <c r="N69" i="1"/>
  <c r="L204" i="1"/>
  <c r="N204" i="1" s="1"/>
  <c r="O204" i="1" s="1"/>
  <c r="H205" i="1"/>
  <c r="H206" i="1" s="1"/>
  <c r="N140" i="1"/>
  <c r="O140" i="1" s="1"/>
  <c r="L141" i="1"/>
  <c r="N141" i="1" s="1"/>
  <c r="O141" i="1" s="1"/>
  <c r="H276" i="1"/>
  <c r="N276" i="1" s="1"/>
  <c r="N274" i="1"/>
  <c r="O274" i="1" s="1"/>
  <c r="H339" i="1"/>
  <c r="H269" i="1"/>
  <c r="H270" i="1" s="1"/>
  <c r="O268" i="1"/>
  <c r="L205" i="1"/>
  <c r="L148" i="1"/>
  <c r="N148" i="1" s="1"/>
  <c r="O148" i="1" s="1"/>
  <c r="H63" i="1"/>
  <c r="H64" i="1" s="1"/>
  <c r="O62" i="1"/>
  <c r="H212" i="1"/>
  <c r="L70" i="1"/>
  <c r="N70" i="1" s="1"/>
  <c r="O70" i="1" s="1"/>
  <c r="L338" i="1"/>
  <c r="N338" i="1" s="1"/>
  <c r="O338" i="1" s="1"/>
  <c r="N337" i="1"/>
  <c r="O337" i="1" s="1"/>
  <c r="O69" i="1"/>
  <c r="N63" i="1"/>
  <c r="L333" i="1" l="1"/>
  <c r="N333" i="1" s="1"/>
  <c r="O333" i="1" s="1"/>
  <c r="N269" i="1"/>
  <c r="O269" i="1" s="1"/>
  <c r="L212" i="1"/>
  <c r="N212" i="1" s="1"/>
  <c r="O212" i="1" s="1"/>
  <c r="N205" i="1"/>
  <c r="L206" i="1"/>
  <c r="N206" i="1" s="1"/>
  <c r="O206" i="1" s="1"/>
  <c r="O63" i="1"/>
  <c r="N270" i="1"/>
  <c r="O270" i="1" s="1"/>
  <c r="L142" i="1"/>
  <c r="N142" i="1" s="1"/>
  <c r="O142" i="1" s="1"/>
  <c r="L339" i="1"/>
  <c r="N339" i="1" s="1"/>
  <c r="O339" i="1" s="1"/>
  <c r="O276" i="1"/>
  <c r="N64" i="1"/>
  <c r="O64" i="1" s="1"/>
  <c r="O205" i="1"/>
</calcChain>
</file>

<file path=xl/comments1.xml><?xml version="1.0" encoding="utf-8"?>
<comments xmlns="http://schemas.openxmlformats.org/spreadsheetml/2006/main">
  <authors>
    <author>Marc Abramovitz</author>
    <author>Philip Wormwell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2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G135" authorId="1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Overrode formula to reflect Tier 1 750 kWh all seasons</t>
        </r>
      </text>
    </comment>
    <comment ref="B16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6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6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6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8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8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2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3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4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9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9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9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9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0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G326" authorId="1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Overrode formula to reflect Tier 1 750 kWh</t>
        </r>
      </text>
    </comment>
  </commentList>
</comments>
</file>

<file path=xl/sharedStrings.xml><?xml version="1.0" encoding="utf-8"?>
<sst xmlns="http://schemas.openxmlformats.org/spreadsheetml/2006/main" count="409" uniqueCount="88">
  <si>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</si>
  <si>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</si>
  <si>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</si>
  <si>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</si>
  <si>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</si>
  <si>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</si>
  <si>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</si>
  <si>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</si>
  <si>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</si>
  <si>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</si>
  <si>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</si>
  <si>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</si>
  <si>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</si>
  <si>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</si>
  <si>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</si>
  <si>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</si>
  <si>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</si>
  <si>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</si>
  <si>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</si>
  <si>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</si>
  <si>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</si>
  <si>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</si>
  <si>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</si>
  <si>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</si>
  <si>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</si>
  <si>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</si>
  <si>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</si>
  <si>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Smart Meter Disposition</t>
  </si>
  <si>
    <t>SMIRR Recovery</t>
  </si>
  <si>
    <t>Stranded Meter recovery</t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</si>
  <si>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</si>
  <si>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</si>
  <si>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</si>
  <si>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</si>
  <si>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</si>
  <si>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</si>
  <si>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DVA 1562 disposition</t>
  </si>
  <si>
    <t>Tax change rider</t>
  </si>
  <si>
    <t>DVA 1576 Disposition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</si>
  <si>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</si>
  <si>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</si>
  <si>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</si>
  <si>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</si>
  <si>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</si>
  <si>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</si>
  <si>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</si>
  <si>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</si>
  <si>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</si>
  <si>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</si>
  <si>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</si>
  <si>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</si>
  <si>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</si>
  <si>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</si>
  <si>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</si>
  <si>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</si>
  <si>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</si>
  <si>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</si>
  <si>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</si>
  <si>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</si>
  <si>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</si>
  <si>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</si>
  <si>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</si>
  <si>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</si>
  <si>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</si>
  <si>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</si>
  <si>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</si>
  <si>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</si>
  <si>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</si>
  <si>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</si>
  <si>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</si>
  <si>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</si>
  <si>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</si>
  <si>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</si>
  <si>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</si>
  <si>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Less than 50kW</t>
  </si>
  <si>
    <t>General Service 50 to 4,999 kW</t>
  </si>
  <si>
    <t>non-TOU</t>
  </si>
  <si>
    <t>kWh</t>
  </si>
  <si>
    <t>kW</t>
  </si>
  <si>
    <t>per kW</t>
  </si>
  <si>
    <t>DVA Rate Rider Non-RPP</t>
  </si>
  <si>
    <t>Energy - Non RPP</t>
  </si>
  <si>
    <t>Total Bill (before Taxes)</t>
  </si>
  <si>
    <t>Total Bill  (including OCEB)</t>
  </si>
  <si>
    <t>Total Bill</t>
  </si>
  <si>
    <t>Street Lighting</t>
  </si>
  <si>
    <t xml:space="preserve">Total Bill </t>
  </si>
  <si>
    <t>Unmetered Scattered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</si>
</sst>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-* #,##0.00_-;\-* #,##0.00_-;_-* &quot;-&quot;??_-;_-@_-"/>
    <numFmt numFmtId="166" formatCode="_-* #,##0_-;\-* #,##0_-;_-* &quot;-&quot;??_-;_-@_-"/>
    <numFmt numFmtId="167" formatCode="_-&quot;$&quot;* #,##0.00_-;\-&quot;$&quot;* #,##0.00_-;_-&quot;$&quot;* &quot;-&quot;??_-;_-@_-"/>
    <numFmt numFmtId="168" formatCode="_-&quot;$&quot;* #,##0.0000_-;\-&quot;$&quot;* #,##0.00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1" fillId="0" borderId="0"/>
  </cellStyleXfs>
  <cellXfs count="212">
    <xf numFmtId="0" fontId="0" fillId="0" borderId="0" xfId="0"/>
    <xf numFmtId="0" fontId="4" fillId="3" borderId="0" xfId="0" applyFont="1" applyFill="1" applyAlignment="1" applyProtection="1">
      <alignment vertical="top" wrapText="1"/>
    </xf>
    <xf numFmtId="0" fontId="0" fillId="3" borderId="0" xfId="0" applyFill="1" applyBorder="1" applyProtection="1"/>
    <xf numFmtId="0" fontId="5" fillId="0" borderId="0" xfId="0" applyFont="1"/>
    <xf numFmtId="0" fontId="6" fillId="0" borderId="0" xfId="0" applyFont="1" applyAlignment="1">
      <alignment horizontal="right" vertical="top"/>
    </xf>
    <xf numFmtId="0" fontId="2" fillId="2" borderId="1" xfId="4" applyNumberFormat="1" applyProtection="1"/>
    <xf numFmtId="0" fontId="7" fillId="3" borderId="0" xfId="0" applyFont="1" applyFill="1" applyBorder="1" applyAlignment="1" applyProtection="1"/>
    <xf numFmtId="0" fontId="8" fillId="4" borderId="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0" fillId="3" borderId="0" xfId="0" applyFill="1" applyBorder="1" applyAlignment="1" applyProtection="1">
      <alignment horizontal="left" indent="1"/>
    </xf>
    <xf numFmtId="0" fontId="9" fillId="3" borderId="0" xfId="0" applyFont="1" applyFill="1" applyBorder="1" applyAlignment="1" applyProtection="1"/>
    <xf numFmtId="0" fontId="6" fillId="4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6" fillId="4" borderId="0" xfId="0" applyNumberFormat="1" applyFont="1" applyFill="1" applyAlignment="1">
      <alignment horizontal="center" vertical="top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12" fillId="5" borderId="0" xfId="0" applyFont="1" applyFill="1" applyAlignment="1" applyProtection="1">
      <alignment horizontal="center"/>
    </xf>
    <xf numFmtId="0" fontId="11" fillId="0" borderId="0" xfId="0" applyFont="1" applyProtection="1"/>
    <xf numFmtId="0" fontId="5" fillId="0" borderId="0" xfId="0" applyFont="1" applyProtection="1"/>
    <xf numFmtId="166" fontId="5" fillId="4" borderId="3" xfId="1" applyNumberFormat="1" applyFont="1" applyFill="1" applyBorder="1" applyProtection="1">
      <protection locked="0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1" xfId="0" quotePrefix="1" applyFont="1" applyBorder="1" applyAlignment="1" applyProtection="1">
      <alignment horizontal="center"/>
    </xf>
    <xf numFmtId="0" fontId="5" fillId="0" borderId="12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5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8" fontId="0" fillId="4" borderId="10" xfId="2" applyNumberFormat="1" applyFont="1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center"/>
    </xf>
    <xf numFmtId="44" fontId="0" fillId="0" borderId="8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8" fontId="0" fillId="4" borderId="10" xfId="2" applyNumberFormat="1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</xf>
    <xf numFmtId="167" fontId="0" fillId="0" borderId="10" xfId="0" applyNumberFormat="1" applyBorder="1" applyAlignment="1" applyProtection="1">
      <alignment vertical="center"/>
    </xf>
    <xf numFmtId="10" fontId="0" fillId="0" borderId="8" xfId="3" applyNumberFormat="1" applyFont="1" applyBorder="1" applyAlignment="1" applyProtection="1">
      <alignment vertical="center"/>
    </xf>
    <xf numFmtId="0" fontId="11" fillId="4" borderId="0" xfId="0" applyFont="1" applyFill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5" fillId="6" borderId="4" xfId="0" applyFont="1" applyFill="1" applyBorder="1" applyAlignment="1" applyProtection="1">
      <alignment vertical="top"/>
      <protection locked="0"/>
    </xf>
    <xf numFmtId="0" fontId="0" fillId="6" borderId="5" xfId="0" applyFill="1" applyBorder="1" applyAlignment="1" applyProtection="1">
      <alignment vertical="top"/>
    </xf>
    <xf numFmtId="0" fontId="0" fillId="6" borderId="5" xfId="0" applyFill="1" applyBorder="1" applyAlignment="1" applyProtection="1">
      <alignment vertical="top"/>
      <protection locked="0"/>
    </xf>
    <xf numFmtId="168" fontId="0" fillId="6" borderId="3" xfId="2" applyNumberFormat="1" applyFont="1" applyFill="1" applyBorder="1" applyAlignment="1" applyProtection="1">
      <alignment vertical="top"/>
      <protection locked="0"/>
    </xf>
    <xf numFmtId="0" fontId="0" fillId="6" borderId="3" xfId="0" applyFill="1" applyBorder="1" applyAlignment="1" applyProtection="1">
      <alignment vertical="center"/>
      <protection locked="0"/>
    </xf>
    <xf numFmtId="44" fontId="0" fillId="6" borderId="6" xfId="2" applyFont="1" applyFill="1" applyBorder="1" applyAlignment="1" applyProtection="1">
      <alignment vertical="center"/>
    </xf>
    <xf numFmtId="0" fontId="0" fillId="6" borderId="0" xfId="0" applyFill="1" applyAlignment="1" applyProtection="1">
      <alignment vertical="center"/>
    </xf>
    <xf numFmtId="168" fontId="0" fillId="6" borderId="3" xfId="2" applyNumberFormat="1" applyFont="1" applyFill="1" applyBorder="1" applyAlignment="1" applyProtection="1">
      <alignment vertical="center"/>
      <protection locked="0"/>
    </xf>
    <xf numFmtId="0" fontId="0" fillId="6" borderId="6" xfId="0" applyFill="1" applyBorder="1" applyAlignment="1" applyProtection="1">
      <alignment vertical="center"/>
      <protection locked="0"/>
    </xf>
    <xf numFmtId="167" fontId="5" fillId="6" borderId="3" xfId="0" applyNumberFormat="1" applyFont="1" applyFill="1" applyBorder="1" applyAlignment="1" applyProtection="1">
      <alignment vertical="center"/>
    </xf>
    <xf numFmtId="10" fontId="5" fillId="6" borderId="6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11" fillId="4" borderId="0" xfId="0" applyFont="1" applyFill="1" applyAlignment="1" applyProtection="1">
      <alignment vertical="top" wrapText="1"/>
    </xf>
    <xf numFmtId="0" fontId="0" fillId="0" borderId="13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168" fontId="11" fillId="4" borderId="10" xfId="2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</xf>
    <xf numFmtId="168" fontId="0" fillId="7" borderId="10" xfId="2" applyNumberFormat="1" applyFont="1" applyFill="1" applyBorder="1" applyAlignment="1" applyProtection="1">
      <alignment vertical="top"/>
      <protection locked="0"/>
    </xf>
    <xf numFmtId="0" fontId="0" fillId="8" borderId="10" xfId="0" applyFill="1" applyBorder="1" applyAlignment="1" applyProtection="1">
      <alignment vertical="center"/>
    </xf>
    <xf numFmtId="168" fontId="0" fillId="7" borderId="10" xfId="2" applyNumberFormat="1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vertical="top" wrapText="1"/>
    </xf>
    <xf numFmtId="0" fontId="0" fillId="6" borderId="5" xfId="0" applyFill="1" applyBorder="1" applyProtection="1"/>
    <xf numFmtId="0" fontId="0" fillId="6" borderId="3" xfId="0" applyFill="1" applyBorder="1" applyProtection="1"/>
    <xf numFmtId="0" fontId="0" fillId="6" borderId="3" xfId="0" applyFill="1" applyBorder="1" applyAlignment="1" applyProtection="1">
      <alignment vertical="center"/>
    </xf>
    <xf numFmtId="167" fontId="5" fillId="6" borderId="6" xfId="0" applyNumberFormat="1" applyFont="1" applyFill="1" applyBorder="1" applyAlignment="1" applyProtection="1">
      <alignment vertical="center"/>
    </xf>
    <xf numFmtId="0" fontId="0" fillId="6" borderId="6" xfId="0" applyFill="1" applyBorder="1" applyAlignment="1" applyProtection="1">
      <alignment vertical="center"/>
    </xf>
    <xf numFmtId="0" fontId="0" fillId="5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8" borderId="10" xfId="0" applyNumberFormat="1" applyFill="1" applyBorder="1" applyAlignment="1" applyProtection="1">
      <alignment vertical="center"/>
    </xf>
    <xf numFmtId="1" fontId="0" fillId="8" borderId="8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6" borderId="3" xfId="0" applyFill="1" applyBorder="1" applyAlignment="1" applyProtection="1">
      <alignment vertical="top"/>
    </xf>
    <xf numFmtId="0" fontId="5" fillId="6" borderId="0" xfId="0" applyFont="1" applyFill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5" fillId="6" borderId="6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8" fontId="1" fillId="4" borderId="10" xfId="2" applyNumberFormat="1" applyFill="1" applyBorder="1" applyAlignment="1" applyProtection="1">
      <alignment vertical="top"/>
      <protection locked="0"/>
    </xf>
    <xf numFmtId="44" fontId="1" fillId="0" borderId="8" xfId="2" applyBorder="1" applyAlignment="1" applyProtection="1">
      <alignment vertical="center"/>
    </xf>
    <xf numFmtId="168" fontId="1" fillId="4" borderId="10" xfId="2" applyNumberFormat="1" applyFill="1" applyBorder="1" applyAlignment="1" applyProtection="1">
      <alignment vertical="center"/>
      <protection locked="0"/>
    </xf>
    <xf numFmtId="10" fontId="1" fillId="0" borderId="8" xfId="3" applyNumberFormat="1" applyBorder="1" applyAlignment="1" applyProtection="1">
      <alignment vertical="center"/>
    </xf>
    <xf numFmtId="1" fontId="0" fillId="0" borderId="10" xfId="0" applyNumberFormat="1" applyFill="1" applyBorder="1" applyAlignment="1" applyProtection="1">
      <alignment vertical="center"/>
    </xf>
    <xf numFmtId="1" fontId="0" fillId="0" borderId="8" xfId="0" applyNumberFormat="1" applyFill="1" applyBorder="1" applyAlignment="1" applyProtection="1">
      <alignment vertical="center"/>
    </xf>
    <xf numFmtId="168" fontId="1" fillId="0" borderId="10" xfId="2" applyNumberFormat="1" applyFill="1" applyBorder="1" applyAlignment="1" applyProtection="1">
      <alignment vertical="top"/>
      <protection locked="0"/>
    </xf>
    <xf numFmtId="1" fontId="11" fillId="7" borderId="10" xfId="0" applyNumberFormat="1" applyFont="1" applyFill="1" applyBorder="1" applyAlignment="1" applyProtection="1">
      <alignment vertical="center"/>
    </xf>
    <xf numFmtId="167" fontId="0" fillId="0" borderId="0" xfId="0" applyNumberFormat="1" applyProtection="1"/>
    <xf numFmtId="0" fontId="11" fillId="0" borderId="0" xfId="5" applyFont="1" applyAlignment="1" applyProtection="1">
      <alignment vertical="top"/>
    </xf>
    <xf numFmtId="0" fontId="11" fillId="0" borderId="0" xfId="5" applyAlignment="1" applyProtection="1">
      <alignment vertical="top"/>
    </xf>
    <xf numFmtId="0" fontId="11" fillId="5" borderId="0" xfId="5" applyFill="1" applyAlignment="1" applyProtection="1">
      <alignment vertical="top"/>
      <protection locked="0"/>
    </xf>
    <xf numFmtId="0" fontId="11" fillId="0" borderId="0" xfId="5" applyFill="1" applyAlignment="1" applyProtection="1">
      <alignment vertical="top"/>
    </xf>
    <xf numFmtId="1" fontId="11" fillId="7" borderId="10" xfId="5" applyNumberFormat="1" applyFill="1" applyBorder="1" applyAlignment="1" applyProtection="1">
      <alignment vertical="center"/>
    </xf>
    <xf numFmtId="0" fontId="11" fillId="0" borderId="0" xfId="5" applyAlignment="1" applyProtection="1">
      <alignment vertical="center"/>
    </xf>
    <xf numFmtId="167" fontId="11" fillId="0" borderId="10" xfId="5" applyNumberFormat="1" applyBorder="1" applyAlignment="1" applyProtection="1">
      <alignment vertical="center"/>
    </xf>
    <xf numFmtId="0" fontId="11" fillId="0" borderId="0" xfId="5" applyProtection="1"/>
    <xf numFmtId="0" fontId="11" fillId="9" borderId="14" xfId="0" applyFont="1" applyFill="1" applyBorder="1" applyProtection="1"/>
    <xf numFmtId="0" fontId="0" fillId="9" borderId="15" xfId="0" applyFill="1" applyBorder="1" applyAlignment="1" applyProtection="1">
      <alignment vertical="top"/>
    </xf>
    <xf numFmtId="0" fontId="0" fillId="9" borderId="15" xfId="0" applyFill="1" applyBorder="1" applyAlignment="1" applyProtection="1">
      <alignment vertical="top"/>
      <protection locked="0"/>
    </xf>
    <xf numFmtId="168" fontId="1" fillId="9" borderId="16" xfId="2" applyNumberFormat="1" applyFill="1" applyBorder="1" applyAlignment="1" applyProtection="1">
      <alignment vertical="top"/>
      <protection locked="0"/>
    </xf>
    <xf numFmtId="0" fontId="0" fillId="9" borderId="17" xfId="0" applyFill="1" applyBorder="1" applyAlignment="1" applyProtection="1">
      <alignment vertical="center"/>
      <protection locked="0"/>
    </xf>
    <xf numFmtId="44" fontId="1" fillId="9" borderId="15" xfId="2" applyFill="1" applyBorder="1" applyAlignment="1" applyProtection="1">
      <alignment vertical="center"/>
    </xf>
    <xf numFmtId="0" fontId="0" fillId="9" borderId="15" xfId="0" applyFill="1" applyBorder="1" applyAlignment="1" applyProtection="1">
      <alignment vertical="center"/>
    </xf>
    <xf numFmtId="0" fontId="0" fillId="9" borderId="16" xfId="0" applyFill="1" applyBorder="1" applyAlignment="1" applyProtection="1">
      <alignment vertical="center"/>
      <protection locked="0"/>
    </xf>
    <xf numFmtId="167" fontId="0" fillId="9" borderId="16" xfId="0" applyNumberFormat="1" applyFill="1" applyBorder="1" applyAlignment="1" applyProtection="1">
      <alignment vertical="center"/>
    </xf>
    <xf numFmtId="10" fontId="1" fillId="9" borderId="18" xfId="3" applyNumberForma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top"/>
    </xf>
    <xf numFmtId="9" fontId="0" fillId="0" borderId="10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7" fontId="5" fillId="0" borderId="13" xfId="0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9" fontId="5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7" fontId="5" fillId="0" borderId="10" xfId="0" applyNumberFormat="1" applyFont="1" applyFill="1" applyBorder="1" applyAlignment="1" applyProtection="1">
      <alignment vertical="center"/>
    </xf>
    <xf numFmtId="10" fontId="5" fillId="0" borderId="8" xfId="3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indent="1"/>
    </xf>
    <xf numFmtId="9" fontId="0" fillId="0" borderId="10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7" fontId="11" fillId="0" borderId="13" xfId="0" applyNumberFormat="1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9" fontId="11" fillId="0" borderId="10" xfId="0" applyNumberFormat="1" applyFont="1" applyFill="1" applyBorder="1" applyAlignment="1" applyProtection="1">
      <alignment vertical="center"/>
      <protection locked="0"/>
    </xf>
    <xf numFmtId="167" fontId="11" fillId="0" borderId="8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7" fontId="11" fillId="0" borderId="10" xfId="0" applyNumberFormat="1" applyFont="1" applyFill="1" applyBorder="1" applyAlignment="1" applyProtection="1">
      <alignment vertical="center"/>
    </xf>
    <xf numFmtId="10" fontId="11" fillId="0" borderId="8" xfId="3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top" wrapText="1" indent="1"/>
    </xf>
    <xf numFmtId="0" fontId="0" fillId="0" borderId="10" xfId="0" applyFill="1" applyBorder="1" applyAlignment="1" applyProtection="1">
      <alignment vertical="top"/>
    </xf>
    <xf numFmtId="167" fontId="15" fillId="0" borderId="13" xfId="0" applyNumberFormat="1" applyFont="1" applyFill="1" applyBorder="1" applyAlignment="1" applyProtection="1">
      <alignment vertical="center"/>
    </xf>
    <xf numFmtId="167" fontId="15" fillId="0" borderId="8" xfId="0" applyNumberFormat="1" applyFont="1" applyFill="1" applyBorder="1" applyAlignment="1" applyProtection="1">
      <alignment vertical="center"/>
    </xf>
    <xf numFmtId="167" fontId="15" fillId="0" borderId="10" xfId="0" applyNumberFormat="1" applyFont="1" applyFill="1" applyBorder="1" applyAlignment="1" applyProtection="1">
      <alignment vertical="center"/>
    </xf>
    <xf numFmtId="10" fontId="15" fillId="0" borderId="8" xfId="3" applyNumberFormat="1" applyFont="1" applyFill="1" applyBorder="1" applyAlignment="1" applyProtection="1">
      <alignment vertical="center"/>
    </xf>
    <xf numFmtId="0" fontId="0" fillId="10" borderId="0" xfId="0" applyFill="1" applyAlignment="1" applyProtection="1">
      <alignment vertical="top"/>
    </xf>
    <xf numFmtId="0" fontId="0" fillId="10" borderId="11" xfId="0" applyFill="1" applyBorder="1" applyAlignment="1" applyProtection="1">
      <alignment vertical="top"/>
    </xf>
    <xf numFmtId="0" fontId="0" fillId="10" borderId="19" xfId="0" applyFill="1" applyBorder="1" applyAlignment="1" applyProtection="1">
      <alignment vertical="center"/>
    </xf>
    <xf numFmtId="167" fontId="5" fillId="10" borderId="20" xfId="0" applyNumberFormat="1" applyFont="1" applyFill="1" applyBorder="1" applyAlignment="1" applyProtection="1">
      <alignment vertical="center"/>
    </xf>
    <xf numFmtId="0" fontId="5" fillId="10" borderId="11" xfId="0" applyFont="1" applyFill="1" applyBorder="1" applyAlignment="1" applyProtection="1">
      <alignment vertical="center"/>
    </xf>
    <xf numFmtId="167" fontId="5" fillId="10" borderId="12" xfId="0" applyNumberFormat="1" applyFont="1" applyFill="1" applyBorder="1" applyAlignment="1" applyProtection="1">
      <alignment vertical="center"/>
    </xf>
    <xf numFmtId="0" fontId="5" fillId="10" borderId="19" xfId="0" applyFont="1" applyFill="1" applyBorder="1" applyAlignment="1" applyProtection="1">
      <alignment vertical="center"/>
    </xf>
    <xf numFmtId="167" fontId="5" fillId="10" borderId="11" xfId="0" applyNumberFormat="1" applyFont="1" applyFill="1" applyBorder="1" applyAlignment="1" applyProtection="1">
      <alignment vertical="center"/>
    </xf>
    <xf numFmtId="10" fontId="5" fillId="10" borderId="12" xfId="3" applyNumberFormat="1" applyFont="1" applyFill="1" applyBorder="1" applyAlignment="1" applyProtection="1">
      <alignment vertical="center"/>
    </xf>
    <xf numFmtId="0" fontId="11" fillId="9" borderId="14" xfId="5" applyFont="1" applyFill="1" applyBorder="1" applyProtection="1"/>
    <xf numFmtId="0" fontId="11" fillId="9" borderId="15" xfId="5" applyFill="1" applyBorder="1" applyAlignment="1" applyProtection="1">
      <alignment vertical="top"/>
    </xf>
    <xf numFmtId="0" fontId="11" fillId="9" borderId="15" xfId="5" applyFill="1" applyBorder="1" applyAlignment="1" applyProtection="1">
      <alignment vertical="top"/>
      <protection locked="0"/>
    </xf>
    <xf numFmtId="0" fontId="11" fillId="9" borderId="17" xfId="5" applyFill="1" applyBorder="1" applyAlignment="1" applyProtection="1">
      <alignment vertical="center"/>
      <protection locked="0"/>
    </xf>
    <xf numFmtId="0" fontId="11" fillId="9" borderId="15" xfId="5" applyFill="1" applyBorder="1" applyAlignment="1" applyProtection="1">
      <alignment vertical="center"/>
    </xf>
    <xf numFmtId="0" fontId="11" fillId="9" borderId="16" xfId="5" applyFill="1" applyBorder="1" applyAlignment="1" applyProtection="1">
      <alignment vertical="center"/>
      <protection locked="0"/>
    </xf>
    <xf numFmtId="167" fontId="11" fillId="9" borderId="16" xfId="5" applyNumberFormat="1" applyFill="1" applyBorder="1" applyAlignment="1" applyProtection="1">
      <alignment vertical="center"/>
    </xf>
    <xf numFmtId="0" fontId="5" fillId="0" borderId="0" xfId="5" applyFont="1" applyFill="1" applyAlignment="1" applyProtection="1">
      <alignment vertical="top"/>
    </xf>
    <xf numFmtId="9" fontId="11" fillId="0" borderId="10" xfId="5" applyNumberFormat="1" applyFill="1" applyBorder="1" applyAlignment="1" applyProtection="1">
      <alignment vertical="top"/>
    </xf>
    <xf numFmtId="9" fontId="11" fillId="0" borderId="0" xfId="5" applyNumberFormat="1" applyFill="1" applyBorder="1" applyAlignment="1" applyProtection="1">
      <alignment vertical="center"/>
    </xf>
    <xf numFmtId="167" fontId="5" fillId="0" borderId="13" xfId="5" applyNumberFormat="1" applyFont="1" applyFill="1" applyBorder="1" applyAlignment="1" applyProtection="1">
      <alignment vertical="center"/>
    </xf>
    <xf numFmtId="0" fontId="5" fillId="0" borderId="10" xfId="5" applyFont="1" applyFill="1" applyBorder="1" applyAlignment="1" applyProtection="1">
      <alignment vertical="center"/>
    </xf>
    <xf numFmtId="9" fontId="5" fillId="0" borderId="10" xfId="5" applyNumberFormat="1" applyFont="1" applyFill="1" applyBorder="1" applyAlignment="1" applyProtection="1">
      <alignment vertical="center"/>
    </xf>
    <xf numFmtId="0" fontId="5" fillId="0" borderId="0" xfId="5" applyFont="1" applyFill="1" applyBorder="1" applyAlignment="1" applyProtection="1">
      <alignment vertical="center"/>
    </xf>
    <xf numFmtId="167" fontId="5" fillId="0" borderId="10" xfId="5" applyNumberFormat="1" applyFont="1" applyFill="1" applyBorder="1" applyAlignment="1" applyProtection="1">
      <alignment vertical="center"/>
    </xf>
    <xf numFmtId="0" fontId="11" fillId="0" borderId="0" xfId="5" applyFont="1" applyFill="1" applyAlignment="1" applyProtection="1">
      <alignment horizontal="left" vertical="top" indent="1"/>
    </xf>
    <xf numFmtId="9" fontId="11" fillId="0" borderId="10" xfId="5" applyNumberFormat="1" applyFill="1" applyBorder="1" applyAlignment="1" applyProtection="1">
      <alignment vertical="top"/>
      <protection locked="0"/>
    </xf>
    <xf numFmtId="167" fontId="11" fillId="0" borderId="13" xfId="5" applyNumberFormat="1" applyFont="1" applyFill="1" applyBorder="1" applyAlignment="1" applyProtection="1">
      <alignment vertical="center"/>
    </xf>
    <xf numFmtId="0" fontId="11" fillId="0" borderId="10" xfId="5" applyFont="1" applyFill="1" applyBorder="1" applyAlignment="1" applyProtection="1">
      <alignment vertical="center"/>
    </xf>
    <xf numFmtId="9" fontId="11" fillId="0" borderId="10" xfId="5" applyNumberFormat="1" applyFont="1" applyFill="1" applyBorder="1" applyAlignment="1" applyProtection="1">
      <alignment vertical="top"/>
      <protection locked="0"/>
    </xf>
    <xf numFmtId="9" fontId="11" fillId="0" borderId="10" xfId="5" applyNumberFormat="1" applyFont="1" applyFill="1" applyBorder="1" applyAlignment="1" applyProtection="1">
      <alignment vertical="center"/>
    </xf>
    <xf numFmtId="167" fontId="11" fillId="0" borderId="8" xfId="5" applyNumberFormat="1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1" fillId="0" borderId="10" xfId="5" applyNumberFormat="1" applyFont="1" applyFill="1" applyBorder="1" applyAlignment="1" applyProtection="1">
      <alignment vertical="center"/>
    </xf>
    <xf numFmtId="0" fontId="5" fillId="0" borderId="0" xfId="5" applyFont="1" applyAlignment="1" applyProtection="1">
      <alignment horizontal="left" vertical="top" wrapText="1" indent="1"/>
    </xf>
    <xf numFmtId="0" fontId="11" fillId="0" borderId="10" xfId="5" applyFill="1" applyBorder="1" applyAlignment="1" applyProtection="1">
      <alignment vertical="top"/>
    </xf>
    <xf numFmtId="0" fontId="11" fillId="0" borderId="0" xfId="5" applyFill="1" applyBorder="1" applyAlignment="1" applyProtection="1">
      <alignment vertical="center"/>
    </xf>
    <xf numFmtId="167" fontId="15" fillId="0" borderId="13" xfId="5" applyNumberFormat="1" applyFont="1" applyFill="1" applyBorder="1" applyAlignment="1" applyProtection="1">
      <alignment vertical="center"/>
    </xf>
    <xf numFmtId="167" fontId="15" fillId="0" borderId="8" xfId="5" applyNumberFormat="1" applyFont="1" applyFill="1" applyBorder="1" applyAlignment="1" applyProtection="1">
      <alignment vertical="center"/>
    </xf>
    <xf numFmtId="167" fontId="15" fillId="0" borderId="10" xfId="5" applyNumberFormat="1" applyFont="1" applyFill="1" applyBorder="1" applyAlignment="1" applyProtection="1">
      <alignment vertical="center"/>
    </xf>
    <xf numFmtId="0" fontId="11" fillId="10" borderId="0" xfId="5" applyFill="1" applyAlignment="1" applyProtection="1">
      <alignment vertical="top"/>
    </xf>
    <xf numFmtId="0" fontId="11" fillId="10" borderId="10" xfId="5" applyFill="1" applyBorder="1" applyAlignment="1" applyProtection="1">
      <alignment vertical="top"/>
    </xf>
    <xf numFmtId="0" fontId="11" fillId="10" borderId="0" xfId="5" applyFill="1" applyBorder="1" applyAlignment="1" applyProtection="1">
      <alignment vertical="center"/>
    </xf>
    <xf numFmtId="167" fontId="5" fillId="10" borderId="13" xfId="5" applyNumberFormat="1" applyFont="1" applyFill="1" applyBorder="1" applyAlignment="1" applyProtection="1">
      <alignment vertical="center"/>
    </xf>
    <xf numFmtId="0" fontId="5" fillId="10" borderId="10" xfId="5" applyFont="1" applyFill="1" applyBorder="1" applyAlignment="1" applyProtection="1">
      <alignment vertical="center"/>
    </xf>
    <xf numFmtId="167" fontId="5" fillId="10" borderId="8" xfId="5" applyNumberFormat="1" applyFont="1" applyFill="1" applyBorder="1" applyAlignment="1" applyProtection="1">
      <alignment vertical="center"/>
    </xf>
    <xf numFmtId="0" fontId="5" fillId="10" borderId="0" xfId="5" applyFont="1" applyFill="1" applyBorder="1" applyAlignment="1" applyProtection="1">
      <alignment vertical="center"/>
    </xf>
    <xf numFmtId="167" fontId="5" fillId="10" borderId="10" xfId="5" applyNumberFormat="1" applyFont="1" applyFill="1" applyBorder="1" applyAlignment="1" applyProtection="1">
      <alignment vertical="center"/>
    </xf>
    <xf numFmtId="10" fontId="5" fillId="10" borderId="8" xfId="3" applyNumberFormat="1" applyFont="1" applyFill="1" applyBorder="1" applyAlignment="1" applyProtection="1">
      <alignment vertical="center"/>
    </xf>
    <xf numFmtId="168" fontId="1" fillId="9" borderId="17" xfId="2" applyNumberFormat="1" applyFill="1" applyBorder="1" applyAlignment="1" applyProtection="1">
      <alignment vertical="top"/>
      <protection locked="0"/>
    </xf>
    <xf numFmtId="0" fontId="11" fillId="9" borderId="15" xfId="5" applyFill="1" applyBorder="1" applyAlignment="1" applyProtection="1">
      <alignment vertical="center"/>
      <protection locked="0"/>
    </xf>
    <xf numFmtId="44" fontId="1" fillId="9" borderId="21" xfId="2" applyFill="1" applyBorder="1" applyAlignment="1" applyProtection="1">
      <alignment vertical="center"/>
    </xf>
    <xf numFmtId="0" fontId="11" fillId="9" borderId="17" xfId="5" applyFill="1" applyBorder="1" applyAlignment="1" applyProtection="1">
      <alignment vertical="center"/>
    </xf>
    <xf numFmtId="44" fontId="1" fillId="9" borderId="16" xfId="2" applyFill="1" applyBorder="1" applyAlignment="1" applyProtection="1">
      <alignment vertical="center"/>
    </xf>
    <xf numFmtId="167" fontId="11" fillId="9" borderId="17" xfId="5" applyNumberFormat="1" applyFill="1" applyBorder="1" applyAlignment="1" applyProtection="1">
      <alignment vertical="center"/>
    </xf>
    <xf numFmtId="10" fontId="1" fillId="4" borderId="3" xfId="3" applyNumberFormat="1" applyFill="1" applyBorder="1" applyProtection="1">
      <protection locked="0"/>
    </xf>
    <xf numFmtId="0" fontId="16" fillId="0" borderId="0" xfId="0" applyFont="1" applyProtection="1"/>
    <xf numFmtId="0" fontId="0" fillId="8" borderId="0" xfId="0" applyFill="1" applyProtection="1"/>
    <xf numFmtId="0" fontId="0" fillId="11" borderId="0" xfId="0" applyFill="1" applyProtection="1"/>
    <xf numFmtId="43" fontId="0" fillId="8" borderId="10" xfId="0" applyNumberFormat="1" applyFill="1" applyBorder="1" applyAlignment="1" applyProtection="1">
      <alignment vertical="center"/>
    </xf>
    <xf numFmtId="1" fontId="2" fillId="2" borderId="1" xfId="4" applyNumberFormat="1" applyAlignment="1" applyProtection="1">
      <alignment vertical="center"/>
    </xf>
    <xf numFmtId="166" fontId="0" fillId="0" borderId="10" xfId="0" applyNumberFormat="1" applyFill="1" applyBorder="1" applyAlignment="1" applyProtection="1">
      <alignment vertical="center"/>
    </xf>
    <xf numFmtId="165" fontId="5" fillId="4" borderId="3" xfId="1" applyNumberFormat="1" applyFont="1" applyFill="1" applyBorder="1" applyProtection="1">
      <protection locked="0"/>
    </xf>
    <xf numFmtId="165" fontId="0" fillId="0" borderId="10" xfId="0" applyNumberFormat="1" applyFill="1" applyBorder="1" applyAlignment="1" applyProtection="1">
      <alignment vertical="center"/>
    </xf>
    <xf numFmtId="2" fontId="0" fillId="8" borderId="10" xfId="0" applyNumberFormat="1" applyFill="1" applyBorder="1" applyAlignment="1" applyProtection="1">
      <alignment vertical="center"/>
    </xf>
    <xf numFmtId="2" fontId="0" fillId="8" borderId="8" xfId="0" applyNumberFormat="1" applyFill="1" applyBorder="1" applyAlignment="1" applyProtection="1">
      <alignment vertical="center"/>
    </xf>
    <xf numFmtId="0" fontId="5" fillId="10" borderId="0" xfId="5" applyFont="1" applyFill="1" applyAlignment="1" applyProtection="1">
      <alignment horizontal="left" vertical="top" wrapText="1"/>
    </xf>
    <xf numFmtId="0" fontId="5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5" fillId="0" borderId="8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13" fillId="0" borderId="0" xfId="0" applyFont="1" applyAlignment="1" applyProtection="1">
      <alignment horizontal="left" vertical="top" wrapText="1" indent="1"/>
    </xf>
    <xf numFmtId="0" fontId="5" fillId="10" borderId="0" xfId="0" applyFont="1" applyFill="1" applyAlignment="1" applyProtection="1">
      <alignment horizontal="left" vertical="top" wrapText="1"/>
    </xf>
    <xf numFmtId="0" fontId="13" fillId="0" borderId="0" xfId="5" applyFont="1" applyAlignment="1" applyProtection="1">
      <alignment horizontal="left" vertical="top" wrapText="1" indent="1"/>
    </xf>
    <xf numFmtId="0" fontId="9" fillId="4" borderId="0" xfId="0" applyFont="1" applyFill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left" indent="7"/>
    </xf>
    <xf numFmtId="0" fontId="10" fillId="0" borderId="0" xfId="0" applyFont="1" applyAlignment="1" applyProtection="1">
      <alignment horizontal="center"/>
    </xf>
  </cellXfs>
  <cellStyles count="6">
    <cellStyle name="Comma" xfId="1" builtinId="3"/>
    <cellStyle name="Currency" xfId="2" builtinId="4"/>
    <cellStyle name="Input" xfId="4" builtinId="20"/>
    <cellStyle name="Normal" xfId="0" builtinId="0"/>
    <cellStyle name="Normal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T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16</xdr:row>
          <xdr:rowOff>171450</xdr:rowOff>
        </xdr:from>
        <xdr:to>
          <xdr:col>9</xdr:col>
          <xdr:colOff>723900</xdr:colOff>
          <xdr:row>18</xdr:row>
          <xdr:rowOff>19050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15</xdr:col>
          <xdr:colOff>80035</xdr:colOff>
          <xdr:row>18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93</xdr:row>
          <xdr:rowOff>171450</xdr:rowOff>
        </xdr:from>
        <xdr:to>
          <xdr:col>9</xdr:col>
          <xdr:colOff>723900</xdr:colOff>
          <xdr:row>95</xdr:row>
          <xdr:rowOff>19050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156</xdr:row>
          <xdr:rowOff>171450</xdr:rowOff>
        </xdr:from>
        <xdr:to>
          <xdr:col>9</xdr:col>
          <xdr:colOff>723900</xdr:colOff>
          <xdr:row>158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220</xdr:row>
          <xdr:rowOff>171450</xdr:rowOff>
        </xdr:from>
        <xdr:to>
          <xdr:col>9</xdr:col>
          <xdr:colOff>723900</xdr:colOff>
          <xdr:row>222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284</xdr:row>
          <xdr:rowOff>171450</xdr:rowOff>
        </xdr:from>
        <xdr:to>
          <xdr:col>9</xdr:col>
          <xdr:colOff>723900</xdr:colOff>
          <xdr:row>286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ilip's%20Files/RATE%20APPLICATIONS/RATE%20SETTING%20COS%202014/Appendices/NOTL_Filing_Requirements_Chapter2_Appendices_for_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hilip's%20Files/RATE%20APPLICATIONS/RATE%20SETTING%20COS%202014/Rate%20Design/NOTL%20Rate%20Design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hilip's%20Files/RATE%20APPLICATIONS/RATE%20SETTING%20COS%202014/Appendices/Draft_NOTL%20%20Appendix%202-S%20Stranded%20Meter%20Treat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hilip's%20Files/RATE%20APPLICATIONS/RATE%20SETTING%20COS%202014/EXHIBITS/Exhibit%209/NOTL_2014_EDDVAR_Continuity_Schedule_CoS_v2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EB-2013-0155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29">
          <cell r="J29">
            <v>3.7900000000000045E-2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4"/>
      <sheetName val="2013 Existing Rates"/>
      <sheetName val="2014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Distribution Rate Schedule"/>
      <sheetName val="BILL IMPACTS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18.670319705101488</v>
          </cell>
          <cell r="E6">
            <v>1.3153857137946975E-2</v>
          </cell>
        </row>
        <row r="7">
          <cell r="D7">
            <v>37.162829865651211</v>
          </cell>
          <cell r="E7">
            <v>1.1156124693190925E-2</v>
          </cell>
        </row>
        <row r="8">
          <cell r="D8">
            <v>276.04414109471867</v>
          </cell>
          <cell r="E8">
            <v>2.174696037825981</v>
          </cell>
        </row>
        <row r="12">
          <cell r="D12">
            <v>7.6692664520460179</v>
          </cell>
          <cell r="E12">
            <v>29.998689930247071</v>
          </cell>
        </row>
        <row r="13">
          <cell r="D13">
            <v>20.675138609435695</v>
          </cell>
          <cell r="E13">
            <v>6.205206395393144E-3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9">
          <cell r="M49">
            <v>0.90150671827771311</v>
          </cell>
          <cell r="N49">
            <v>1.0620385987807508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3 Continuity Schedule"/>
      <sheetName val="3. Appendix A"/>
      <sheetName val="4. Billing Determinants"/>
      <sheetName val="5. Allocation of Balances"/>
      <sheetName val="6. Rate Rider Calculations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-5.1651135154622072E-4</v>
          </cell>
        </row>
        <row r="21">
          <cell r="F21">
            <v>-1.979274055670951E-3</v>
          </cell>
        </row>
        <row r="22">
          <cell r="F22">
            <v>-1.3908541910085319</v>
          </cell>
        </row>
        <row r="23">
          <cell r="F23">
            <v>-5.8223845865349995E-4</v>
          </cell>
        </row>
        <row r="24">
          <cell r="F24">
            <v>-1.1086201486354312</v>
          </cell>
        </row>
        <row r="49">
          <cell r="F49">
            <v>-0.82492519605991133</v>
          </cell>
        </row>
        <row r="51">
          <cell r="F51">
            <v>-0.76199881833297001</v>
          </cell>
        </row>
        <row r="75">
          <cell r="F75">
            <v>-9.6669446892067772E-4</v>
          </cell>
        </row>
        <row r="76">
          <cell r="F76">
            <v>-9.6669446892067772E-4</v>
          </cell>
        </row>
        <row r="77">
          <cell r="F77">
            <v>-0.37603302052809473</v>
          </cell>
        </row>
        <row r="78">
          <cell r="F78">
            <v>-9.6669446892067783E-4</v>
          </cell>
        </row>
        <row r="79">
          <cell r="F79">
            <v>-0.34734872769697228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42"/>
  <sheetViews>
    <sheetView tabSelected="1" topLeftCell="A259" zoomScaleNormal="100" workbookViewId="0">
      <selection activeCell="V279" sqref="V279"/>
    </sheetView>
  </sheetViews>
  <sheetFormatPr defaultRowHeight="15" x14ac:dyDescent="0.25"/>
  <cols>
    <col min="1" max="1" width="2.140625" style="14" customWidth="1"/>
    <col min="2" max="2" width="26.5703125" style="14" customWidth="1"/>
    <col min="3" max="3" width="1.28515625" style="14" customWidth="1"/>
    <col min="4" max="4" width="11.28515625" style="14" customWidth="1"/>
    <col min="5" max="5" width="1.28515625" style="14" customWidth="1"/>
    <col min="6" max="6" width="12.28515625" style="14" customWidth="1"/>
    <col min="7" max="7" width="9.28515625" style="14" bestFit="1" customWidth="1"/>
    <col min="8" max="8" width="12.28515625" style="14" bestFit="1" customWidth="1"/>
    <col min="9" max="9" width="2.85546875" style="14" customWidth="1"/>
    <col min="10" max="10" width="11" style="14" bestFit="1" customWidth="1"/>
    <col min="11" max="11" width="9.28515625" style="14" bestFit="1" customWidth="1"/>
    <col min="12" max="12" width="14.42578125" style="14" bestFit="1" customWidth="1"/>
    <col min="13" max="13" width="2.85546875" style="14" customWidth="1"/>
    <col min="14" max="14" width="12.7109375" style="14" bestFit="1" customWidth="1"/>
    <col min="15" max="15" width="12.85546875" style="14" bestFit="1" customWidth="1"/>
    <col min="16" max="16" width="3.85546875" style="14" customWidth="1"/>
    <col min="17" max="19" width="9.140625" style="14"/>
    <col min="20" max="20" width="9.140625" style="14" customWidth="1"/>
    <col min="21" max="16384" width="9.140625" style="14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EB-2013-0155</v>
      </c>
      <c r="P1"/>
      <c r="T1" s="5">
        <v>2</v>
      </c>
    </row>
    <row r="2" spans="1:20" s="2" customFormat="1" ht="1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N2" s="3" t="s">
        <v>1</v>
      </c>
      <c r="O2" s="7">
        <v>8</v>
      </c>
      <c r="P2"/>
    </row>
    <row r="3" spans="1:20" s="2" customFormat="1" ht="15" customHeight="1" x14ac:dyDescent="0.25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N3" s="3" t="s">
        <v>2</v>
      </c>
      <c r="O3" s="8">
        <v>1</v>
      </c>
      <c r="P3"/>
    </row>
    <row r="4" spans="1:20" s="2" customFormat="1" ht="15" customHeight="1" x14ac:dyDescent="0.25">
      <c r="A4" s="6"/>
      <c r="B4" s="6"/>
      <c r="C4" s="6"/>
      <c r="D4" s="6"/>
      <c r="E4" s="6"/>
      <c r="F4" s="6"/>
      <c r="G4" s="6"/>
      <c r="H4" s="6"/>
      <c r="I4" s="9"/>
      <c r="J4" s="9"/>
      <c r="K4" s="9"/>
      <c r="N4" s="3" t="s">
        <v>3</v>
      </c>
      <c r="O4" s="8">
        <v>8</v>
      </c>
      <c r="P4"/>
    </row>
    <row r="5" spans="1:20" s="2" customFormat="1" ht="15" customHeight="1" x14ac:dyDescent="0.25">
      <c r="C5" s="10"/>
      <c r="D5" s="10"/>
      <c r="E5" s="10"/>
      <c r="N5" s="3" t="s">
        <v>4</v>
      </c>
      <c r="O5" s="11">
        <v>1</v>
      </c>
      <c r="P5"/>
    </row>
    <row r="6" spans="1:20" s="2" customFormat="1" ht="9" customHeight="1" x14ac:dyDescent="0.25">
      <c r="N6" s="3"/>
      <c r="O6" s="12"/>
      <c r="P6"/>
    </row>
    <row r="7" spans="1:20" s="2" customFormat="1" x14ac:dyDescent="0.25">
      <c r="N7" s="3" t="s">
        <v>5</v>
      </c>
      <c r="O7" s="13">
        <v>41676</v>
      </c>
      <c r="P7"/>
    </row>
    <row r="8" spans="1:20" s="2" customFormat="1" ht="15" customHeight="1" x14ac:dyDescent="0.25">
      <c r="N8" s="14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1" t="s">
        <v>6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/>
    </row>
    <row r="11" spans="1:20" ht="18.75" customHeight="1" x14ac:dyDescent="0.25">
      <c r="B11" s="211" t="s">
        <v>7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5" t="s">
        <v>8</v>
      </c>
      <c r="D14" s="206" t="s">
        <v>9</v>
      </c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</row>
    <row r="15" spans="1:20" ht="7.5" customHeight="1" x14ac:dyDescent="0.25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 x14ac:dyDescent="0.25">
      <c r="B16" s="15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 x14ac:dyDescent="0.2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 x14ac:dyDescent="0.25">
      <c r="B18" s="19"/>
      <c r="D18" s="20" t="s">
        <v>12</v>
      </c>
      <c r="E18" s="20"/>
      <c r="F18" s="21">
        <v>800</v>
      </c>
      <c r="G18" s="20" t="s">
        <v>13</v>
      </c>
    </row>
    <row r="19" spans="2:15" x14ac:dyDescent="0.25">
      <c r="B19" s="19"/>
    </row>
    <row r="20" spans="2:15" x14ac:dyDescent="0.25">
      <c r="B20" s="19"/>
      <c r="D20" s="22"/>
      <c r="E20" s="22"/>
      <c r="F20" s="207" t="s">
        <v>14</v>
      </c>
      <c r="G20" s="208"/>
      <c r="H20" s="209"/>
      <c r="J20" s="207" t="s">
        <v>15</v>
      </c>
      <c r="K20" s="208"/>
      <c r="L20" s="209"/>
      <c r="N20" s="207" t="s">
        <v>16</v>
      </c>
      <c r="O20" s="209"/>
    </row>
    <row r="21" spans="2:15" x14ac:dyDescent="0.25">
      <c r="B21" s="19"/>
      <c r="D21" s="197" t="s">
        <v>17</v>
      </c>
      <c r="E21" s="23"/>
      <c r="F21" s="24" t="s">
        <v>18</v>
      </c>
      <c r="G21" s="24" t="s">
        <v>19</v>
      </c>
      <c r="H21" s="25" t="s">
        <v>20</v>
      </c>
      <c r="J21" s="24" t="s">
        <v>18</v>
      </c>
      <c r="K21" s="26" t="s">
        <v>19</v>
      </c>
      <c r="L21" s="25" t="s">
        <v>20</v>
      </c>
      <c r="N21" s="199" t="s">
        <v>21</v>
      </c>
      <c r="O21" s="201" t="s">
        <v>22</v>
      </c>
    </row>
    <row r="22" spans="2:15" x14ac:dyDescent="0.25">
      <c r="B22" s="19"/>
      <c r="D22" s="198"/>
      <c r="E22" s="23"/>
      <c r="F22" s="27" t="s">
        <v>23</v>
      </c>
      <c r="G22" s="27"/>
      <c r="H22" s="28" t="s">
        <v>23</v>
      </c>
      <c r="J22" s="27" t="s">
        <v>23</v>
      </c>
      <c r="K22" s="28"/>
      <c r="L22" s="28" t="s">
        <v>23</v>
      </c>
      <c r="N22" s="200"/>
      <c r="O22" s="202"/>
    </row>
    <row r="23" spans="2:15" x14ac:dyDescent="0.25">
      <c r="B23" s="29" t="s">
        <v>24</v>
      </c>
      <c r="C23" s="29"/>
      <c r="D23" s="30" t="s">
        <v>25</v>
      </c>
      <c r="E23" s="31"/>
      <c r="F23" s="32">
        <v>18.309999999999999</v>
      </c>
      <c r="G23" s="33">
        <v>1</v>
      </c>
      <c r="H23" s="34">
        <f>G23*F23</f>
        <v>18.309999999999999</v>
      </c>
      <c r="I23" s="35"/>
      <c r="J23" s="36">
        <f>ROUND('[2]Rates By Rate Class'!$D$6,2)</f>
        <v>18.670000000000002</v>
      </c>
      <c r="K23" s="37">
        <v>1</v>
      </c>
      <c r="L23" s="34">
        <f>K23*J23</f>
        <v>18.670000000000002</v>
      </c>
      <c r="M23" s="35"/>
      <c r="N23" s="38">
        <f>L23-H23</f>
        <v>0.36000000000000298</v>
      </c>
      <c r="O23" s="39">
        <f>IF((H23)=0,"",(N23/H23))</f>
        <v>1.966138722009847E-2</v>
      </c>
    </row>
    <row r="24" spans="2:15" hidden="1" x14ac:dyDescent="0.25">
      <c r="B24" s="29" t="s">
        <v>26</v>
      </c>
      <c r="C24" s="29"/>
      <c r="D24" s="30"/>
      <c r="E24" s="31"/>
      <c r="F24" s="32"/>
      <c r="G24" s="33">
        <v>1</v>
      </c>
      <c r="H24" s="34">
        <f t="shared" ref="H24:H38" si="0">G24*F24</f>
        <v>0</v>
      </c>
      <c r="I24" s="35"/>
      <c r="J24" s="36">
        <v>0</v>
      </c>
      <c r="K24" s="37">
        <v>1</v>
      </c>
      <c r="L24" s="34">
        <f>K24*J24</f>
        <v>0</v>
      </c>
      <c r="M24" s="35"/>
      <c r="N24" s="38">
        <f>L24-H24</f>
        <v>0</v>
      </c>
      <c r="O24" s="39" t="str">
        <f>IF((H24)=0,"",(N24/H24))</f>
        <v/>
      </c>
    </row>
    <row r="25" spans="2:15" x14ac:dyDescent="0.25">
      <c r="B25" s="40" t="s">
        <v>27</v>
      </c>
      <c r="C25" s="29"/>
      <c r="D25" s="30" t="s">
        <v>25</v>
      </c>
      <c r="E25" s="31"/>
      <c r="F25" s="32">
        <v>1.19</v>
      </c>
      <c r="G25" s="33">
        <v>1</v>
      </c>
      <c r="H25" s="34">
        <f t="shared" si="0"/>
        <v>1.19</v>
      </c>
      <c r="I25" s="35"/>
      <c r="J25" s="36">
        <v>0</v>
      </c>
      <c r="K25" s="37">
        <v>1</v>
      </c>
      <c r="L25" s="34">
        <f t="shared" ref="L25:L38" si="1">K25*J25</f>
        <v>0</v>
      </c>
      <c r="M25" s="35"/>
      <c r="N25" s="38">
        <f t="shared" ref="N25:N39" si="2">L25-H25</f>
        <v>-1.19</v>
      </c>
      <c r="O25" s="39">
        <f t="shared" ref="O25:O39" si="3">IF((H25)=0,"",(N25/H25))</f>
        <v>-1</v>
      </c>
    </row>
    <row r="26" spans="2:15" x14ac:dyDescent="0.25">
      <c r="B26" s="40" t="s">
        <v>28</v>
      </c>
      <c r="C26" s="29"/>
      <c r="D26" s="30" t="s">
        <v>25</v>
      </c>
      <c r="E26" s="31"/>
      <c r="F26" s="32">
        <v>2.84</v>
      </c>
      <c r="G26" s="33">
        <v>1</v>
      </c>
      <c r="H26" s="34">
        <f t="shared" si="0"/>
        <v>2.84</v>
      </c>
      <c r="I26" s="35"/>
      <c r="J26" s="36">
        <v>0</v>
      </c>
      <c r="K26" s="37">
        <v>1</v>
      </c>
      <c r="L26" s="34">
        <f t="shared" si="1"/>
        <v>0</v>
      </c>
      <c r="M26" s="35"/>
      <c r="N26" s="38">
        <f t="shared" si="2"/>
        <v>-2.84</v>
      </c>
      <c r="O26" s="39">
        <f t="shared" si="3"/>
        <v>-1</v>
      </c>
    </row>
    <row r="27" spans="2:15" x14ac:dyDescent="0.25">
      <c r="B27" s="41" t="s">
        <v>29</v>
      </c>
      <c r="C27" s="29"/>
      <c r="D27" s="30" t="s">
        <v>25</v>
      </c>
      <c r="E27" s="31"/>
      <c r="F27" s="32">
        <v>0</v>
      </c>
      <c r="G27" s="33">
        <v>1</v>
      </c>
      <c r="H27" s="34">
        <f t="shared" si="0"/>
        <v>0</v>
      </c>
      <c r="I27" s="35"/>
      <c r="J27" s="36">
        <f>ROUND([3]Sheet1!$M$49,2)</f>
        <v>0.9</v>
      </c>
      <c r="K27" s="37">
        <v>1</v>
      </c>
      <c r="L27" s="34">
        <f t="shared" si="1"/>
        <v>0.9</v>
      </c>
      <c r="M27" s="35"/>
      <c r="N27" s="38">
        <f t="shared" si="2"/>
        <v>0.9</v>
      </c>
      <c r="O27" s="39" t="str">
        <f t="shared" si="3"/>
        <v/>
      </c>
    </row>
    <row r="28" spans="2:15" hidden="1" x14ac:dyDescent="0.25">
      <c r="B28" s="41"/>
      <c r="C28" s="29"/>
      <c r="D28" s="30"/>
      <c r="E28" s="31"/>
      <c r="F28" s="32"/>
      <c r="G28" s="33">
        <v>1</v>
      </c>
      <c r="H28" s="34">
        <f t="shared" si="0"/>
        <v>0</v>
      </c>
      <c r="I28" s="35"/>
      <c r="J28" s="36"/>
      <c r="K28" s="37">
        <v>1</v>
      </c>
      <c r="L28" s="34">
        <f t="shared" si="1"/>
        <v>0</v>
      </c>
      <c r="M28" s="35"/>
      <c r="N28" s="38">
        <f t="shared" si="2"/>
        <v>0</v>
      </c>
      <c r="O28" s="39" t="str">
        <f t="shared" si="3"/>
        <v/>
      </c>
    </row>
    <row r="29" spans="2:15" x14ac:dyDescent="0.25">
      <c r="B29" s="29" t="s">
        <v>30</v>
      </c>
      <c r="C29" s="29"/>
      <c r="D29" s="30" t="s">
        <v>31</v>
      </c>
      <c r="E29" s="31"/>
      <c r="F29" s="32">
        <v>1.29E-2</v>
      </c>
      <c r="G29" s="33">
        <f>$F$18</f>
        <v>800</v>
      </c>
      <c r="H29" s="34">
        <f t="shared" si="0"/>
        <v>10.32</v>
      </c>
      <c r="I29" s="35"/>
      <c r="J29" s="36">
        <f>ROUND('[2]Rates By Rate Class'!$E$6,4)</f>
        <v>1.32E-2</v>
      </c>
      <c r="K29" s="33">
        <f>$F$18</f>
        <v>800</v>
      </c>
      <c r="L29" s="34">
        <f t="shared" si="1"/>
        <v>10.56</v>
      </c>
      <c r="M29" s="35"/>
      <c r="N29" s="38">
        <f t="shared" si="2"/>
        <v>0.24000000000000021</v>
      </c>
      <c r="O29" s="39">
        <f t="shared" si="3"/>
        <v>2.3255813953488393E-2</v>
      </c>
    </row>
    <row r="30" spans="2:15" hidden="1" x14ac:dyDescent="0.25">
      <c r="B30" s="29" t="s">
        <v>32</v>
      </c>
      <c r="C30" s="29"/>
      <c r="D30" s="30"/>
      <c r="E30" s="31"/>
      <c r="F30" s="32"/>
      <c r="G30" s="33">
        <f t="shared" ref="G30" si="4">$F$18</f>
        <v>800</v>
      </c>
      <c r="H30" s="34">
        <f t="shared" si="0"/>
        <v>0</v>
      </c>
      <c r="I30" s="35"/>
      <c r="J30" s="36"/>
      <c r="K30" s="33">
        <f t="shared" ref="K30:K38" si="5">$F$18</f>
        <v>800</v>
      </c>
      <c r="L30" s="34">
        <f t="shared" si="1"/>
        <v>0</v>
      </c>
      <c r="M30" s="35"/>
      <c r="N30" s="38">
        <f t="shared" si="2"/>
        <v>0</v>
      </c>
      <c r="O30" s="39" t="str">
        <f t="shared" si="3"/>
        <v/>
      </c>
    </row>
    <row r="31" spans="2:15" hidden="1" x14ac:dyDescent="0.25">
      <c r="B31" s="29" t="s">
        <v>33</v>
      </c>
      <c r="C31" s="29"/>
      <c r="D31" s="30"/>
      <c r="E31" s="31"/>
      <c r="F31" s="32"/>
      <c r="G31" s="33">
        <f>$F$18</f>
        <v>800</v>
      </c>
      <c r="H31" s="34">
        <f t="shared" si="0"/>
        <v>0</v>
      </c>
      <c r="I31" s="35"/>
      <c r="J31" s="36"/>
      <c r="K31" s="33">
        <f t="shared" si="5"/>
        <v>800</v>
      </c>
      <c r="L31" s="34">
        <f t="shared" si="1"/>
        <v>0</v>
      </c>
      <c r="M31" s="35"/>
      <c r="N31" s="38">
        <f t="shared" si="2"/>
        <v>0</v>
      </c>
      <c r="O31" s="39" t="str">
        <f t="shared" si="3"/>
        <v/>
      </c>
    </row>
    <row r="32" spans="2:15" hidden="1" x14ac:dyDescent="0.25">
      <c r="B32" s="42"/>
      <c r="C32" s="29"/>
      <c r="D32" s="30"/>
      <c r="E32" s="31"/>
      <c r="F32" s="32"/>
      <c r="G32" s="33">
        <f t="shared" ref="G32:G38" si="6">$F$18</f>
        <v>800</v>
      </c>
      <c r="H32" s="34">
        <f t="shared" si="0"/>
        <v>0</v>
      </c>
      <c r="I32" s="35"/>
      <c r="J32" s="36"/>
      <c r="K32" s="33">
        <f t="shared" si="5"/>
        <v>800</v>
      </c>
      <c r="L32" s="34">
        <f t="shared" si="1"/>
        <v>0</v>
      </c>
      <c r="M32" s="35"/>
      <c r="N32" s="38">
        <f t="shared" si="2"/>
        <v>0</v>
      </c>
      <c r="O32" s="39" t="str">
        <f t="shared" si="3"/>
        <v/>
      </c>
    </row>
    <row r="33" spans="2:15" hidden="1" x14ac:dyDescent="0.25">
      <c r="B33" s="42"/>
      <c r="C33" s="29"/>
      <c r="D33" s="30"/>
      <c r="E33" s="31"/>
      <c r="F33" s="32"/>
      <c r="G33" s="33">
        <f t="shared" si="6"/>
        <v>800</v>
      </c>
      <c r="H33" s="34">
        <f t="shared" si="0"/>
        <v>0</v>
      </c>
      <c r="I33" s="35"/>
      <c r="J33" s="36"/>
      <c r="K33" s="33">
        <f t="shared" si="5"/>
        <v>800</v>
      </c>
      <c r="L33" s="34">
        <f t="shared" si="1"/>
        <v>0</v>
      </c>
      <c r="M33" s="35"/>
      <c r="N33" s="38">
        <f t="shared" si="2"/>
        <v>0</v>
      </c>
      <c r="O33" s="39" t="str">
        <f t="shared" si="3"/>
        <v/>
      </c>
    </row>
    <row r="34" spans="2:15" hidden="1" x14ac:dyDescent="0.25">
      <c r="B34" s="42"/>
      <c r="C34" s="29"/>
      <c r="D34" s="30"/>
      <c r="E34" s="31"/>
      <c r="F34" s="32"/>
      <c r="G34" s="33">
        <f t="shared" si="6"/>
        <v>800</v>
      </c>
      <c r="H34" s="34">
        <f t="shared" si="0"/>
        <v>0</v>
      </c>
      <c r="I34" s="35"/>
      <c r="J34" s="36"/>
      <c r="K34" s="33">
        <f t="shared" si="5"/>
        <v>800</v>
      </c>
      <c r="L34" s="34">
        <f t="shared" si="1"/>
        <v>0</v>
      </c>
      <c r="M34" s="35"/>
      <c r="N34" s="38">
        <f t="shared" si="2"/>
        <v>0</v>
      </c>
      <c r="O34" s="39" t="str">
        <f t="shared" si="3"/>
        <v/>
      </c>
    </row>
    <row r="35" spans="2:15" hidden="1" x14ac:dyDescent="0.25">
      <c r="B35" s="42"/>
      <c r="C35" s="29"/>
      <c r="D35" s="30"/>
      <c r="E35" s="31"/>
      <c r="F35" s="32"/>
      <c r="G35" s="33">
        <f t="shared" si="6"/>
        <v>800</v>
      </c>
      <c r="H35" s="34">
        <f t="shared" si="0"/>
        <v>0</v>
      </c>
      <c r="I35" s="35"/>
      <c r="J35" s="36"/>
      <c r="K35" s="33">
        <f t="shared" si="5"/>
        <v>800</v>
      </c>
      <c r="L35" s="34">
        <f t="shared" si="1"/>
        <v>0</v>
      </c>
      <c r="M35" s="35"/>
      <c r="N35" s="38">
        <f t="shared" si="2"/>
        <v>0</v>
      </c>
      <c r="O35" s="39" t="str">
        <f t="shared" si="3"/>
        <v/>
      </c>
    </row>
    <row r="36" spans="2:15" hidden="1" x14ac:dyDescent="0.25">
      <c r="B36" s="42"/>
      <c r="C36" s="29"/>
      <c r="D36" s="30"/>
      <c r="E36" s="31"/>
      <c r="F36" s="32"/>
      <c r="G36" s="33">
        <f t="shared" si="6"/>
        <v>800</v>
      </c>
      <c r="H36" s="34">
        <f t="shared" si="0"/>
        <v>0</v>
      </c>
      <c r="I36" s="35"/>
      <c r="J36" s="36"/>
      <c r="K36" s="33">
        <f t="shared" si="5"/>
        <v>800</v>
      </c>
      <c r="L36" s="34">
        <f t="shared" si="1"/>
        <v>0</v>
      </c>
      <c r="M36" s="35"/>
      <c r="N36" s="38">
        <f t="shared" si="2"/>
        <v>0</v>
      </c>
      <c r="O36" s="39" t="str">
        <f t="shared" si="3"/>
        <v/>
      </c>
    </row>
    <row r="37" spans="2:15" hidden="1" x14ac:dyDescent="0.25">
      <c r="B37" s="42"/>
      <c r="C37" s="29"/>
      <c r="D37" s="30"/>
      <c r="E37" s="31"/>
      <c r="F37" s="32"/>
      <c r="G37" s="33">
        <f t="shared" si="6"/>
        <v>800</v>
      </c>
      <c r="H37" s="34">
        <f t="shared" si="0"/>
        <v>0</v>
      </c>
      <c r="I37" s="35"/>
      <c r="J37" s="36"/>
      <c r="K37" s="33">
        <f t="shared" si="5"/>
        <v>800</v>
      </c>
      <c r="L37" s="34">
        <f t="shared" si="1"/>
        <v>0</v>
      </c>
      <c r="M37" s="35"/>
      <c r="N37" s="38">
        <f t="shared" si="2"/>
        <v>0</v>
      </c>
      <c r="O37" s="39" t="str">
        <f t="shared" si="3"/>
        <v/>
      </c>
    </row>
    <row r="38" spans="2:15" hidden="1" x14ac:dyDescent="0.25">
      <c r="B38" s="42"/>
      <c r="C38" s="29"/>
      <c r="D38" s="30"/>
      <c r="E38" s="31"/>
      <c r="F38" s="32"/>
      <c r="G38" s="33">
        <f t="shared" si="6"/>
        <v>800</v>
      </c>
      <c r="H38" s="34">
        <f t="shared" si="0"/>
        <v>0</v>
      </c>
      <c r="I38" s="35"/>
      <c r="J38" s="36"/>
      <c r="K38" s="33">
        <f t="shared" si="5"/>
        <v>800</v>
      </c>
      <c r="L38" s="34">
        <f t="shared" si="1"/>
        <v>0</v>
      </c>
      <c r="M38" s="35"/>
      <c r="N38" s="38">
        <f t="shared" si="2"/>
        <v>0</v>
      </c>
      <c r="O38" s="39" t="str">
        <f t="shared" si="3"/>
        <v/>
      </c>
    </row>
    <row r="39" spans="2:15" s="54" customFormat="1" x14ac:dyDescent="0.25">
      <c r="B39" s="43" t="s">
        <v>34</v>
      </c>
      <c r="C39" s="44"/>
      <c r="D39" s="45"/>
      <c r="E39" s="44"/>
      <c r="F39" s="46"/>
      <c r="G39" s="47"/>
      <c r="H39" s="48">
        <f>SUM(H23:H38)</f>
        <v>32.659999999999997</v>
      </c>
      <c r="I39" s="49"/>
      <c r="J39" s="50"/>
      <c r="K39" s="51"/>
      <c r="L39" s="48">
        <f>SUM(L23:L38)</f>
        <v>30.130000000000003</v>
      </c>
      <c r="M39" s="49"/>
      <c r="N39" s="52">
        <f t="shared" si="2"/>
        <v>-2.529999999999994</v>
      </c>
      <c r="O39" s="53">
        <f t="shared" si="3"/>
        <v>-7.7464788732394194E-2</v>
      </c>
    </row>
    <row r="40" spans="2:15" ht="25.5" x14ac:dyDescent="0.25">
      <c r="B40" s="55" t="s">
        <v>35</v>
      </c>
      <c r="C40" s="29"/>
      <c r="D40" s="30" t="s">
        <v>31</v>
      </c>
      <c r="E40" s="31"/>
      <c r="F40" s="32">
        <v>-5.9999999999999995E-4</v>
      </c>
      <c r="G40" s="33">
        <f>$F$18</f>
        <v>800</v>
      </c>
      <c r="H40" s="34">
        <f>G40*F40</f>
        <v>-0.48</v>
      </c>
      <c r="I40" s="35"/>
      <c r="J40" s="36">
        <f>ROUND('[4]6. Rate Rider Calculations'!$F$20,4)</f>
        <v>-5.0000000000000001E-4</v>
      </c>
      <c r="K40" s="33">
        <f>$F$18</f>
        <v>800</v>
      </c>
      <c r="L40" s="34">
        <f>K40*J40</f>
        <v>-0.4</v>
      </c>
      <c r="M40" s="35"/>
      <c r="N40" s="38">
        <f>L40-H40</f>
        <v>7.999999999999996E-2</v>
      </c>
      <c r="O40" s="39">
        <f>IF((H40)=0,"",(N40/H40))</f>
        <v>-0.1666666666666666</v>
      </c>
    </row>
    <row r="41" spans="2:15" x14ac:dyDescent="0.25">
      <c r="B41" s="55" t="s">
        <v>36</v>
      </c>
      <c r="C41" s="29"/>
      <c r="D41" s="30" t="s">
        <v>31</v>
      </c>
      <c r="E41" s="31"/>
      <c r="F41" s="32">
        <v>-1.1000000000000001E-3</v>
      </c>
      <c r="G41" s="33">
        <f t="shared" ref="G41:G43" si="7">$F$18</f>
        <v>800</v>
      </c>
      <c r="H41" s="34">
        <f t="shared" ref="H41:H44" si="8">G41*F41</f>
        <v>-0.88</v>
      </c>
      <c r="I41" s="56"/>
      <c r="J41" s="36">
        <v>0</v>
      </c>
      <c r="K41" s="33">
        <f t="shared" ref="K41:K43" si="9">$F$18</f>
        <v>800</v>
      </c>
      <c r="L41" s="34">
        <f t="shared" ref="L41:L44" si="10">K41*J41</f>
        <v>0</v>
      </c>
      <c r="M41" s="57"/>
      <c r="N41" s="38">
        <f t="shared" ref="N41:N44" si="11">L41-H41</f>
        <v>0.88</v>
      </c>
      <c r="O41" s="39">
        <f t="shared" ref="O41:O44" si="12">IF((H41)=0,"",(N41/H41))</f>
        <v>-1</v>
      </c>
    </row>
    <row r="42" spans="2:15" x14ac:dyDescent="0.25">
      <c r="B42" s="55" t="s">
        <v>37</v>
      </c>
      <c r="C42" s="29"/>
      <c r="D42" s="30" t="s">
        <v>31</v>
      </c>
      <c r="E42" s="31"/>
      <c r="F42" s="58">
        <v>-5.9999999999999995E-4</v>
      </c>
      <c r="G42" s="33">
        <f t="shared" si="7"/>
        <v>800</v>
      </c>
      <c r="H42" s="34">
        <f t="shared" si="8"/>
        <v>-0.48</v>
      </c>
      <c r="I42" s="56"/>
      <c r="J42" s="36">
        <v>0</v>
      </c>
      <c r="K42" s="33">
        <f t="shared" si="9"/>
        <v>800</v>
      </c>
      <c r="L42" s="34">
        <f t="shared" si="10"/>
        <v>0</v>
      </c>
      <c r="M42" s="57"/>
      <c r="N42" s="38">
        <f t="shared" si="11"/>
        <v>0.48</v>
      </c>
      <c r="O42" s="39">
        <f t="shared" si="12"/>
        <v>-1</v>
      </c>
    </row>
    <row r="43" spans="2:15" x14ac:dyDescent="0.25">
      <c r="B43" s="55" t="s">
        <v>38</v>
      </c>
      <c r="C43" s="29"/>
      <c r="D43" s="30" t="s">
        <v>31</v>
      </c>
      <c r="E43" s="31"/>
      <c r="F43" s="32">
        <v>0</v>
      </c>
      <c r="G43" s="33">
        <f t="shared" si="7"/>
        <v>800</v>
      </c>
      <c r="H43" s="34">
        <f t="shared" si="8"/>
        <v>0</v>
      </c>
      <c r="I43" s="56"/>
      <c r="J43" s="36">
        <f>'[4]6. Rate Rider Calculations'!$F$75</f>
        <v>-9.6669446892067772E-4</v>
      </c>
      <c r="K43" s="33">
        <f t="shared" si="9"/>
        <v>800</v>
      </c>
      <c r="L43" s="34">
        <f t="shared" si="10"/>
        <v>-0.77335557513654218</v>
      </c>
      <c r="M43" s="57"/>
      <c r="N43" s="38">
        <f t="shared" si="11"/>
        <v>-0.77335557513654218</v>
      </c>
      <c r="O43" s="39" t="str">
        <f t="shared" si="12"/>
        <v/>
      </c>
    </row>
    <row r="44" spans="2:15" x14ac:dyDescent="0.25">
      <c r="B44" s="59" t="s">
        <v>40</v>
      </c>
      <c r="C44" s="29"/>
      <c r="D44" s="30"/>
      <c r="E44" s="31"/>
      <c r="F44" s="60">
        <f>IF(ISBLANK(D16)=TRUE, 0, IF(D16="TOU", 0.64*$F$54+0.18*$F$55+0.18*$F$56, IF(AND(D16="non-TOU", G58&gt;0), F58,F57)))</f>
        <v>8.8919999999999999E-2</v>
      </c>
      <c r="G44" s="61">
        <f>$F$18*(1+$F$73)-$F$18</f>
        <v>37.039999999999964</v>
      </c>
      <c r="H44" s="34">
        <f t="shared" si="8"/>
        <v>3.2935967999999969</v>
      </c>
      <c r="I44" s="35"/>
      <c r="J44" s="62">
        <f>0.64*$F$54+0.18*$F$55+0.18*$F$56</f>
        <v>8.8919999999999999E-2</v>
      </c>
      <c r="K44" s="61">
        <f>$F$18*(1+$J$73)-$F$18</f>
        <v>30.32000000000005</v>
      </c>
      <c r="L44" s="34">
        <f t="shared" si="10"/>
        <v>2.6960544000000044</v>
      </c>
      <c r="M44" s="35"/>
      <c r="N44" s="38">
        <f t="shared" si="11"/>
        <v>-0.59754239999999248</v>
      </c>
      <c r="O44" s="39">
        <f t="shared" si="12"/>
        <v>-0.18142548596112099</v>
      </c>
    </row>
    <row r="45" spans="2:15" x14ac:dyDescent="0.25">
      <c r="B45" s="59" t="s">
        <v>41</v>
      </c>
      <c r="C45" s="29"/>
      <c r="D45" s="30" t="s">
        <v>25</v>
      </c>
      <c r="E45" s="31"/>
      <c r="F45" s="60">
        <v>0.79</v>
      </c>
      <c r="G45" s="33">
        <v>1</v>
      </c>
      <c r="H45" s="34">
        <f>G45*F45</f>
        <v>0.79</v>
      </c>
      <c r="I45" s="35"/>
      <c r="J45" s="60">
        <v>0.79</v>
      </c>
      <c r="K45" s="33">
        <v>1</v>
      </c>
      <c r="L45" s="34">
        <f>K45*J45</f>
        <v>0.79</v>
      </c>
      <c r="M45" s="35"/>
      <c r="N45" s="38">
        <f>L45-H45</f>
        <v>0</v>
      </c>
      <c r="O45" s="39"/>
    </row>
    <row r="46" spans="2:15" ht="25.5" x14ac:dyDescent="0.25">
      <c r="B46" s="63" t="s">
        <v>42</v>
      </c>
      <c r="C46" s="64"/>
      <c r="D46" s="64"/>
      <c r="E46" s="64"/>
      <c r="F46" s="65"/>
      <c r="G46" s="66"/>
      <c r="H46" s="67">
        <f>SUM(H40:H45)+H39</f>
        <v>34.903596799999995</v>
      </c>
      <c r="I46" s="49"/>
      <c r="J46" s="66"/>
      <c r="K46" s="68"/>
      <c r="L46" s="67">
        <f>SUM(L40:L45)+L39</f>
        <v>32.442698824863463</v>
      </c>
      <c r="M46" s="49"/>
      <c r="N46" s="52">
        <f t="shared" ref="N46:N64" si="13">L46-H46</f>
        <v>-2.4608979751365325</v>
      </c>
      <c r="O46" s="53">
        <f t="shared" ref="O46:O64" si="14">IF((H46)=0,"",(N46/H46))</f>
        <v>-7.0505569647668312E-2</v>
      </c>
    </row>
    <row r="47" spans="2:15" x14ac:dyDescent="0.25">
      <c r="B47" s="35" t="s">
        <v>43</v>
      </c>
      <c r="C47" s="35"/>
      <c r="D47" s="69" t="s">
        <v>31</v>
      </c>
      <c r="E47" s="70"/>
      <c r="F47" s="36">
        <v>7.0000000000000001E-3</v>
      </c>
      <c r="G47" s="71">
        <f>F18*(1+F73)</f>
        <v>837.04</v>
      </c>
      <c r="H47" s="34">
        <f>G47*F47</f>
        <v>5.85928</v>
      </c>
      <c r="I47" s="35"/>
      <c r="J47" s="36">
        <v>7.1999999999999998E-3</v>
      </c>
      <c r="K47" s="72">
        <f>F18*(1+J73)</f>
        <v>830.32</v>
      </c>
      <c r="L47" s="34">
        <f>K47*J47</f>
        <v>5.9783040000000005</v>
      </c>
      <c r="M47" s="35"/>
      <c r="N47" s="38">
        <f t="shared" si="13"/>
        <v>0.11902400000000046</v>
      </c>
      <c r="O47" s="39">
        <f t="shared" si="14"/>
        <v>2.031375868707426E-2</v>
      </c>
    </row>
    <row r="48" spans="2:15" ht="30" x14ac:dyDescent="0.25">
      <c r="B48" s="73" t="s">
        <v>44</v>
      </c>
      <c r="C48" s="35"/>
      <c r="D48" s="69" t="s">
        <v>31</v>
      </c>
      <c r="E48" s="70"/>
      <c r="F48" s="36">
        <v>1.1999999999999999E-3</v>
      </c>
      <c r="G48" s="71">
        <f>G47</f>
        <v>837.04</v>
      </c>
      <c r="H48" s="34">
        <f>G48*F48</f>
        <v>1.0044479999999998</v>
      </c>
      <c r="I48" s="35"/>
      <c r="J48" s="36">
        <v>1.2999999999999999E-3</v>
      </c>
      <c r="K48" s="72">
        <f>K47</f>
        <v>830.32</v>
      </c>
      <c r="L48" s="34">
        <f>K48*J48</f>
        <v>1.0794159999999999</v>
      </c>
      <c r="M48" s="35"/>
      <c r="N48" s="38">
        <f t="shared" si="13"/>
        <v>7.4968000000000146E-2</v>
      </c>
      <c r="O48" s="39">
        <f t="shared" si="14"/>
        <v>7.4636018987543573E-2</v>
      </c>
    </row>
    <row r="49" spans="2:19" ht="25.5" x14ac:dyDescent="0.25">
      <c r="B49" s="63" t="s">
        <v>45</v>
      </c>
      <c r="C49" s="44"/>
      <c r="D49" s="44"/>
      <c r="E49" s="44"/>
      <c r="F49" s="74"/>
      <c r="G49" s="66"/>
      <c r="H49" s="67">
        <f>SUM(H46:H48)</f>
        <v>41.76732479999999</v>
      </c>
      <c r="I49" s="75"/>
      <c r="J49" s="76"/>
      <c r="K49" s="77"/>
      <c r="L49" s="67">
        <f>SUM(L46:L48)</f>
        <v>39.500418824863466</v>
      </c>
      <c r="M49" s="75"/>
      <c r="N49" s="52">
        <f t="shared" si="13"/>
        <v>-2.2669059751365239</v>
      </c>
      <c r="O49" s="53">
        <f t="shared" si="14"/>
        <v>-5.4274627019840267E-2</v>
      </c>
    </row>
    <row r="50" spans="2:19" ht="30" x14ac:dyDescent="0.25">
      <c r="B50" s="78" t="s">
        <v>46</v>
      </c>
      <c r="C50" s="29"/>
      <c r="D50" s="30" t="s">
        <v>31</v>
      </c>
      <c r="E50" s="31"/>
      <c r="F50" s="79">
        <v>4.4000000000000003E-3</v>
      </c>
      <c r="G50" s="71">
        <f>G48</f>
        <v>837.04</v>
      </c>
      <c r="H50" s="80">
        <f t="shared" ref="H50:H56" si="15">G50*F50</f>
        <v>3.682976</v>
      </c>
      <c r="I50" s="35"/>
      <c r="J50" s="81">
        <f>F50</f>
        <v>4.4000000000000003E-3</v>
      </c>
      <c r="K50" s="72">
        <f>K48</f>
        <v>830.32</v>
      </c>
      <c r="L50" s="80">
        <f t="shared" ref="L50:L56" si="16">K50*J50</f>
        <v>3.6534080000000007</v>
      </c>
      <c r="M50" s="35"/>
      <c r="N50" s="38">
        <f t="shared" si="13"/>
        <v>-2.9567999999999373E-2</v>
      </c>
      <c r="O50" s="82">
        <f t="shared" si="14"/>
        <v>-8.0282901653443775E-3</v>
      </c>
    </row>
    <row r="51" spans="2:19" ht="30" x14ac:dyDescent="0.25">
      <c r="B51" s="78" t="s">
        <v>47</v>
      </c>
      <c r="C51" s="29"/>
      <c r="D51" s="30" t="s">
        <v>31</v>
      </c>
      <c r="E51" s="31"/>
      <c r="F51" s="79">
        <v>1.1999999999999999E-3</v>
      </c>
      <c r="G51" s="71">
        <f>G48</f>
        <v>837.04</v>
      </c>
      <c r="H51" s="80">
        <f t="shared" si="15"/>
        <v>1.0044479999999998</v>
      </c>
      <c r="I51" s="35"/>
      <c r="J51" s="81">
        <f>F51</f>
        <v>1.1999999999999999E-3</v>
      </c>
      <c r="K51" s="72">
        <f>K48</f>
        <v>830.32</v>
      </c>
      <c r="L51" s="80">
        <f t="shared" si="16"/>
        <v>0.99638399999999994</v>
      </c>
      <c r="M51" s="35"/>
      <c r="N51" s="38">
        <f t="shared" si="13"/>
        <v>-8.0639999999998491E-3</v>
      </c>
      <c r="O51" s="82">
        <f t="shared" si="14"/>
        <v>-8.0282901653443983E-3</v>
      </c>
    </row>
    <row r="52" spans="2:19" x14ac:dyDescent="0.25">
      <c r="B52" s="29" t="s">
        <v>48</v>
      </c>
      <c r="C52" s="29"/>
      <c r="D52" s="30" t="s">
        <v>25</v>
      </c>
      <c r="E52" s="31"/>
      <c r="F52" s="79">
        <v>0.25</v>
      </c>
      <c r="G52" s="33">
        <v>1</v>
      </c>
      <c r="H52" s="80">
        <f t="shared" si="15"/>
        <v>0.25</v>
      </c>
      <c r="I52" s="35"/>
      <c r="J52" s="81">
        <f>F52</f>
        <v>0.25</v>
      </c>
      <c r="K52" s="37">
        <v>1</v>
      </c>
      <c r="L52" s="80">
        <f t="shared" si="16"/>
        <v>0.25</v>
      </c>
      <c r="M52" s="35"/>
      <c r="N52" s="38">
        <f t="shared" si="13"/>
        <v>0</v>
      </c>
      <c r="O52" s="82">
        <f t="shared" si="14"/>
        <v>0</v>
      </c>
    </row>
    <row r="53" spans="2:19" x14ac:dyDescent="0.25">
      <c r="B53" s="29" t="s">
        <v>49</v>
      </c>
      <c r="C53" s="29"/>
      <c r="D53" s="30" t="s">
        <v>31</v>
      </c>
      <c r="E53" s="31"/>
      <c r="F53" s="79">
        <v>7.0000000000000001E-3</v>
      </c>
      <c r="G53" s="83">
        <f>F18</f>
        <v>800</v>
      </c>
      <c r="H53" s="80">
        <f t="shared" si="15"/>
        <v>5.6000000000000005</v>
      </c>
      <c r="I53" s="35"/>
      <c r="J53" s="81">
        <f>F53</f>
        <v>7.0000000000000001E-3</v>
      </c>
      <c r="K53" s="84">
        <f>F18</f>
        <v>800</v>
      </c>
      <c r="L53" s="80">
        <f t="shared" si="16"/>
        <v>5.6000000000000005</v>
      </c>
      <c r="M53" s="35"/>
      <c r="N53" s="38">
        <f t="shared" si="13"/>
        <v>0</v>
      </c>
      <c r="O53" s="82">
        <f t="shared" si="14"/>
        <v>0</v>
      </c>
    </row>
    <row r="54" spans="2:19" x14ac:dyDescent="0.25">
      <c r="B54" s="59" t="s">
        <v>50</v>
      </c>
      <c r="C54" s="29"/>
      <c r="D54" s="30" t="s">
        <v>31</v>
      </c>
      <c r="E54" s="31"/>
      <c r="F54" s="85">
        <v>7.1999999999999995E-2</v>
      </c>
      <c r="G54" s="86">
        <f>0.64*$F$18</f>
        <v>512</v>
      </c>
      <c r="H54" s="80">
        <f t="shared" si="15"/>
        <v>36.863999999999997</v>
      </c>
      <c r="I54" s="35"/>
      <c r="J54" s="79">
        <v>7.1999999999999995E-2</v>
      </c>
      <c r="K54" s="86">
        <f>G54</f>
        <v>512</v>
      </c>
      <c r="L54" s="80">
        <f t="shared" si="16"/>
        <v>36.863999999999997</v>
      </c>
      <c r="M54" s="35"/>
      <c r="N54" s="38">
        <f t="shared" si="13"/>
        <v>0</v>
      </c>
      <c r="O54" s="82">
        <f t="shared" si="14"/>
        <v>0</v>
      </c>
      <c r="S54" s="87"/>
    </row>
    <row r="55" spans="2:19" x14ac:dyDescent="0.25">
      <c r="B55" s="59" t="s">
        <v>51</v>
      </c>
      <c r="C55" s="29"/>
      <c r="D55" s="30" t="s">
        <v>31</v>
      </c>
      <c r="E55" s="31"/>
      <c r="F55" s="85">
        <v>0.109</v>
      </c>
      <c r="G55" s="86">
        <f>0.18*$F$18</f>
        <v>144</v>
      </c>
      <c r="H55" s="80">
        <f t="shared" si="15"/>
        <v>15.696</v>
      </c>
      <c r="I55" s="35"/>
      <c r="J55" s="79">
        <v>0.109</v>
      </c>
      <c r="K55" s="86">
        <f>G55</f>
        <v>144</v>
      </c>
      <c r="L55" s="80">
        <f t="shared" si="16"/>
        <v>15.696</v>
      </c>
      <c r="M55" s="35"/>
      <c r="N55" s="38">
        <f t="shared" si="13"/>
        <v>0</v>
      </c>
      <c r="O55" s="82">
        <f t="shared" si="14"/>
        <v>0</v>
      </c>
      <c r="S55" s="87"/>
    </row>
    <row r="56" spans="2:19" x14ac:dyDescent="0.25">
      <c r="B56" s="19" t="s">
        <v>52</v>
      </c>
      <c r="C56" s="29"/>
      <c r="D56" s="30" t="s">
        <v>31</v>
      </c>
      <c r="E56" s="31"/>
      <c r="F56" s="85">
        <v>0.129</v>
      </c>
      <c r="G56" s="86">
        <f>0.18*$F$18</f>
        <v>144</v>
      </c>
      <c r="H56" s="80">
        <f t="shared" si="15"/>
        <v>18.576000000000001</v>
      </c>
      <c r="I56" s="35"/>
      <c r="J56" s="79">
        <v>0.129</v>
      </c>
      <c r="K56" s="86">
        <f>G56</f>
        <v>144</v>
      </c>
      <c r="L56" s="80">
        <f t="shared" si="16"/>
        <v>18.576000000000001</v>
      </c>
      <c r="M56" s="35"/>
      <c r="N56" s="38">
        <f t="shared" si="13"/>
        <v>0</v>
      </c>
      <c r="O56" s="82">
        <f t="shared" si="14"/>
        <v>0</v>
      </c>
      <c r="S56" s="87"/>
    </row>
    <row r="57" spans="2:19" s="95" customFormat="1" x14ac:dyDescent="0.2">
      <c r="B57" s="88" t="s">
        <v>53</v>
      </c>
      <c r="C57" s="89"/>
      <c r="D57" s="90" t="s">
        <v>31</v>
      </c>
      <c r="E57" s="91"/>
      <c r="F57" s="85">
        <v>8.3000000000000004E-2</v>
      </c>
      <c r="G57" s="92">
        <f>IF(AND($T$1=1, F18&gt;=600), 600, IF(AND($T$1=1, AND(F18&lt;600, F18&gt;=0)), F18, IF(AND($T$1=2, F18&gt;=1000), 1000, IF(AND($T$1=2, AND(F18&lt;1000, F18&gt;=0)), F18))))</f>
        <v>800</v>
      </c>
      <c r="H57" s="80">
        <f>G57*F57</f>
        <v>66.400000000000006</v>
      </c>
      <c r="I57" s="93"/>
      <c r="J57" s="79">
        <v>8.3000000000000004E-2</v>
      </c>
      <c r="K57" s="92">
        <f>G57</f>
        <v>800</v>
      </c>
      <c r="L57" s="80">
        <f>K57*J57</f>
        <v>66.400000000000006</v>
      </c>
      <c r="M57" s="93"/>
      <c r="N57" s="94">
        <f t="shared" si="13"/>
        <v>0</v>
      </c>
      <c r="O57" s="82">
        <f t="shared" si="14"/>
        <v>0</v>
      </c>
    </row>
    <row r="58" spans="2:19" s="95" customFormat="1" ht="15.75" thickBot="1" x14ac:dyDescent="0.25">
      <c r="B58" s="88" t="s">
        <v>54</v>
      </c>
      <c r="C58" s="89"/>
      <c r="D58" s="90" t="s">
        <v>31</v>
      </c>
      <c r="E58" s="91"/>
      <c r="F58" s="85">
        <v>9.7000000000000003E-2</v>
      </c>
      <c r="G58" s="92">
        <f>IF(AND($T$1=1, F18&gt;=600), F18-600, IF(AND($T$1=1, AND(F18&lt;600, F18&gt;=0)), 0, IF(AND($T$1=2, F18&gt;=1000), F18-1000, IF(AND($T$1=2, AND(F18&lt;1000, F18&gt;=0)), 0))))</f>
        <v>0</v>
      </c>
      <c r="H58" s="80">
        <f>G58*F58</f>
        <v>0</v>
      </c>
      <c r="I58" s="93"/>
      <c r="J58" s="79">
        <v>9.7000000000000003E-2</v>
      </c>
      <c r="K58" s="92">
        <f>G58</f>
        <v>0</v>
      </c>
      <c r="L58" s="80">
        <f>K58*J58</f>
        <v>0</v>
      </c>
      <c r="M58" s="93"/>
      <c r="N58" s="94">
        <f t="shared" si="13"/>
        <v>0</v>
      </c>
      <c r="O58" s="82" t="str">
        <f t="shared" si="14"/>
        <v/>
      </c>
    </row>
    <row r="59" spans="2:19" ht="15.75" thickBot="1" x14ac:dyDescent="0.3">
      <c r="B59" s="96"/>
      <c r="C59" s="97"/>
      <c r="D59" s="98"/>
      <c r="E59" s="97"/>
      <c r="F59" s="99"/>
      <c r="G59" s="100"/>
      <c r="H59" s="101"/>
      <c r="I59" s="102"/>
      <c r="J59" s="99"/>
      <c r="K59" s="103"/>
      <c r="L59" s="101"/>
      <c r="M59" s="102"/>
      <c r="N59" s="104"/>
      <c r="O59" s="105"/>
    </row>
    <row r="60" spans="2:19" x14ac:dyDescent="0.25">
      <c r="B60" s="106" t="s">
        <v>55</v>
      </c>
      <c r="C60" s="29"/>
      <c r="D60" s="29"/>
      <c r="E60" s="29"/>
      <c r="F60" s="107"/>
      <c r="G60" s="108"/>
      <c r="H60" s="109">
        <f>SUM(H50:H56,H49)</f>
        <v>123.44074879999999</v>
      </c>
      <c r="I60" s="110"/>
      <c r="J60" s="111"/>
      <c r="K60" s="111"/>
      <c r="L60" s="109">
        <f>SUM(L50:L56,L49)</f>
        <v>121.13621082486347</v>
      </c>
      <c r="M60" s="112"/>
      <c r="N60" s="113">
        <f t="shared" ref="N60" si="17">L60-H60</f>
        <v>-2.304537975136526</v>
      </c>
      <c r="O60" s="114">
        <f t="shared" ref="O60" si="18">IF((H60)=0,"",(N60/H60))</f>
        <v>-1.8669183373720154E-2</v>
      </c>
      <c r="S60" s="87"/>
    </row>
    <row r="61" spans="2:19" x14ac:dyDescent="0.25">
      <c r="B61" s="115" t="s">
        <v>56</v>
      </c>
      <c r="C61" s="29"/>
      <c r="D61" s="29"/>
      <c r="E61" s="29"/>
      <c r="F61" s="116">
        <v>0.13</v>
      </c>
      <c r="G61" s="117"/>
      <c r="H61" s="118">
        <f>H60*F61</f>
        <v>16.047297344</v>
      </c>
      <c r="I61" s="119"/>
      <c r="J61" s="120">
        <v>0.13</v>
      </c>
      <c r="K61" s="119"/>
      <c r="L61" s="121">
        <f>L60*J61</f>
        <v>15.747707407232252</v>
      </c>
      <c r="M61" s="122"/>
      <c r="N61" s="123">
        <f t="shared" si="13"/>
        <v>-0.29958993676774881</v>
      </c>
      <c r="O61" s="124">
        <f t="shared" si="14"/>
        <v>-1.8669183373720179E-2</v>
      </c>
      <c r="S61" s="87"/>
    </row>
    <row r="62" spans="2:19" x14ac:dyDescent="0.25">
      <c r="B62" s="125" t="s">
        <v>57</v>
      </c>
      <c r="C62" s="29"/>
      <c r="D62" s="29"/>
      <c r="E62" s="29"/>
      <c r="F62" s="126"/>
      <c r="G62" s="117"/>
      <c r="H62" s="118">
        <f>H60+H61</f>
        <v>139.48804614400001</v>
      </c>
      <c r="I62" s="119"/>
      <c r="J62" s="119"/>
      <c r="K62" s="119"/>
      <c r="L62" s="121">
        <f>L60+L61</f>
        <v>136.88391823209571</v>
      </c>
      <c r="M62" s="122"/>
      <c r="N62" s="123">
        <f t="shared" si="13"/>
        <v>-2.6041279119042997</v>
      </c>
      <c r="O62" s="124">
        <f t="shared" si="14"/>
        <v>-1.8669183373720335E-2</v>
      </c>
      <c r="S62" s="87"/>
    </row>
    <row r="63" spans="2:19" x14ac:dyDescent="0.25">
      <c r="B63" s="203" t="s">
        <v>58</v>
      </c>
      <c r="C63" s="203"/>
      <c r="D63" s="203"/>
      <c r="E63" s="29"/>
      <c r="F63" s="126"/>
      <c r="G63" s="117"/>
      <c r="H63" s="127">
        <f>ROUND(-H62*10%,2)</f>
        <v>-13.95</v>
      </c>
      <c r="I63" s="119"/>
      <c r="J63" s="119"/>
      <c r="K63" s="119"/>
      <c r="L63" s="128">
        <f>ROUND(-L62*10%,2)</f>
        <v>-13.69</v>
      </c>
      <c r="M63" s="122"/>
      <c r="N63" s="129">
        <f t="shared" si="13"/>
        <v>0.25999999999999979</v>
      </c>
      <c r="O63" s="130">
        <f t="shared" si="14"/>
        <v>-1.8637992831541203E-2</v>
      </c>
    </row>
    <row r="64" spans="2:19" ht="15.75" thickBot="1" x14ac:dyDescent="0.3">
      <c r="B64" s="204" t="s">
        <v>59</v>
      </c>
      <c r="C64" s="204"/>
      <c r="D64" s="204"/>
      <c r="E64" s="131"/>
      <c r="F64" s="132"/>
      <c r="G64" s="133"/>
      <c r="H64" s="134">
        <f>H62+H63</f>
        <v>125.53804614400001</v>
      </c>
      <c r="I64" s="135"/>
      <c r="J64" s="135"/>
      <c r="K64" s="135"/>
      <c r="L64" s="136">
        <f>L62+L63</f>
        <v>123.19391823209571</v>
      </c>
      <c r="M64" s="137"/>
      <c r="N64" s="138">
        <f t="shared" si="13"/>
        <v>-2.3441279119042946</v>
      </c>
      <c r="O64" s="139">
        <f t="shared" si="14"/>
        <v>-1.8672649319517311E-2</v>
      </c>
    </row>
    <row r="65" spans="1:15" s="95" customFormat="1" ht="15.75" thickBot="1" x14ac:dyDescent="0.25">
      <c r="B65" s="140"/>
      <c r="C65" s="141"/>
      <c r="D65" s="142"/>
      <c r="E65" s="141"/>
      <c r="F65" s="99"/>
      <c r="G65" s="143"/>
      <c r="H65" s="101"/>
      <c r="I65" s="144"/>
      <c r="J65" s="99"/>
      <c r="K65" s="145"/>
      <c r="L65" s="101"/>
      <c r="M65" s="144"/>
      <c r="N65" s="146"/>
      <c r="O65" s="105"/>
    </row>
    <row r="66" spans="1:15" s="95" customFormat="1" ht="12.75" x14ac:dyDescent="0.2">
      <c r="B66" s="147" t="s">
        <v>60</v>
      </c>
      <c r="C66" s="89"/>
      <c r="D66" s="89"/>
      <c r="E66" s="89"/>
      <c r="F66" s="148"/>
      <c r="G66" s="149"/>
      <c r="H66" s="150">
        <f>SUM(H57:H58,H49,H50:H53)</f>
        <v>118.70474879999998</v>
      </c>
      <c r="I66" s="151"/>
      <c r="J66" s="152"/>
      <c r="K66" s="152"/>
      <c r="L66" s="150">
        <f>SUM(L57:L58,L49,L50:L53)</f>
        <v>116.40021082486346</v>
      </c>
      <c r="M66" s="153"/>
      <c r="N66" s="154">
        <f t="shared" ref="N66:N70" si="19">L66-H66</f>
        <v>-2.3045379751365118</v>
      </c>
      <c r="O66" s="114">
        <f t="shared" ref="O66:O70" si="20">IF((H66)=0,"",(N66/H66))</f>
        <v>-1.9414033544852691E-2</v>
      </c>
    </row>
    <row r="67" spans="1:15" s="95" customFormat="1" ht="12.75" x14ac:dyDescent="0.2">
      <c r="B67" s="155" t="s">
        <v>56</v>
      </c>
      <c r="C67" s="89"/>
      <c r="D67" s="89"/>
      <c r="E67" s="89"/>
      <c r="F67" s="156">
        <v>0.13</v>
      </c>
      <c r="G67" s="149"/>
      <c r="H67" s="157">
        <f>H66*F67</f>
        <v>15.431617343999998</v>
      </c>
      <c r="I67" s="158"/>
      <c r="J67" s="159">
        <v>0.13</v>
      </c>
      <c r="K67" s="160"/>
      <c r="L67" s="161">
        <f>L66*J67</f>
        <v>15.13202740723225</v>
      </c>
      <c r="M67" s="162"/>
      <c r="N67" s="163">
        <f t="shared" si="19"/>
        <v>-0.29958993676774703</v>
      </c>
      <c r="O67" s="124">
        <f t="shared" si="20"/>
        <v>-1.9414033544852723E-2</v>
      </c>
    </row>
    <row r="68" spans="1:15" s="95" customFormat="1" ht="12.75" x14ac:dyDescent="0.2">
      <c r="B68" s="164" t="s">
        <v>57</v>
      </c>
      <c r="C68" s="89"/>
      <c r="D68" s="89"/>
      <c r="E68" s="89"/>
      <c r="F68" s="165"/>
      <c r="G68" s="166"/>
      <c r="H68" s="157">
        <f>H66+H67</f>
        <v>134.13636614399996</v>
      </c>
      <c r="I68" s="158"/>
      <c r="J68" s="158"/>
      <c r="K68" s="158"/>
      <c r="L68" s="161">
        <f>L66+L67</f>
        <v>131.53223823209572</v>
      </c>
      <c r="M68" s="162"/>
      <c r="N68" s="163">
        <f t="shared" si="19"/>
        <v>-2.6041279119042429</v>
      </c>
      <c r="O68" s="124">
        <f t="shared" si="20"/>
        <v>-1.9414033544852577E-2</v>
      </c>
    </row>
    <row r="69" spans="1:15" s="95" customFormat="1" ht="12.75" x14ac:dyDescent="0.2">
      <c r="B69" s="205" t="s">
        <v>58</v>
      </c>
      <c r="C69" s="205"/>
      <c r="D69" s="205"/>
      <c r="E69" s="89"/>
      <c r="F69" s="165"/>
      <c r="G69" s="166"/>
      <c r="H69" s="167">
        <f>ROUND(-H68*10%,2)</f>
        <v>-13.41</v>
      </c>
      <c r="I69" s="158"/>
      <c r="J69" s="158"/>
      <c r="K69" s="158"/>
      <c r="L69" s="168">
        <f>ROUND(-L68*10%,2)</f>
        <v>-13.15</v>
      </c>
      <c r="M69" s="162"/>
      <c r="N69" s="169">
        <f t="shared" si="19"/>
        <v>0.25999999999999979</v>
      </c>
      <c r="O69" s="130">
        <f t="shared" si="20"/>
        <v>-1.9388516032811318E-2</v>
      </c>
    </row>
    <row r="70" spans="1:15" s="95" customFormat="1" ht="13.5" thickBot="1" x14ac:dyDescent="0.25">
      <c r="B70" s="196" t="s">
        <v>61</v>
      </c>
      <c r="C70" s="196"/>
      <c r="D70" s="196"/>
      <c r="E70" s="170"/>
      <c r="F70" s="171"/>
      <c r="G70" s="172"/>
      <c r="H70" s="173">
        <f>SUM(H68:H69)</f>
        <v>120.72636614399997</v>
      </c>
      <c r="I70" s="174"/>
      <c r="J70" s="174"/>
      <c r="K70" s="174"/>
      <c r="L70" s="175">
        <f>SUM(L68:L69)</f>
        <v>118.38223823209572</v>
      </c>
      <c r="M70" s="176"/>
      <c r="N70" s="177">
        <f t="shared" si="19"/>
        <v>-2.344127911904252</v>
      </c>
      <c r="O70" s="178">
        <f t="shared" si="20"/>
        <v>-1.9416867969903308E-2</v>
      </c>
    </row>
    <row r="71" spans="1:15" s="95" customFormat="1" ht="15.75" thickBot="1" x14ac:dyDescent="0.25">
      <c r="B71" s="140"/>
      <c r="C71" s="141"/>
      <c r="D71" s="142"/>
      <c r="E71" s="141"/>
      <c r="F71" s="179"/>
      <c r="G71" s="180"/>
      <c r="H71" s="181"/>
      <c r="I71" s="182"/>
      <c r="J71" s="179"/>
      <c r="K71" s="143"/>
      <c r="L71" s="183"/>
      <c r="M71" s="144"/>
      <c r="N71" s="184"/>
      <c r="O71" s="105"/>
    </row>
    <row r="72" spans="1:15" x14ac:dyDescent="0.25">
      <c r="L72" s="87"/>
    </row>
    <row r="73" spans="1:15" x14ac:dyDescent="0.25">
      <c r="B73" s="20" t="s">
        <v>62</v>
      </c>
      <c r="F73" s="185">
        <v>4.6300000000000001E-2</v>
      </c>
      <c r="J73" s="185">
        <f>'[1]App.2-R_Loss Factors'!J29</f>
        <v>3.7900000000000045E-2</v>
      </c>
    </row>
    <row r="75" spans="1:15" x14ac:dyDescent="0.25">
      <c r="A75" s="186" t="s">
        <v>63</v>
      </c>
    </row>
    <row r="77" spans="1:15" x14ac:dyDescent="0.25">
      <c r="A77" s="14" t="s">
        <v>64</v>
      </c>
    </row>
    <row r="78" spans="1:15" x14ac:dyDescent="0.25">
      <c r="A78" s="14" t="s">
        <v>65</v>
      </c>
    </row>
    <row r="80" spans="1:15" x14ac:dyDescent="0.25">
      <c r="A80" s="19" t="s">
        <v>66</v>
      </c>
    </row>
    <row r="81" spans="1:15" x14ac:dyDescent="0.25">
      <c r="A81" s="19" t="s">
        <v>67</v>
      </c>
    </row>
    <row r="83" spans="1:15" x14ac:dyDescent="0.25">
      <c r="A83" s="14" t="s">
        <v>68</v>
      </c>
    </row>
    <row r="84" spans="1:15" x14ac:dyDescent="0.25">
      <c r="A84" s="14" t="s">
        <v>69</v>
      </c>
    </row>
    <row r="85" spans="1:15" x14ac:dyDescent="0.25">
      <c r="A85" s="14" t="s">
        <v>70</v>
      </c>
    </row>
    <row r="86" spans="1:15" x14ac:dyDescent="0.25">
      <c r="A86" s="14" t="s">
        <v>71</v>
      </c>
    </row>
    <row r="87" spans="1:15" x14ac:dyDescent="0.25">
      <c r="A87" s="14" t="s">
        <v>72</v>
      </c>
    </row>
    <row r="89" spans="1:15" x14ac:dyDescent="0.25">
      <c r="A89" s="187"/>
      <c r="B89" s="14" t="s">
        <v>73</v>
      </c>
    </row>
    <row r="90" spans="1:15" x14ac:dyDescent="0.25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</row>
    <row r="91" spans="1:15" ht="15.75" x14ac:dyDescent="0.25">
      <c r="B91" s="15" t="s">
        <v>8</v>
      </c>
      <c r="D91" s="206" t="s">
        <v>74</v>
      </c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</row>
    <row r="92" spans="1:15" ht="15.75" x14ac:dyDescent="0.25">
      <c r="B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1:15" ht="15.75" x14ac:dyDescent="0.25">
      <c r="B93" s="15" t="s">
        <v>10</v>
      </c>
      <c r="D93" s="18" t="s">
        <v>11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 ht="15.75" x14ac:dyDescent="0.25">
      <c r="B94" s="1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1:15" x14ac:dyDescent="0.25">
      <c r="B95" s="19"/>
      <c r="D95" s="20" t="s">
        <v>12</v>
      </c>
      <c r="E95" s="20"/>
      <c r="F95" s="21">
        <v>2000</v>
      </c>
      <c r="G95" s="20" t="s">
        <v>13</v>
      </c>
    </row>
    <row r="96" spans="1:15" x14ac:dyDescent="0.25">
      <c r="B96" s="19"/>
    </row>
    <row r="97" spans="2:15" x14ac:dyDescent="0.25">
      <c r="B97" s="19"/>
      <c r="D97" s="22"/>
      <c r="E97" s="22"/>
      <c r="F97" s="207" t="s">
        <v>14</v>
      </c>
      <c r="G97" s="208"/>
      <c r="H97" s="209"/>
      <c r="J97" s="207" t="s">
        <v>15</v>
      </c>
      <c r="K97" s="208"/>
      <c r="L97" s="209"/>
      <c r="N97" s="207" t="s">
        <v>16</v>
      </c>
      <c r="O97" s="209"/>
    </row>
    <row r="98" spans="2:15" x14ac:dyDescent="0.25">
      <c r="B98" s="19"/>
      <c r="D98" s="197" t="s">
        <v>17</v>
      </c>
      <c r="E98" s="23"/>
      <c r="F98" s="24" t="s">
        <v>18</v>
      </c>
      <c r="G98" s="24" t="s">
        <v>19</v>
      </c>
      <c r="H98" s="25" t="s">
        <v>20</v>
      </c>
      <c r="J98" s="24" t="s">
        <v>18</v>
      </c>
      <c r="K98" s="26" t="s">
        <v>19</v>
      </c>
      <c r="L98" s="25" t="s">
        <v>20</v>
      </c>
      <c r="N98" s="199" t="s">
        <v>21</v>
      </c>
      <c r="O98" s="201" t="s">
        <v>22</v>
      </c>
    </row>
    <row r="99" spans="2:15" x14ac:dyDescent="0.25">
      <c r="B99" s="19"/>
      <c r="D99" s="198"/>
      <c r="E99" s="23"/>
      <c r="F99" s="27" t="s">
        <v>23</v>
      </c>
      <c r="G99" s="27"/>
      <c r="H99" s="28" t="s">
        <v>23</v>
      </c>
      <c r="J99" s="27" t="s">
        <v>23</v>
      </c>
      <c r="K99" s="28"/>
      <c r="L99" s="28" t="s">
        <v>23</v>
      </c>
      <c r="N99" s="200"/>
      <c r="O99" s="202"/>
    </row>
    <row r="100" spans="2:15" x14ac:dyDescent="0.25">
      <c r="B100" s="29" t="s">
        <v>24</v>
      </c>
      <c r="C100" s="29"/>
      <c r="D100" s="30" t="s">
        <v>25</v>
      </c>
      <c r="E100" s="31"/>
      <c r="F100" s="32">
        <v>45.97</v>
      </c>
      <c r="G100" s="33">
        <v>1</v>
      </c>
      <c r="H100" s="34">
        <f>G100*F100</f>
        <v>45.97</v>
      </c>
      <c r="I100" s="35"/>
      <c r="J100" s="36">
        <f>ROUND('[2]Rates By Rate Class'!$D$7,2)</f>
        <v>37.159999999999997</v>
      </c>
      <c r="K100" s="37">
        <v>1</v>
      </c>
      <c r="L100" s="34">
        <f>K100*J100</f>
        <v>37.159999999999997</v>
      </c>
      <c r="M100" s="35"/>
      <c r="N100" s="38">
        <f>L100-H100</f>
        <v>-8.8100000000000023</v>
      </c>
      <c r="O100" s="39">
        <f>IF((H100)=0,"",(N100/H100))</f>
        <v>-0.19164672612573422</v>
      </c>
    </row>
    <row r="101" spans="2:15" x14ac:dyDescent="0.25">
      <c r="B101" s="29" t="s">
        <v>26</v>
      </c>
      <c r="C101" s="29"/>
      <c r="D101" s="30"/>
      <c r="E101" s="31"/>
      <c r="F101" s="32"/>
      <c r="G101" s="33">
        <v>1</v>
      </c>
      <c r="H101" s="34">
        <f t="shared" ref="H101:H115" si="21">G101*F101</f>
        <v>0</v>
      </c>
      <c r="I101" s="35"/>
      <c r="J101" s="36"/>
      <c r="K101" s="37">
        <v>1</v>
      </c>
      <c r="L101" s="34">
        <f>K101*J101</f>
        <v>0</v>
      </c>
      <c r="M101" s="35"/>
      <c r="N101" s="38">
        <f>L101-H101</f>
        <v>0</v>
      </c>
      <c r="O101" s="39" t="str">
        <f>IF((H101)=0,"",(N101/H101))</f>
        <v/>
      </c>
    </row>
    <row r="102" spans="2:15" x14ac:dyDescent="0.25">
      <c r="B102" s="40" t="s">
        <v>27</v>
      </c>
      <c r="C102" s="29"/>
      <c r="D102" s="30" t="s">
        <v>25</v>
      </c>
      <c r="E102" s="31"/>
      <c r="F102" s="32">
        <v>3.15</v>
      </c>
      <c r="G102" s="33">
        <v>1</v>
      </c>
      <c r="H102" s="34">
        <f t="shared" si="21"/>
        <v>3.15</v>
      </c>
      <c r="I102" s="35"/>
      <c r="J102" s="36">
        <v>0</v>
      </c>
      <c r="K102" s="37">
        <v>1</v>
      </c>
      <c r="L102" s="34">
        <f t="shared" ref="L102:L115" si="22">K102*J102</f>
        <v>0</v>
      </c>
      <c r="M102" s="35"/>
      <c r="N102" s="38">
        <f t="shared" ref="N102:N116" si="23">L102-H102</f>
        <v>-3.15</v>
      </c>
      <c r="O102" s="39">
        <f t="shared" ref="O102:O116" si="24">IF((H102)=0,"",(N102/H102))</f>
        <v>-1</v>
      </c>
    </row>
    <row r="103" spans="2:15" x14ac:dyDescent="0.25">
      <c r="B103" s="40" t="s">
        <v>28</v>
      </c>
      <c r="C103" s="29"/>
      <c r="D103" s="30" t="s">
        <v>25</v>
      </c>
      <c r="E103" s="31"/>
      <c r="F103" s="32">
        <v>4.8499999999999996</v>
      </c>
      <c r="G103" s="33">
        <v>1</v>
      </c>
      <c r="H103" s="34">
        <f t="shared" si="21"/>
        <v>4.8499999999999996</v>
      </c>
      <c r="I103" s="35"/>
      <c r="J103" s="36">
        <v>0</v>
      </c>
      <c r="K103" s="37">
        <v>1</v>
      </c>
      <c r="L103" s="34">
        <f t="shared" si="22"/>
        <v>0</v>
      </c>
      <c r="M103" s="35"/>
      <c r="N103" s="38">
        <f t="shared" si="23"/>
        <v>-4.8499999999999996</v>
      </c>
      <c r="O103" s="39">
        <f t="shared" si="24"/>
        <v>-1</v>
      </c>
    </row>
    <row r="104" spans="2:15" x14ac:dyDescent="0.25">
      <c r="B104" s="41" t="s">
        <v>29</v>
      </c>
      <c r="C104" s="29"/>
      <c r="D104" s="30" t="s">
        <v>25</v>
      </c>
      <c r="E104" s="31"/>
      <c r="F104" s="32">
        <v>0</v>
      </c>
      <c r="G104" s="33">
        <v>1</v>
      </c>
      <c r="H104" s="34">
        <f t="shared" si="21"/>
        <v>0</v>
      </c>
      <c r="I104" s="35"/>
      <c r="J104" s="36">
        <f>ROUND([3]Sheet1!$N$49,2)</f>
        <v>1.06</v>
      </c>
      <c r="K104" s="37">
        <v>1</v>
      </c>
      <c r="L104" s="34">
        <f t="shared" si="22"/>
        <v>1.06</v>
      </c>
      <c r="M104" s="35"/>
      <c r="N104" s="38">
        <f t="shared" si="23"/>
        <v>1.06</v>
      </c>
      <c r="O104" s="39" t="str">
        <f t="shared" si="24"/>
        <v/>
      </c>
    </row>
    <row r="105" spans="2:15" hidden="1" x14ac:dyDescent="0.25">
      <c r="B105" s="41"/>
      <c r="C105" s="29"/>
      <c r="D105" s="30"/>
      <c r="E105" s="31"/>
      <c r="F105" s="32"/>
      <c r="G105" s="33">
        <v>1</v>
      </c>
      <c r="H105" s="34">
        <f t="shared" si="21"/>
        <v>0</v>
      </c>
      <c r="I105" s="35"/>
      <c r="J105" s="36"/>
      <c r="K105" s="37">
        <v>1</v>
      </c>
      <c r="L105" s="34">
        <f t="shared" si="22"/>
        <v>0</v>
      </c>
      <c r="M105" s="35"/>
      <c r="N105" s="38">
        <f t="shared" si="23"/>
        <v>0</v>
      </c>
      <c r="O105" s="39" t="str">
        <f t="shared" si="24"/>
        <v/>
      </c>
    </row>
    <row r="106" spans="2:15" x14ac:dyDescent="0.25">
      <c r="B106" s="29" t="s">
        <v>30</v>
      </c>
      <c r="C106" s="29"/>
      <c r="D106" s="30" t="s">
        <v>31</v>
      </c>
      <c r="E106" s="31"/>
      <c r="F106" s="32">
        <v>1.38E-2</v>
      </c>
      <c r="G106" s="33">
        <f>$F$95</f>
        <v>2000</v>
      </c>
      <c r="H106" s="34">
        <f t="shared" si="21"/>
        <v>27.599999999999998</v>
      </c>
      <c r="I106" s="35"/>
      <c r="J106" s="36">
        <f>ROUND('[2]Rates By Rate Class'!$E$7,4)</f>
        <v>1.12E-2</v>
      </c>
      <c r="K106" s="33">
        <f>$F$95</f>
        <v>2000</v>
      </c>
      <c r="L106" s="34">
        <f t="shared" si="22"/>
        <v>22.4</v>
      </c>
      <c r="M106" s="35"/>
      <c r="N106" s="38">
        <f t="shared" si="23"/>
        <v>-5.1999999999999993</v>
      </c>
      <c r="O106" s="39">
        <f t="shared" si="24"/>
        <v>-0.18840579710144925</v>
      </c>
    </row>
    <row r="107" spans="2:15" hidden="1" x14ac:dyDescent="0.25">
      <c r="B107" s="29" t="s">
        <v>32</v>
      </c>
      <c r="C107" s="29"/>
      <c r="D107" s="30"/>
      <c r="E107" s="31"/>
      <c r="F107" s="32"/>
      <c r="G107" s="33">
        <f t="shared" ref="G107:G121" si="25">$F$95</f>
        <v>2000</v>
      </c>
      <c r="H107" s="34">
        <f t="shared" si="21"/>
        <v>0</v>
      </c>
      <c r="I107" s="35"/>
      <c r="J107" s="36"/>
      <c r="K107" s="33">
        <f t="shared" ref="K107:K121" si="26">$F$95</f>
        <v>2000</v>
      </c>
      <c r="L107" s="34">
        <f t="shared" si="22"/>
        <v>0</v>
      </c>
      <c r="M107" s="35"/>
      <c r="N107" s="38">
        <f t="shared" si="23"/>
        <v>0</v>
      </c>
      <c r="O107" s="39" t="str">
        <f t="shared" si="24"/>
        <v/>
      </c>
    </row>
    <row r="108" spans="2:15" hidden="1" x14ac:dyDescent="0.25">
      <c r="B108" s="29" t="s">
        <v>33</v>
      </c>
      <c r="C108" s="29"/>
      <c r="D108" s="30"/>
      <c r="E108" s="31"/>
      <c r="F108" s="32"/>
      <c r="G108" s="33">
        <f t="shared" si="25"/>
        <v>2000</v>
      </c>
      <c r="H108" s="34">
        <f t="shared" si="21"/>
        <v>0</v>
      </c>
      <c r="I108" s="35"/>
      <c r="J108" s="36"/>
      <c r="K108" s="33">
        <f t="shared" si="26"/>
        <v>2000</v>
      </c>
      <c r="L108" s="34">
        <f t="shared" si="22"/>
        <v>0</v>
      </c>
      <c r="M108" s="35"/>
      <c r="N108" s="38">
        <f t="shared" si="23"/>
        <v>0</v>
      </c>
      <c r="O108" s="39" t="str">
        <f t="shared" si="24"/>
        <v/>
      </c>
    </row>
    <row r="109" spans="2:15" hidden="1" x14ac:dyDescent="0.25">
      <c r="B109" s="42"/>
      <c r="C109" s="29"/>
      <c r="D109" s="30"/>
      <c r="E109" s="31"/>
      <c r="F109" s="32"/>
      <c r="G109" s="33">
        <f t="shared" si="25"/>
        <v>2000</v>
      </c>
      <c r="H109" s="34">
        <f t="shared" si="21"/>
        <v>0</v>
      </c>
      <c r="I109" s="35"/>
      <c r="J109" s="36"/>
      <c r="K109" s="33">
        <f t="shared" si="26"/>
        <v>2000</v>
      </c>
      <c r="L109" s="34">
        <f t="shared" si="22"/>
        <v>0</v>
      </c>
      <c r="M109" s="35"/>
      <c r="N109" s="38">
        <f t="shared" si="23"/>
        <v>0</v>
      </c>
      <c r="O109" s="39" t="str">
        <f t="shared" si="24"/>
        <v/>
      </c>
    </row>
    <row r="110" spans="2:15" hidden="1" x14ac:dyDescent="0.25">
      <c r="B110" s="42"/>
      <c r="C110" s="29"/>
      <c r="D110" s="30"/>
      <c r="E110" s="31"/>
      <c r="F110" s="32"/>
      <c r="G110" s="33">
        <f t="shared" si="25"/>
        <v>2000</v>
      </c>
      <c r="H110" s="34">
        <f t="shared" si="21"/>
        <v>0</v>
      </c>
      <c r="I110" s="35"/>
      <c r="J110" s="36"/>
      <c r="K110" s="33">
        <f t="shared" si="26"/>
        <v>2000</v>
      </c>
      <c r="L110" s="34">
        <f t="shared" si="22"/>
        <v>0</v>
      </c>
      <c r="M110" s="35"/>
      <c r="N110" s="38">
        <f t="shared" si="23"/>
        <v>0</v>
      </c>
      <c r="O110" s="39" t="str">
        <f t="shared" si="24"/>
        <v/>
      </c>
    </row>
    <row r="111" spans="2:15" hidden="1" x14ac:dyDescent="0.25">
      <c r="B111" s="42"/>
      <c r="C111" s="29"/>
      <c r="D111" s="30"/>
      <c r="E111" s="31"/>
      <c r="F111" s="32"/>
      <c r="G111" s="33">
        <f t="shared" si="25"/>
        <v>2000</v>
      </c>
      <c r="H111" s="34">
        <f t="shared" si="21"/>
        <v>0</v>
      </c>
      <c r="I111" s="35"/>
      <c r="J111" s="36"/>
      <c r="K111" s="33">
        <f t="shared" si="26"/>
        <v>2000</v>
      </c>
      <c r="L111" s="34">
        <f t="shared" si="22"/>
        <v>0</v>
      </c>
      <c r="M111" s="35"/>
      <c r="N111" s="38">
        <f t="shared" si="23"/>
        <v>0</v>
      </c>
      <c r="O111" s="39" t="str">
        <f t="shared" si="24"/>
        <v/>
      </c>
    </row>
    <row r="112" spans="2:15" hidden="1" x14ac:dyDescent="0.25">
      <c r="B112" s="42"/>
      <c r="C112" s="29"/>
      <c r="D112" s="30"/>
      <c r="E112" s="31"/>
      <c r="F112" s="32"/>
      <c r="G112" s="33">
        <f t="shared" si="25"/>
        <v>2000</v>
      </c>
      <c r="H112" s="34">
        <f t="shared" si="21"/>
        <v>0</v>
      </c>
      <c r="I112" s="35"/>
      <c r="J112" s="36"/>
      <c r="K112" s="33">
        <f t="shared" si="26"/>
        <v>2000</v>
      </c>
      <c r="L112" s="34">
        <f t="shared" si="22"/>
        <v>0</v>
      </c>
      <c r="M112" s="35"/>
      <c r="N112" s="38">
        <f t="shared" si="23"/>
        <v>0</v>
      </c>
      <c r="O112" s="39" t="str">
        <f t="shared" si="24"/>
        <v/>
      </c>
    </row>
    <row r="113" spans="1:15" hidden="1" x14ac:dyDescent="0.25">
      <c r="B113" s="42"/>
      <c r="C113" s="29"/>
      <c r="D113" s="30"/>
      <c r="E113" s="31"/>
      <c r="F113" s="32"/>
      <c r="G113" s="33">
        <f t="shared" si="25"/>
        <v>2000</v>
      </c>
      <c r="H113" s="34">
        <f t="shared" si="21"/>
        <v>0</v>
      </c>
      <c r="I113" s="35"/>
      <c r="J113" s="36"/>
      <c r="K113" s="33">
        <f t="shared" si="26"/>
        <v>2000</v>
      </c>
      <c r="L113" s="34">
        <f t="shared" si="22"/>
        <v>0</v>
      </c>
      <c r="M113" s="35"/>
      <c r="N113" s="38">
        <f t="shared" si="23"/>
        <v>0</v>
      </c>
      <c r="O113" s="39" t="str">
        <f t="shared" si="24"/>
        <v/>
      </c>
    </row>
    <row r="114" spans="1:15" hidden="1" x14ac:dyDescent="0.25">
      <c r="B114" s="42"/>
      <c r="C114" s="29"/>
      <c r="D114" s="30"/>
      <c r="E114" s="31"/>
      <c r="F114" s="32"/>
      <c r="G114" s="33">
        <f t="shared" si="25"/>
        <v>2000</v>
      </c>
      <c r="H114" s="34">
        <f t="shared" si="21"/>
        <v>0</v>
      </c>
      <c r="I114" s="35"/>
      <c r="J114" s="36"/>
      <c r="K114" s="33">
        <f t="shared" si="26"/>
        <v>2000</v>
      </c>
      <c r="L114" s="34">
        <f t="shared" si="22"/>
        <v>0</v>
      </c>
      <c r="M114" s="35"/>
      <c r="N114" s="38">
        <f t="shared" si="23"/>
        <v>0</v>
      </c>
      <c r="O114" s="39" t="str">
        <f t="shared" si="24"/>
        <v/>
      </c>
    </row>
    <row r="115" spans="1:15" hidden="1" x14ac:dyDescent="0.25">
      <c r="B115" s="42"/>
      <c r="C115" s="29"/>
      <c r="D115" s="30"/>
      <c r="E115" s="31"/>
      <c r="F115" s="32"/>
      <c r="G115" s="33">
        <f t="shared" si="25"/>
        <v>2000</v>
      </c>
      <c r="H115" s="34">
        <f t="shared" si="21"/>
        <v>0</v>
      </c>
      <c r="I115" s="35"/>
      <c r="J115" s="36"/>
      <c r="K115" s="33">
        <f t="shared" si="26"/>
        <v>2000</v>
      </c>
      <c r="L115" s="34">
        <f t="shared" si="22"/>
        <v>0</v>
      </c>
      <c r="M115" s="35"/>
      <c r="N115" s="38">
        <f t="shared" si="23"/>
        <v>0</v>
      </c>
      <c r="O115" s="39" t="str">
        <f t="shared" si="24"/>
        <v/>
      </c>
    </row>
    <row r="116" spans="1:15" x14ac:dyDescent="0.25">
      <c r="A116" s="54"/>
      <c r="B116" s="43" t="s">
        <v>34</v>
      </c>
      <c r="C116" s="44"/>
      <c r="D116" s="45"/>
      <c r="E116" s="44"/>
      <c r="F116" s="46"/>
      <c r="G116" s="47"/>
      <c r="H116" s="48">
        <f>SUM(H100:H115)</f>
        <v>81.569999999999993</v>
      </c>
      <c r="I116" s="49"/>
      <c r="J116" s="50"/>
      <c r="K116" s="51"/>
      <c r="L116" s="48">
        <f>SUM(L100:L115)</f>
        <v>60.62</v>
      </c>
      <c r="M116" s="49"/>
      <c r="N116" s="52">
        <f t="shared" si="23"/>
        <v>-20.949999999999996</v>
      </c>
      <c r="O116" s="53">
        <f t="shared" si="24"/>
        <v>-0.25683462057128842</v>
      </c>
    </row>
    <row r="117" spans="1:15" ht="25.5" x14ac:dyDescent="0.25">
      <c r="B117" s="55" t="s">
        <v>35</v>
      </c>
      <c r="C117" s="29"/>
      <c r="D117" s="30" t="s">
        <v>31</v>
      </c>
      <c r="E117" s="31"/>
      <c r="F117" s="32">
        <v>-5.9999999999999995E-4</v>
      </c>
      <c r="G117" s="33">
        <f t="shared" si="25"/>
        <v>2000</v>
      </c>
      <c r="H117" s="34">
        <f>G117*F117</f>
        <v>-1.2</v>
      </c>
      <c r="I117" s="35"/>
      <c r="J117" s="36">
        <f>ROUND('[4]6. Rate Rider Calculations'!$F$21,4)</f>
        <v>-2E-3</v>
      </c>
      <c r="K117" s="33">
        <f t="shared" si="26"/>
        <v>2000</v>
      </c>
      <c r="L117" s="34">
        <f>K117*J117</f>
        <v>-4</v>
      </c>
      <c r="M117" s="35"/>
      <c r="N117" s="38">
        <f>L117-H117</f>
        <v>-2.8</v>
      </c>
      <c r="O117" s="39">
        <f>IF((H117)=0,"",(N117/H117))</f>
        <v>2.3333333333333335</v>
      </c>
    </row>
    <row r="118" spans="1:15" x14ac:dyDescent="0.25">
      <c r="B118" s="55" t="s">
        <v>36</v>
      </c>
      <c r="C118" s="29"/>
      <c r="D118" s="30" t="s">
        <v>31</v>
      </c>
      <c r="E118" s="31"/>
      <c r="F118" s="32">
        <v>-1.1000000000000001E-3</v>
      </c>
      <c r="G118" s="33">
        <f t="shared" si="25"/>
        <v>2000</v>
      </c>
      <c r="H118" s="34">
        <f t="shared" ref="H118:H120" si="27">G118*F118</f>
        <v>-2.2000000000000002</v>
      </c>
      <c r="I118" s="56"/>
      <c r="J118" s="36">
        <v>0</v>
      </c>
      <c r="K118" s="33">
        <f t="shared" si="26"/>
        <v>2000</v>
      </c>
      <c r="L118" s="34">
        <f t="shared" ref="L118:L120" si="28">K118*J118</f>
        <v>0</v>
      </c>
      <c r="M118" s="57"/>
      <c r="N118" s="38">
        <f t="shared" ref="N118:N120" si="29">L118-H118</f>
        <v>2.2000000000000002</v>
      </c>
      <c r="O118" s="39">
        <f t="shared" ref="O118:O120" si="30">IF((H118)=0,"",(N118/H118))</f>
        <v>-1</v>
      </c>
    </row>
    <row r="119" spans="1:15" x14ac:dyDescent="0.25">
      <c r="B119" s="55" t="s">
        <v>37</v>
      </c>
      <c r="C119" s="29"/>
      <c r="D119" s="30" t="s">
        <v>31</v>
      </c>
      <c r="E119" s="31"/>
      <c r="F119" s="32">
        <v>-5.0000000000000001E-4</v>
      </c>
      <c r="G119" s="33">
        <f t="shared" si="25"/>
        <v>2000</v>
      </c>
      <c r="H119" s="34">
        <f t="shared" si="27"/>
        <v>-1</v>
      </c>
      <c r="I119" s="56"/>
      <c r="J119" s="36">
        <v>0</v>
      </c>
      <c r="K119" s="33">
        <f t="shared" si="26"/>
        <v>2000</v>
      </c>
      <c r="L119" s="34">
        <f t="shared" si="28"/>
        <v>0</v>
      </c>
      <c r="M119" s="57"/>
      <c r="N119" s="38">
        <f t="shared" si="29"/>
        <v>1</v>
      </c>
      <c r="O119" s="39">
        <f t="shared" si="30"/>
        <v>-1</v>
      </c>
    </row>
    <row r="120" spans="1:15" x14ac:dyDescent="0.25">
      <c r="B120" s="55" t="s">
        <v>38</v>
      </c>
      <c r="C120" s="29"/>
      <c r="D120" s="30" t="s">
        <v>31</v>
      </c>
      <c r="E120" s="31"/>
      <c r="F120" s="32">
        <v>0</v>
      </c>
      <c r="G120" s="33">
        <f t="shared" si="25"/>
        <v>2000</v>
      </c>
      <c r="H120" s="34">
        <f t="shared" si="27"/>
        <v>0</v>
      </c>
      <c r="I120" s="56"/>
      <c r="J120" s="36">
        <f>ROUND('[4]6. Rate Rider Calculations'!$F$76,4)</f>
        <v>-1E-3</v>
      </c>
      <c r="K120" s="33">
        <f t="shared" si="26"/>
        <v>2000</v>
      </c>
      <c r="L120" s="34">
        <f t="shared" si="28"/>
        <v>-2</v>
      </c>
      <c r="M120" s="57"/>
      <c r="N120" s="38">
        <f t="shared" si="29"/>
        <v>-2</v>
      </c>
      <c r="O120" s="39" t="str">
        <f t="shared" si="30"/>
        <v/>
      </c>
    </row>
    <row r="121" spans="1:15" hidden="1" x14ac:dyDescent="0.25">
      <c r="B121" s="59" t="s">
        <v>39</v>
      </c>
      <c r="C121" s="29"/>
      <c r="D121" s="30"/>
      <c r="E121" s="31"/>
      <c r="F121" s="32"/>
      <c r="G121" s="33">
        <f t="shared" si="25"/>
        <v>2000</v>
      </c>
      <c r="H121" s="34">
        <f>G121*F121</f>
        <v>0</v>
      </c>
      <c r="I121" s="35"/>
      <c r="J121" s="36"/>
      <c r="K121" s="33">
        <f t="shared" si="26"/>
        <v>2000</v>
      </c>
      <c r="L121" s="34">
        <f>K121*J121</f>
        <v>0</v>
      </c>
      <c r="M121" s="35"/>
      <c r="N121" s="38">
        <f>L121-H121</f>
        <v>0</v>
      </c>
      <c r="O121" s="39" t="str">
        <f>IF((H121)=0,"",(N121/H121))</f>
        <v/>
      </c>
    </row>
    <row r="122" spans="1:15" x14ac:dyDescent="0.25">
      <c r="B122" s="59" t="s">
        <v>40</v>
      </c>
      <c r="C122" s="29"/>
      <c r="D122" s="30"/>
      <c r="E122" s="31"/>
      <c r="F122" s="60">
        <f>IF(ISBLANK(D93)=TRUE, 0, IF(D93="TOU", 0.64*$F$54+0.18*$F$55+0.18*$F$56, IF(AND(D93="non-TOU", G136&gt;0), F136,F135)))</f>
        <v>8.8919999999999999E-2</v>
      </c>
      <c r="G122" s="189">
        <f>$F$95*(1+$F$73)-$F$95</f>
        <v>92.599999999999909</v>
      </c>
      <c r="H122" s="34">
        <f t="shared" ref="H122" si="31">G122*F122</f>
        <v>8.2339919999999918</v>
      </c>
      <c r="I122" s="35"/>
      <c r="J122" s="62">
        <f>0.64*$F$54+0.18*$F$55+0.18*$F$56</f>
        <v>8.8919999999999999E-2</v>
      </c>
      <c r="K122" s="189">
        <f>$F$95*(1+$J$73)-$F$95</f>
        <v>75.800000000000182</v>
      </c>
      <c r="L122" s="34">
        <f t="shared" ref="L122" si="32">K122*J122</f>
        <v>6.7401360000000157</v>
      </c>
      <c r="M122" s="35"/>
      <c r="N122" s="38">
        <f t="shared" ref="N122" si="33">L122-H122</f>
        <v>-1.4938559999999761</v>
      </c>
      <c r="O122" s="39">
        <f t="shared" ref="O122" si="34">IF((H122)=0,"",(N122/H122))</f>
        <v>-0.18142548596112038</v>
      </c>
    </row>
    <row r="123" spans="1:15" x14ac:dyDescent="0.25">
      <c r="B123" s="59" t="s">
        <v>41</v>
      </c>
      <c r="C123" s="29"/>
      <c r="D123" s="30" t="s">
        <v>25</v>
      </c>
      <c r="E123" s="31"/>
      <c r="F123" s="60">
        <v>0.79</v>
      </c>
      <c r="G123" s="33">
        <v>1</v>
      </c>
      <c r="H123" s="34">
        <f>G123*F123</f>
        <v>0.79</v>
      </c>
      <c r="I123" s="35"/>
      <c r="J123" s="60">
        <v>0.79</v>
      </c>
      <c r="K123" s="33">
        <v>1</v>
      </c>
      <c r="L123" s="34">
        <f>K123*J123</f>
        <v>0.79</v>
      </c>
      <c r="M123" s="35"/>
      <c r="N123" s="38">
        <f>L123-H123</f>
        <v>0</v>
      </c>
      <c r="O123" s="39"/>
    </row>
    <row r="124" spans="1:15" ht="25.5" x14ac:dyDescent="0.25">
      <c r="B124" s="63" t="s">
        <v>42</v>
      </c>
      <c r="C124" s="64"/>
      <c r="D124" s="64"/>
      <c r="E124" s="64"/>
      <c r="F124" s="65"/>
      <c r="G124" s="66"/>
      <c r="H124" s="67">
        <f>SUM(H117:H123)+H116</f>
        <v>86.19399199999998</v>
      </c>
      <c r="I124" s="49"/>
      <c r="J124" s="66"/>
      <c r="K124" s="68"/>
      <c r="L124" s="67">
        <f>SUM(L117:L123)+L116</f>
        <v>62.15013600000001</v>
      </c>
      <c r="M124" s="49"/>
      <c r="N124" s="52">
        <f t="shared" ref="N124:N136" si="35">L124-H124</f>
        <v>-24.04385599999997</v>
      </c>
      <c r="O124" s="53">
        <f t="shared" ref="O124:O136" si="36">IF((H124)=0,"",(N124/H124))</f>
        <v>-0.2789504864793822</v>
      </c>
    </row>
    <row r="125" spans="1:15" x14ac:dyDescent="0.25">
      <c r="B125" s="35" t="s">
        <v>43</v>
      </c>
      <c r="C125" s="35"/>
      <c r="D125" s="69" t="s">
        <v>31</v>
      </c>
      <c r="E125" s="70"/>
      <c r="F125" s="36">
        <v>6.4000000000000003E-3</v>
      </c>
      <c r="G125" s="71">
        <f>F95*(1+F151)</f>
        <v>2092.6</v>
      </c>
      <c r="H125" s="34">
        <f>G125*F125</f>
        <v>13.39264</v>
      </c>
      <c r="I125" s="35"/>
      <c r="J125" s="36">
        <v>6.6E-3</v>
      </c>
      <c r="K125" s="72">
        <f>F95*(1+J151)</f>
        <v>2075.8000000000002</v>
      </c>
      <c r="L125" s="34">
        <f>K125*J125</f>
        <v>13.700280000000001</v>
      </c>
      <c r="M125" s="35"/>
      <c r="N125" s="38">
        <f t="shared" si="35"/>
        <v>0.30764000000000102</v>
      </c>
      <c r="O125" s="39">
        <f t="shared" si="36"/>
        <v>2.2970825766988511E-2</v>
      </c>
    </row>
    <row r="126" spans="1:15" ht="30" x14ac:dyDescent="0.25">
      <c r="B126" s="73" t="s">
        <v>44</v>
      </c>
      <c r="C126" s="35"/>
      <c r="D126" s="69" t="s">
        <v>31</v>
      </c>
      <c r="E126" s="70"/>
      <c r="F126" s="36">
        <v>1.1999999999999999E-3</v>
      </c>
      <c r="G126" s="71">
        <f>G125</f>
        <v>2092.6</v>
      </c>
      <c r="H126" s="34">
        <f>G126*F126</f>
        <v>2.5111199999999996</v>
      </c>
      <c r="I126" s="35"/>
      <c r="J126" s="36">
        <v>1.2999999999999999E-3</v>
      </c>
      <c r="K126" s="72">
        <f>K125</f>
        <v>2075.8000000000002</v>
      </c>
      <c r="L126" s="34">
        <f>K126*J126</f>
        <v>2.6985399999999999</v>
      </c>
      <c r="M126" s="35"/>
      <c r="N126" s="38">
        <f t="shared" si="35"/>
        <v>0.18742000000000036</v>
      </c>
      <c r="O126" s="39">
        <f t="shared" si="36"/>
        <v>7.4636018987543559E-2</v>
      </c>
    </row>
    <row r="127" spans="1:15" ht="25.5" x14ac:dyDescent="0.25">
      <c r="B127" s="63" t="s">
        <v>45</v>
      </c>
      <c r="C127" s="44"/>
      <c r="D127" s="44"/>
      <c r="E127" s="44"/>
      <c r="F127" s="74"/>
      <c r="G127" s="66"/>
      <c r="H127" s="67">
        <f>SUM(H124:H126)</f>
        <v>102.09775199999999</v>
      </c>
      <c r="I127" s="75"/>
      <c r="J127" s="76"/>
      <c r="K127" s="77"/>
      <c r="L127" s="67">
        <f>SUM(L124:L126)</f>
        <v>78.548956000000004</v>
      </c>
      <c r="M127" s="75"/>
      <c r="N127" s="52">
        <f t="shared" si="35"/>
        <v>-23.548795999999982</v>
      </c>
      <c r="O127" s="53">
        <f t="shared" si="36"/>
        <v>-0.23064950538773846</v>
      </c>
    </row>
    <row r="128" spans="1:15" ht="30" x14ac:dyDescent="0.25">
      <c r="B128" s="78" t="s">
        <v>46</v>
      </c>
      <c r="C128" s="29"/>
      <c r="D128" s="30" t="s">
        <v>31</v>
      </c>
      <c r="E128" s="31"/>
      <c r="F128" s="79">
        <v>4.4000000000000003E-3</v>
      </c>
      <c r="G128" s="71">
        <f>G126</f>
        <v>2092.6</v>
      </c>
      <c r="H128" s="80">
        <f t="shared" ref="H128:H134" si="37">G128*F128</f>
        <v>9.2074400000000001</v>
      </c>
      <c r="I128" s="35"/>
      <c r="J128" s="81">
        <f>F128</f>
        <v>4.4000000000000003E-3</v>
      </c>
      <c r="K128" s="72">
        <f>K126</f>
        <v>2075.8000000000002</v>
      </c>
      <c r="L128" s="80">
        <f t="shared" ref="L128:L134" si="38">K128*J128</f>
        <v>9.1335200000000007</v>
      </c>
      <c r="M128" s="35"/>
      <c r="N128" s="38">
        <f t="shared" si="35"/>
        <v>-7.391999999999932E-2</v>
      </c>
      <c r="O128" s="82">
        <f t="shared" si="36"/>
        <v>-8.0282901653444729E-3</v>
      </c>
    </row>
    <row r="129" spans="1:15" ht="30" x14ac:dyDescent="0.25">
      <c r="B129" s="78" t="s">
        <v>47</v>
      </c>
      <c r="C129" s="29"/>
      <c r="D129" s="30" t="s">
        <v>31</v>
      </c>
      <c r="E129" s="31"/>
      <c r="F129" s="79">
        <v>1.1999999999999999E-3</v>
      </c>
      <c r="G129" s="71">
        <f>G126</f>
        <v>2092.6</v>
      </c>
      <c r="H129" s="80">
        <f t="shared" si="37"/>
        <v>2.5111199999999996</v>
      </c>
      <c r="I129" s="35"/>
      <c r="J129" s="81">
        <f>F129</f>
        <v>1.1999999999999999E-3</v>
      </c>
      <c r="K129" s="72">
        <f>K126</f>
        <v>2075.8000000000002</v>
      </c>
      <c r="L129" s="80">
        <f t="shared" si="38"/>
        <v>2.4909599999999998</v>
      </c>
      <c r="M129" s="35"/>
      <c r="N129" s="38">
        <f t="shared" si="35"/>
        <v>-2.0159999999999734E-2</v>
      </c>
      <c r="O129" s="82">
        <f t="shared" si="36"/>
        <v>-8.0282901653444434E-3</v>
      </c>
    </row>
    <row r="130" spans="1:15" x14ac:dyDescent="0.25">
      <c r="B130" s="29" t="s">
        <v>48</v>
      </c>
      <c r="C130" s="29"/>
      <c r="D130" s="30" t="s">
        <v>25</v>
      </c>
      <c r="E130" s="31"/>
      <c r="F130" s="79">
        <v>0.25</v>
      </c>
      <c r="G130" s="33">
        <v>1</v>
      </c>
      <c r="H130" s="80">
        <f t="shared" si="37"/>
        <v>0.25</v>
      </c>
      <c r="I130" s="35"/>
      <c r="J130" s="81">
        <v>0.25</v>
      </c>
      <c r="K130" s="37">
        <v>1</v>
      </c>
      <c r="L130" s="80">
        <f t="shared" si="38"/>
        <v>0.25</v>
      </c>
      <c r="M130" s="35"/>
      <c r="N130" s="38">
        <f t="shared" si="35"/>
        <v>0</v>
      </c>
      <c r="O130" s="82">
        <f t="shared" si="36"/>
        <v>0</v>
      </c>
    </row>
    <row r="131" spans="1:15" x14ac:dyDescent="0.25">
      <c r="B131" s="29" t="s">
        <v>49</v>
      </c>
      <c r="C131" s="29"/>
      <c r="D131" s="30" t="s">
        <v>31</v>
      </c>
      <c r="E131" s="31"/>
      <c r="F131" s="79">
        <v>7.0000000000000001E-3</v>
      </c>
      <c r="G131" s="83">
        <f>F95</f>
        <v>2000</v>
      </c>
      <c r="H131" s="80">
        <f t="shared" si="37"/>
        <v>14</v>
      </c>
      <c r="I131" s="35"/>
      <c r="J131" s="81">
        <f>F131</f>
        <v>7.0000000000000001E-3</v>
      </c>
      <c r="K131" s="84">
        <f>F95</f>
        <v>2000</v>
      </c>
      <c r="L131" s="80">
        <f t="shared" si="38"/>
        <v>14</v>
      </c>
      <c r="M131" s="35"/>
      <c r="N131" s="38">
        <f t="shared" si="35"/>
        <v>0</v>
      </c>
      <c r="O131" s="82">
        <f t="shared" si="36"/>
        <v>0</v>
      </c>
    </row>
    <row r="132" spans="1:15" x14ac:dyDescent="0.25">
      <c r="B132" s="59" t="s">
        <v>50</v>
      </c>
      <c r="C132" s="29"/>
      <c r="D132" s="30" t="s">
        <v>31</v>
      </c>
      <c r="E132" s="31"/>
      <c r="F132" s="85">
        <v>7.1999999999999995E-2</v>
      </c>
      <c r="G132" s="86">
        <f>0.64*$F$95</f>
        <v>1280</v>
      </c>
      <c r="H132" s="80">
        <f t="shared" si="37"/>
        <v>92.16</v>
      </c>
      <c r="I132" s="35"/>
      <c r="J132" s="79">
        <v>7.1999999999999995E-2</v>
      </c>
      <c r="K132" s="86">
        <f>G132</f>
        <v>1280</v>
      </c>
      <c r="L132" s="80">
        <f t="shared" si="38"/>
        <v>92.16</v>
      </c>
      <c r="M132" s="35"/>
      <c r="N132" s="38">
        <f t="shared" si="35"/>
        <v>0</v>
      </c>
      <c r="O132" s="82">
        <f t="shared" si="36"/>
        <v>0</v>
      </c>
    </row>
    <row r="133" spans="1:15" x14ac:dyDescent="0.25">
      <c r="B133" s="59" t="s">
        <v>51</v>
      </c>
      <c r="C133" s="29"/>
      <c r="D133" s="30" t="s">
        <v>31</v>
      </c>
      <c r="E133" s="31"/>
      <c r="F133" s="85">
        <v>0.109</v>
      </c>
      <c r="G133" s="86">
        <f>0.18*$F$95</f>
        <v>360</v>
      </c>
      <c r="H133" s="80">
        <f t="shared" si="37"/>
        <v>39.24</v>
      </c>
      <c r="I133" s="35"/>
      <c r="J133" s="79">
        <v>0.109</v>
      </c>
      <c r="K133" s="86">
        <f>G133</f>
        <v>360</v>
      </c>
      <c r="L133" s="80">
        <f t="shared" si="38"/>
        <v>39.24</v>
      </c>
      <c r="M133" s="35"/>
      <c r="N133" s="38">
        <f t="shared" si="35"/>
        <v>0</v>
      </c>
      <c r="O133" s="82">
        <f t="shared" si="36"/>
        <v>0</v>
      </c>
    </row>
    <row r="134" spans="1:15" x14ac:dyDescent="0.25">
      <c r="B134" s="19" t="s">
        <v>52</v>
      </c>
      <c r="C134" s="29"/>
      <c r="D134" s="30" t="s">
        <v>31</v>
      </c>
      <c r="E134" s="31"/>
      <c r="F134" s="85">
        <v>0.129</v>
      </c>
      <c r="G134" s="86">
        <f>0.18*$F$95</f>
        <v>360</v>
      </c>
      <c r="H134" s="80">
        <f t="shared" si="37"/>
        <v>46.44</v>
      </c>
      <c r="I134" s="35"/>
      <c r="J134" s="79">
        <v>0.129</v>
      </c>
      <c r="K134" s="86">
        <f>G134</f>
        <v>360</v>
      </c>
      <c r="L134" s="80">
        <f t="shared" si="38"/>
        <v>46.44</v>
      </c>
      <c r="M134" s="35"/>
      <c r="N134" s="38">
        <f t="shared" si="35"/>
        <v>0</v>
      </c>
      <c r="O134" s="82">
        <f t="shared" si="36"/>
        <v>0</v>
      </c>
    </row>
    <row r="135" spans="1:15" x14ac:dyDescent="0.25">
      <c r="A135" s="95"/>
      <c r="B135" s="88" t="s">
        <v>53</v>
      </c>
      <c r="C135" s="89"/>
      <c r="D135" s="90" t="s">
        <v>31</v>
      </c>
      <c r="E135" s="91"/>
      <c r="F135" s="85">
        <v>8.3000000000000004E-2</v>
      </c>
      <c r="G135" s="190">
        <v>750</v>
      </c>
      <c r="H135" s="80">
        <f>G135*F135</f>
        <v>62.25</v>
      </c>
      <c r="I135" s="93"/>
      <c r="J135" s="79">
        <v>8.3000000000000004E-2</v>
      </c>
      <c r="K135" s="92">
        <f>G135</f>
        <v>750</v>
      </c>
      <c r="L135" s="80">
        <f>K135*J135</f>
        <v>62.25</v>
      </c>
      <c r="M135" s="93"/>
      <c r="N135" s="94">
        <f t="shared" si="35"/>
        <v>0</v>
      </c>
      <c r="O135" s="82">
        <f t="shared" si="36"/>
        <v>0</v>
      </c>
    </row>
    <row r="136" spans="1:15" ht="15.75" thickBot="1" x14ac:dyDescent="0.3">
      <c r="A136" s="95"/>
      <c r="B136" s="88" t="s">
        <v>54</v>
      </c>
      <c r="C136" s="89"/>
      <c r="D136" s="90" t="s">
        <v>31</v>
      </c>
      <c r="E136" s="91"/>
      <c r="F136" s="85">
        <v>9.7000000000000003E-2</v>
      </c>
      <c r="G136" s="190">
        <f>F95-G135</f>
        <v>1250</v>
      </c>
      <c r="H136" s="80">
        <f>G136*F136</f>
        <v>121.25</v>
      </c>
      <c r="I136" s="93"/>
      <c r="J136" s="79">
        <v>9.7000000000000003E-2</v>
      </c>
      <c r="K136" s="92">
        <f>G136</f>
        <v>1250</v>
      </c>
      <c r="L136" s="80">
        <f>K136*J136</f>
        <v>121.25</v>
      </c>
      <c r="M136" s="93"/>
      <c r="N136" s="94">
        <f t="shared" si="35"/>
        <v>0</v>
      </c>
      <c r="O136" s="82">
        <f t="shared" si="36"/>
        <v>0</v>
      </c>
    </row>
    <row r="137" spans="1:15" ht="15.75" thickBot="1" x14ac:dyDescent="0.3">
      <c r="B137" s="96"/>
      <c r="C137" s="97"/>
      <c r="D137" s="98"/>
      <c r="E137" s="97"/>
      <c r="F137" s="99"/>
      <c r="G137" s="100"/>
      <c r="H137" s="101"/>
      <c r="I137" s="102"/>
      <c r="J137" s="99"/>
      <c r="K137" s="103"/>
      <c r="L137" s="101"/>
      <c r="M137" s="102"/>
      <c r="N137" s="104"/>
      <c r="O137" s="105"/>
    </row>
    <row r="138" spans="1:15" x14ac:dyDescent="0.25">
      <c r="B138" s="106" t="s">
        <v>55</v>
      </c>
      <c r="C138" s="29"/>
      <c r="D138" s="29"/>
      <c r="E138" s="29"/>
      <c r="F138" s="107"/>
      <c r="G138" s="108"/>
      <c r="H138" s="109">
        <f>SUM(H128:H134,H127)</f>
        <v>305.90631199999996</v>
      </c>
      <c r="I138" s="110"/>
      <c r="J138" s="111"/>
      <c r="K138" s="111"/>
      <c r="L138" s="109">
        <f>SUM(L128:L134,L127)</f>
        <v>282.26343600000001</v>
      </c>
      <c r="M138" s="112"/>
      <c r="N138" s="113">
        <f t="shared" ref="N138:N142" si="39">L138-H138</f>
        <v>-23.642875999999944</v>
      </c>
      <c r="O138" s="114">
        <f t="shared" ref="O138:O142" si="40">IF((H138)=0,"",(N138/H138))</f>
        <v>-7.7287963904451723E-2</v>
      </c>
    </row>
    <row r="139" spans="1:15" x14ac:dyDescent="0.25">
      <c r="B139" s="115" t="s">
        <v>56</v>
      </c>
      <c r="C139" s="29"/>
      <c r="D139" s="29"/>
      <c r="E139" s="29"/>
      <c r="F139" s="116">
        <v>0.13</v>
      </c>
      <c r="G139" s="117"/>
      <c r="H139" s="118">
        <f>H138*F139</f>
        <v>39.767820559999997</v>
      </c>
      <c r="I139" s="119"/>
      <c r="J139" s="120">
        <v>0.13</v>
      </c>
      <c r="K139" s="119"/>
      <c r="L139" s="121">
        <f>L138*J139</f>
        <v>36.694246680000006</v>
      </c>
      <c r="M139" s="122"/>
      <c r="N139" s="123">
        <f t="shared" si="39"/>
        <v>-3.0735738799999908</v>
      </c>
      <c r="O139" s="124">
        <f t="shared" si="40"/>
        <v>-7.7287963904451668E-2</v>
      </c>
    </row>
    <row r="140" spans="1:15" x14ac:dyDescent="0.25">
      <c r="B140" s="125" t="s">
        <v>57</v>
      </c>
      <c r="C140" s="29"/>
      <c r="D140" s="29"/>
      <c r="E140" s="29"/>
      <c r="F140" s="126"/>
      <c r="G140" s="117"/>
      <c r="H140" s="118">
        <f>H138+H139</f>
        <v>345.67413255999998</v>
      </c>
      <c r="I140" s="119"/>
      <c r="J140" s="119"/>
      <c r="K140" s="119"/>
      <c r="L140" s="121">
        <f>L138+L139</f>
        <v>318.95768268</v>
      </c>
      <c r="M140" s="122"/>
      <c r="N140" s="123">
        <f t="shared" si="39"/>
        <v>-26.716449879999971</v>
      </c>
      <c r="O140" s="124">
        <f t="shared" si="40"/>
        <v>-7.728796390445182E-2</v>
      </c>
    </row>
    <row r="141" spans="1:15" x14ac:dyDescent="0.25">
      <c r="B141" s="203" t="s">
        <v>58</v>
      </c>
      <c r="C141" s="203"/>
      <c r="D141" s="203"/>
      <c r="E141" s="29"/>
      <c r="F141" s="126"/>
      <c r="G141" s="117"/>
      <c r="H141" s="127">
        <f>ROUND(-H140*10%,2)</f>
        <v>-34.57</v>
      </c>
      <c r="I141" s="119"/>
      <c r="J141" s="119"/>
      <c r="K141" s="119"/>
      <c r="L141" s="128">
        <f>ROUND(-L140*10%,2)</f>
        <v>-31.9</v>
      </c>
      <c r="M141" s="122"/>
      <c r="N141" s="129">
        <f t="shared" si="39"/>
        <v>2.6700000000000017</v>
      </c>
      <c r="O141" s="130">
        <f t="shared" si="40"/>
        <v>-7.7234596470928604E-2</v>
      </c>
    </row>
    <row r="142" spans="1:15" ht="15.75" thickBot="1" x14ac:dyDescent="0.3">
      <c r="B142" s="204" t="s">
        <v>59</v>
      </c>
      <c r="C142" s="204"/>
      <c r="D142" s="204"/>
      <c r="E142" s="131"/>
      <c r="F142" s="132"/>
      <c r="G142" s="133"/>
      <c r="H142" s="134">
        <f>H140+H141</f>
        <v>311.10413255999998</v>
      </c>
      <c r="I142" s="135"/>
      <c r="J142" s="135"/>
      <c r="K142" s="135"/>
      <c r="L142" s="136">
        <f>L140+L141</f>
        <v>287.05768268000003</v>
      </c>
      <c r="M142" s="137"/>
      <c r="N142" s="138">
        <f t="shared" si="39"/>
        <v>-24.046449879999955</v>
      </c>
      <c r="O142" s="139">
        <f t="shared" si="40"/>
        <v>-7.7293894112326914E-2</v>
      </c>
    </row>
    <row r="143" spans="1:15" ht="15.75" thickBot="1" x14ac:dyDescent="0.3">
      <c r="A143" s="95"/>
      <c r="B143" s="140"/>
      <c r="C143" s="141"/>
      <c r="D143" s="142"/>
      <c r="E143" s="141"/>
      <c r="F143" s="99"/>
      <c r="G143" s="143"/>
      <c r="H143" s="101"/>
      <c r="I143" s="144"/>
      <c r="J143" s="99"/>
      <c r="K143" s="145"/>
      <c r="L143" s="101"/>
      <c r="M143" s="144"/>
      <c r="N143" s="146"/>
      <c r="O143" s="105"/>
    </row>
    <row r="144" spans="1:15" x14ac:dyDescent="0.25">
      <c r="A144" s="95"/>
      <c r="B144" s="147" t="s">
        <v>60</v>
      </c>
      <c r="C144" s="89"/>
      <c r="D144" s="89"/>
      <c r="E144" s="89"/>
      <c r="F144" s="148"/>
      <c r="G144" s="149"/>
      <c r="H144" s="150">
        <f>SUM(H135:H136,H127,H128:H131)</f>
        <v>311.56631200000004</v>
      </c>
      <c r="I144" s="151"/>
      <c r="J144" s="152"/>
      <c r="K144" s="152"/>
      <c r="L144" s="150">
        <f>SUM(L135:L136,L127,L128:L131)</f>
        <v>287.92343599999992</v>
      </c>
      <c r="M144" s="153"/>
      <c r="N144" s="154">
        <f t="shared" ref="N144:N148" si="41">L144-H144</f>
        <v>-23.642876000000115</v>
      </c>
      <c r="O144" s="114">
        <f t="shared" ref="O144:O148" si="42">IF((H144)=0,"",(N144/H144))</f>
        <v>-7.5883929325453237E-2</v>
      </c>
    </row>
    <row r="145" spans="1:15" x14ac:dyDescent="0.25">
      <c r="A145" s="95"/>
      <c r="B145" s="155" t="s">
        <v>56</v>
      </c>
      <c r="C145" s="89"/>
      <c r="D145" s="89"/>
      <c r="E145" s="89"/>
      <c r="F145" s="156">
        <v>0.13</v>
      </c>
      <c r="G145" s="149"/>
      <c r="H145" s="157">
        <f>H144*F145</f>
        <v>40.503620560000009</v>
      </c>
      <c r="I145" s="158"/>
      <c r="J145" s="159">
        <v>0.13</v>
      </c>
      <c r="K145" s="160"/>
      <c r="L145" s="161">
        <f>L144*J145</f>
        <v>37.43004667999999</v>
      </c>
      <c r="M145" s="162"/>
      <c r="N145" s="163">
        <f t="shared" si="41"/>
        <v>-3.0735738800000192</v>
      </c>
      <c r="O145" s="124">
        <f t="shared" si="42"/>
        <v>-7.5883929325453334E-2</v>
      </c>
    </row>
    <row r="146" spans="1:15" x14ac:dyDescent="0.25">
      <c r="A146" s="95"/>
      <c r="B146" s="164" t="s">
        <v>57</v>
      </c>
      <c r="C146" s="89"/>
      <c r="D146" s="89"/>
      <c r="E146" s="89"/>
      <c r="F146" s="165"/>
      <c r="G146" s="166"/>
      <c r="H146" s="157">
        <f>H144+H145</f>
        <v>352.06993256000004</v>
      </c>
      <c r="I146" s="158"/>
      <c r="J146" s="158"/>
      <c r="K146" s="158"/>
      <c r="L146" s="161">
        <f>L144+L145</f>
        <v>325.3534826799999</v>
      </c>
      <c r="M146" s="162"/>
      <c r="N146" s="163">
        <f t="shared" si="41"/>
        <v>-26.716449880000141</v>
      </c>
      <c r="O146" s="124">
        <f t="shared" si="42"/>
        <v>-7.5883929325453264E-2</v>
      </c>
    </row>
    <row r="147" spans="1:15" x14ac:dyDescent="0.25">
      <c r="A147" s="95"/>
      <c r="B147" s="205" t="s">
        <v>58</v>
      </c>
      <c r="C147" s="205"/>
      <c r="D147" s="205"/>
      <c r="E147" s="89"/>
      <c r="F147" s="165"/>
      <c r="G147" s="166"/>
      <c r="H147" s="167">
        <f>ROUND(-H146*10%,2)</f>
        <v>-35.21</v>
      </c>
      <c r="I147" s="158"/>
      <c r="J147" s="158"/>
      <c r="K147" s="158"/>
      <c r="L147" s="168">
        <f>ROUND(-L146*10%,2)</f>
        <v>-32.54</v>
      </c>
      <c r="M147" s="162"/>
      <c r="N147" s="169">
        <f t="shared" si="41"/>
        <v>2.6700000000000017</v>
      </c>
      <c r="O147" s="130">
        <f t="shared" si="42"/>
        <v>-7.5830729906276678E-2</v>
      </c>
    </row>
    <row r="148" spans="1:15" ht="15.75" thickBot="1" x14ac:dyDescent="0.3">
      <c r="A148" s="95"/>
      <c r="B148" s="196" t="s">
        <v>61</v>
      </c>
      <c r="C148" s="196"/>
      <c r="D148" s="196"/>
      <c r="E148" s="170"/>
      <c r="F148" s="171"/>
      <c r="G148" s="172"/>
      <c r="H148" s="173">
        <f>SUM(H146:H147)</f>
        <v>316.85993256000006</v>
      </c>
      <c r="I148" s="174"/>
      <c r="J148" s="174"/>
      <c r="K148" s="174"/>
      <c r="L148" s="175">
        <f>SUM(L146:L147)</f>
        <v>292.81348267999988</v>
      </c>
      <c r="M148" s="176"/>
      <c r="N148" s="177">
        <f t="shared" si="41"/>
        <v>-24.046449880000182</v>
      </c>
      <c r="O148" s="178">
        <f t="shared" si="42"/>
        <v>-7.588984093293899E-2</v>
      </c>
    </row>
    <row r="149" spans="1:15" ht="15.75" thickBot="1" x14ac:dyDescent="0.3">
      <c r="A149" s="95"/>
      <c r="B149" s="140"/>
      <c r="C149" s="141"/>
      <c r="D149" s="142"/>
      <c r="E149" s="141"/>
      <c r="F149" s="179"/>
      <c r="G149" s="180"/>
      <c r="H149" s="181"/>
      <c r="I149" s="182"/>
      <c r="J149" s="179"/>
      <c r="K149" s="143"/>
      <c r="L149" s="183"/>
      <c r="M149" s="144"/>
      <c r="N149" s="184"/>
      <c r="O149" s="105"/>
    </row>
    <row r="150" spans="1:15" x14ac:dyDescent="0.25">
      <c r="L150" s="87"/>
    </row>
    <row r="151" spans="1:15" x14ac:dyDescent="0.25">
      <c r="B151" s="20" t="s">
        <v>62</v>
      </c>
      <c r="F151" s="185">
        <f>F73</f>
        <v>4.6300000000000001E-2</v>
      </c>
      <c r="J151" s="185">
        <f>J73</f>
        <v>3.7900000000000045E-2</v>
      </c>
    </row>
    <row r="153" spans="1:15" x14ac:dyDescent="0.25">
      <c r="A153" s="188"/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</row>
    <row r="154" spans="1:15" ht="15.75" x14ac:dyDescent="0.25">
      <c r="B154" s="15" t="s">
        <v>8</v>
      </c>
      <c r="D154" s="206" t="s">
        <v>75</v>
      </c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</row>
    <row r="155" spans="1:15" ht="15.75" x14ac:dyDescent="0.25">
      <c r="B155" s="1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 ht="15.75" x14ac:dyDescent="0.25">
      <c r="B156" s="15" t="s">
        <v>10</v>
      </c>
      <c r="D156" s="18" t="s">
        <v>76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spans="1:15" ht="15.75" x14ac:dyDescent="0.25">
      <c r="B157" s="1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1:15" x14ac:dyDescent="0.25">
      <c r="B158" s="19"/>
      <c r="D158" s="20" t="s">
        <v>12</v>
      </c>
      <c r="E158" s="20"/>
      <c r="F158" s="21">
        <v>56000</v>
      </c>
      <c r="G158" s="20" t="s">
        <v>77</v>
      </c>
    </row>
    <row r="159" spans="1:15" x14ac:dyDescent="0.25">
      <c r="B159" s="19"/>
      <c r="F159" s="21">
        <v>150</v>
      </c>
      <c r="G159" s="20" t="s">
        <v>78</v>
      </c>
    </row>
    <row r="160" spans="1:15" x14ac:dyDescent="0.25">
      <c r="B160" s="19"/>
      <c r="D160" s="22"/>
      <c r="E160" s="22"/>
      <c r="F160" s="207" t="s">
        <v>14</v>
      </c>
      <c r="G160" s="208"/>
      <c r="H160" s="209"/>
      <c r="J160" s="207" t="s">
        <v>15</v>
      </c>
      <c r="K160" s="208"/>
      <c r="L160" s="209"/>
      <c r="N160" s="207" t="s">
        <v>16</v>
      </c>
      <c r="O160" s="209"/>
    </row>
    <row r="161" spans="2:15" x14ac:dyDescent="0.25">
      <c r="B161" s="19"/>
      <c r="D161" s="197" t="s">
        <v>17</v>
      </c>
      <c r="E161" s="23"/>
      <c r="F161" s="24" t="s">
        <v>18</v>
      </c>
      <c r="G161" s="24" t="s">
        <v>19</v>
      </c>
      <c r="H161" s="25" t="s">
        <v>20</v>
      </c>
      <c r="J161" s="24" t="s">
        <v>18</v>
      </c>
      <c r="K161" s="26" t="s">
        <v>19</v>
      </c>
      <c r="L161" s="25" t="s">
        <v>20</v>
      </c>
      <c r="N161" s="199" t="s">
        <v>21</v>
      </c>
      <c r="O161" s="201" t="s">
        <v>22</v>
      </c>
    </row>
    <row r="162" spans="2:15" x14ac:dyDescent="0.25">
      <c r="B162" s="19"/>
      <c r="D162" s="198"/>
      <c r="E162" s="23"/>
      <c r="F162" s="27" t="s">
        <v>23</v>
      </c>
      <c r="G162" s="27"/>
      <c r="H162" s="28" t="s">
        <v>23</v>
      </c>
      <c r="J162" s="27" t="s">
        <v>23</v>
      </c>
      <c r="K162" s="28"/>
      <c r="L162" s="28" t="s">
        <v>23</v>
      </c>
      <c r="N162" s="200"/>
      <c r="O162" s="202"/>
    </row>
    <row r="163" spans="2:15" x14ac:dyDescent="0.25">
      <c r="B163" s="29" t="s">
        <v>24</v>
      </c>
      <c r="C163" s="29"/>
      <c r="D163" s="30" t="s">
        <v>25</v>
      </c>
      <c r="E163" s="31"/>
      <c r="F163" s="32">
        <v>328.41</v>
      </c>
      <c r="G163" s="33">
        <v>1</v>
      </c>
      <c r="H163" s="34">
        <f>G163*F163</f>
        <v>328.41</v>
      </c>
      <c r="I163" s="35"/>
      <c r="J163" s="36">
        <f>ROUND('[2]Rates By Rate Class'!$D$8,2)</f>
        <v>276.04000000000002</v>
      </c>
      <c r="K163" s="37">
        <v>1</v>
      </c>
      <c r="L163" s="34">
        <f>K163*J163</f>
        <v>276.04000000000002</v>
      </c>
      <c r="M163" s="35"/>
      <c r="N163" s="38">
        <f>L163-H163</f>
        <v>-52.370000000000005</v>
      </c>
      <c r="O163" s="39">
        <f>IF((H163)=0,"",(N163/H163))</f>
        <v>-0.15946530251819371</v>
      </c>
    </row>
    <row r="164" spans="2:15" hidden="1" x14ac:dyDescent="0.25">
      <c r="B164" s="29" t="s">
        <v>26</v>
      </c>
      <c r="C164" s="29"/>
      <c r="D164" s="30"/>
      <c r="E164" s="31"/>
      <c r="F164" s="32"/>
      <c r="G164" s="33">
        <v>1</v>
      </c>
      <c r="H164" s="34">
        <f t="shared" ref="H164:H178" si="43">G164*F164</f>
        <v>0</v>
      </c>
      <c r="I164" s="35"/>
      <c r="J164" s="36"/>
      <c r="K164" s="37">
        <v>1</v>
      </c>
      <c r="L164" s="34">
        <f>K164*J164</f>
        <v>0</v>
      </c>
      <c r="M164" s="35"/>
      <c r="N164" s="38">
        <f>L164-H164</f>
        <v>0</v>
      </c>
      <c r="O164" s="39" t="str">
        <f>IF((H164)=0,"",(N164/H164))</f>
        <v/>
      </c>
    </row>
    <row r="165" spans="2:15" hidden="1" x14ac:dyDescent="0.25">
      <c r="B165" s="40"/>
      <c r="C165" s="29"/>
      <c r="D165" s="30"/>
      <c r="E165" s="31"/>
      <c r="F165" s="32"/>
      <c r="G165" s="33">
        <v>1</v>
      </c>
      <c r="H165" s="34">
        <f t="shared" si="43"/>
        <v>0</v>
      </c>
      <c r="I165" s="35"/>
      <c r="J165" s="36"/>
      <c r="K165" s="37">
        <v>1</v>
      </c>
      <c r="L165" s="34">
        <f t="shared" ref="L165:L178" si="44">K165*J165</f>
        <v>0</v>
      </c>
      <c r="M165" s="35"/>
      <c r="N165" s="38">
        <f t="shared" ref="N165:N179" si="45">L165-H165</f>
        <v>0</v>
      </c>
      <c r="O165" s="39" t="str">
        <f t="shared" ref="O165:O179" si="46">IF((H165)=0,"",(N165/H165))</f>
        <v/>
      </c>
    </row>
    <row r="166" spans="2:15" hidden="1" x14ac:dyDescent="0.25">
      <c r="B166" s="40"/>
      <c r="C166" s="29"/>
      <c r="D166" s="30"/>
      <c r="E166" s="31"/>
      <c r="F166" s="32"/>
      <c r="G166" s="33">
        <v>1</v>
      </c>
      <c r="H166" s="34">
        <f t="shared" si="43"/>
        <v>0</v>
      </c>
      <c r="I166" s="35"/>
      <c r="J166" s="36"/>
      <c r="K166" s="37">
        <v>1</v>
      </c>
      <c r="L166" s="34">
        <f t="shared" si="44"/>
        <v>0</v>
      </c>
      <c r="M166" s="35"/>
      <c r="N166" s="38">
        <f t="shared" si="45"/>
        <v>0</v>
      </c>
      <c r="O166" s="39" t="str">
        <f t="shared" si="46"/>
        <v/>
      </c>
    </row>
    <row r="167" spans="2:15" hidden="1" x14ac:dyDescent="0.25">
      <c r="B167" s="41"/>
      <c r="C167" s="29"/>
      <c r="D167" s="30"/>
      <c r="E167" s="31"/>
      <c r="F167" s="32"/>
      <c r="G167" s="33">
        <v>1</v>
      </c>
      <c r="H167" s="34">
        <f t="shared" si="43"/>
        <v>0</v>
      </c>
      <c r="I167" s="35"/>
      <c r="J167" s="36"/>
      <c r="K167" s="37">
        <v>1</v>
      </c>
      <c r="L167" s="34">
        <f t="shared" si="44"/>
        <v>0</v>
      </c>
      <c r="M167" s="35"/>
      <c r="N167" s="38">
        <f t="shared" si="45"/>
        <v>0</v>
      </c>
      <c r="O167" s="39" t="str">
        <f t="shared" si="46"/>
        <v/>
      </c>
    </row>
    <row r="168" spans="2:15" hidden="1" x14ac:dyDescent="0.25">
      <c r="B168" s="41"/>
      <c r="C168" s="29"/>
      <c r="D168" s="30"/>
      <c r="E168" s="31"/>
      <c r="F168" s="32"/>
      <c r="G168" s="33">
        <v>1</v>
      </c>
      <c r="H168" s="34">
        <f t="shared" si="43"/>
        <v>0</v>
      </c>
      <c r="I168" s="35"/>
      <c r="J168" s="36"/>
      <c r="K168" s="37">
        <v>1</v>
      </c>
      <c r="L168" s="34">
        <f t="shared" si="44"/>
        <v>0</v>
      </c>
      <c r="M168" s="35"/>
      <c r="N168" s="38">
        <f t="shared" si="45"/>
        <v>0</v>
      </c>
      <c r="O168" s="39" t="str">
        <f t="shared" si="46"/>
        <v/>
      </c>
    </row>
    <row r="169" spans="2:15" x14ac:dyDescent="0.25">
      <c r="B169" s="29" t="s">
        <v>30</v>
      </c>
      <c r="C169" s="29"/>
      <c r="D169" s="30" t="s">
        <v>79</v>
      </c>
      <c r="E169" s="31"/>
      <c r="F169" s="32">
        <v>2.5663999999999998</v>
      </c>
      <c r="G169" s="191">
        <f>$F$159</f>
        <v>150</v>
      </c>
      <c r="H169" s="34">
        <f t="shared" si="43"/>
        <v>384.96</v>
      </c>
      <c r="I169" s="35"/>
      <c r="J169" s="36">
        <f>'[2]Rates By Rate Class'!$E$8</f>
        <v>2.174696037825981</v>
      </c>
      <c r="K169" s="33">
        <f t="shared" ref="K169:K178" si="47">$F$159</f>
        <v>150</v>
      </c>
      <c r="L169" s="34">
        <f t="shared" si="44"/>
        <v>326.20440567389716</v>
      </c>
      <c r="M169" s="35"/>
      <c r="N169" s="38">
        <f t="shared" si="45"/>
        <v>-58.755594326102823</v>
      </c>
      <c r="O169" s="39">
        <f t="shared" si="46"/>
        <v>-0.15262779074735772</v>
      </c>
    </row>
    <row r="170" spans="2:15" hidden="1" x14ac:dyDescent="0.25">
      <c r="B170" s="29" t="s">
        <v>32</v>
      </c>
      <c r="C170" s="29"/>
      <c r="D170" s="30"/>
      <c r="E170" s="31"/>
      <c r="F170" s="32"/>
      <c r="G170" s="33">
        <f t="shared" ref="G170:G185" si="48">$F$159</f>
        <v>150</v>
      </c>
      <c r="H170" s="34">
        <f t="shared" si="43"/>
        <v>0</v>
      </c>
      <c r="I170" s="35"/>
      <c r="J170" s="36"/>
      <c r="K170" s="33">
        <f t="shared" si="47"/>
        <v>150</v>
      </c>
      <c r="L170" s="34">
        <f t="shared" si="44"/>
        <v>0</v>
      </c>
      <c r="M170" s="35"/>
      <c r="N170" s="38">
        <f t="shared" si="45"/>
        <v>0</v>
      </c>
      <c r="O170" s="39" t="str">
        <f t="shared" si="46"/>
        <v/>
      </c>
    </row>
    <row r="171" spans="2:15" hidden="1" x14ac:dyDescent="0.25">
      <c r="B171" s="29" t="s">
        <v>33</v>
      </c>
      <c r="C171" s="29"/>
      <c r="D171" s="30"/>
      <c r="E171" s="31"/>
      <c r="F171" s="32"/>
      <c r="G171" s="33">
        <f t="shared" si="48"/>
        <v>150</v>
      </c>
      <c r="H171" s="34">
        <f t="shared" si="43"/>
        <v>0</v>
      </c>
      <c r="I171" s="35"/>
      <c r="J171" s="36"/>
      <c r="K171" s="33">
        <f t="shared" si="47"/>
        <v>150</v>
      </c>
      <c r="L171" s="34">
        <f t="shared" si="44"/>
        <v>0</v>
      </c>
      <c r="M171" s="35"/>
      <c r="N171" s="38">
        <f t="shared" si="45"/>
        <v>0</v>
      </c>
      <c r="O171" s="39" t="str">
        <f t="shared" si="46"/>
        <v/>
      </c>
    </row>
    <row r="172" spans="2:15" hidden="1" x14ac:dyDescent="0.25">
      <c r="B172" s="42"/>
      <c r="C172" s="29"/>
      <c r="D172" s="30"/>
      <c r="E172" s="31"/>
      <c r="F172" s="32"/>
      <c r="G172" s="33">
        <f t="shared" si="48"/>
        <v>150</v>
      </c>
      <c r="H172" s="34">
        <f t="shared" si="43"/>
        <v>0</v>
      </c>
      <c r="I172" s="35"/>
      <c r="J172" s="36"/>
      <c r="K172" s="33">
        <f t="shared" si="47"/>
        <v>150</v>
      </c>
      <c r="L172" s="34">
        <f t="shared" si="44"/>
        <v>0</v>
      </c>
      <c r="M172" s="35"/>
      <c r="N172" s="38">
        <f t="shared" si="45"/>
        <v>0</v>
      </c>
      <c r="O172" s="39" t="str">
        <f t="shared" si="46"/>
        <v/>
      </c>
    </row>
    <row r="173" spans="2:15" hidden="1" x14ac:dyDescent="0.25">
      <c r="B173" s="42"/>
      <c r="C173" s="29"/>
      <c r="D173" s="30"/>
      <c r="E173" s="31"/>
      <c r="F173" s="32"/>
      <c r="G173" s="33">
        <f t="shared" si="48"/>
        <v>150</v>
      </c>
      <c r="H173" s="34">
        <f t="shared" si="43"/>
        <v>0</v>
      </c>
      <c r="I173" s="35"/>
      <c r="J173" s="36"/>
      <c r="K173" s="33">
        <f t="shared" si="47"/>
        <v>150</v>
      </c>
      <c r="L173" s="34">
        <f t="shared" si="44"/>
        <v>0</v>
      </c>
      <c r="M173" s="35"/>
      <c r="N173" s="38">
        <f t="shared" si="45"/>
        <v>0</v>
      </c>
      <c r="O173" s="39" t="str">
        <f t="shared" si="46"/>
        <v/>
      </c>
    </row>
    <row r="174" spans="2:15" hidden="1" x14ac:dyDescent="0.25">
      <c r="B174" s="42"/>
      <c r="C174" s="29"/>
      <c r="D174" s="30"/>
      <c r="E174" s="31"/>
      <c r="F174" s="32"/>
      <c r="G174" s="33">
        <f t="shared" si="48"/>
        <v>150</v>
      </c>
      <c r="H174" s="34">
        <f t="shared" si="43"/>
        <v>0</v>
      </c>
      <c r="I174" s="35"/>
      <c r="J174" s="36"/>
      <c r="K174" s="33">
        <f t="shared" si="47"/>
        <v>150</v>
      </c>
      <c r="L174" s="34">
        <f t="shared" si="44"/>
        <v>0</v>
      </c>
      <c r="M174" s="35"/>
      <c r="N174" s="38">
        <f t="shared" si="45"/>
        <v>0</v>
      </c>
      <c r="O174" s="39" t="str">
        <f t="shared" si="46"/>
        <v/>
      </c>
    </row>
    <row r="175" spans="2:15" hidden="1" x14ac:dyDescent="0.25">
      <c r="B175" s="42"/>
      <c r="C175" s="29"/>
      <c r="D175" s="30"/>
      <c r="E175" s="31"/>
      <c r="F175" s="32"/>
      <c r="G175" s="33">
        <f t="shared" si="48"/>
        <v>150</v>
      </c>
      <c r="H175" s="34">
        <f t="shared" si="43"/>
        <v>0</v>
      </c>
      <c r="I175" s="35"/>
      <c r="J175" s="36"/>
      <c r="K175" s="33">
        <f t="shared" si="47"/>
        <v>150</v>
      </c>
      <c r="L175" s="34">
        <f t="shared" si="44"/>
        <v>0</v>
      </c>
      <c r="M175" s="35"/>
      <c r="N175" s="38">
        <f t="shared" si="45"/>
        <v>0</v>
      </c>
      <c r="O175" s="39" t="str">
        <f t="shared" si="46"/>
        <v/>
      </c>
    </row>
    <row r="176" spans="2:15" hidden="1" x14ac:dyDescent="0.25">
      <c r="B176" s="42"/>
      <c r="C176" s="29"/>
      <c r="D176" s="30"/>
      <c r="E176" s="31"/>
      <c r="F176" s="32"/>
      <c r="G176" s="33">
        <f t="shared" si="48"/>
        <v>150</v>
      </c>
      <c r="H176" s="34">
        <f t="shared" si="43"/>
        <v>0</v>
      </c>
      <c r="I176" s="35"/>
      <c r="J176" s="36"/>
      <c r="K176" s="33">
        <f t="shared" si="47"/>
        <v>150</v>
      </c>
      <c r="L176" s="34">
        <f t="shared" si="44"/>
        <v>0</v>
      </c>
      <c r="M176" s="35"/>
      <c r="N176" s="38">
        <f t="shared" si="45"/>
        <v>0</v>
      </c>
      <c r="O176" s="39" t="str">
        <f t="shared" si="46"/>
        <v/>
      </c>
    </row>
    <row r="177" spans="1:15" hidden="1" x14ac:dyDescent="0.25">
      <c r="B177" s="42"/>
      <c r="C177" s="29"/>
      <c r="D177" s="30"/>
      <c r="E177" s="31"/>
      <c r="F177" s="32"/>
      <c r="G177" s="33">
        <f t="shared" si="48"/>
        <v>150</v>
      </c>
      <c r="H177" s="34">
        <f t="shared" si="43"/>
        <v>0</v>
      </c>
      <c r="I177" s="35"/>
      <c r="J177" s="36"/>
      <c r="K177" s="33">
        <f t="shared" si="47"/>
        <v>150</v>
      </c>
      <c r="L177" s="34">
        <f t="shared" si="44"/>
        <v>0</v>
      </c>
      <c r="M177" s="35"/>
      <c r="N177" s="38">
        <f t="shared" si="45"/>
        <v>0</v>
      </c>
      <c r="O177" s="39" t="str">
        <f t="shared" si="46"/>
        <v/>
      </c>
    </row>
    <row r="178" spans="1:15" hidden="1" x14ac:dyDescent="0.25">
      <c r="B178" s="42"/>
      <c r="C178" s="29"/>
      <c r="D178" s="30"/>
      <c r="E178" s="31"/>
      <c r="F178" s="32"/>
      <c r="G178" s="33">
        <f t="shared" si="48"/>
        <v>150</v>
      </c>
      <c r="H178" s="34">
        <f t="shared" si="43"/>
        <v>0</v>
      </c>
      <c r="I178" s="35"/>
      <c r="J178" s="36"/>
      <c r="K178" s="33">
        <f t="shared" si="47"/>
        <v>150</v>
      </c>
      <c r="L178" s="34">
        <f t="shared" si="44"/>
        <v>0</v>
      </c>
      <c r="M178" s="35"/>
      <c r="N178" s="38">
        <f t="shared" si="45"/>
        <v>0</v>
      </c>
      <c r="O178" s="39" t="str">
        <f t="shared" si="46"/>
        <v/>
      </c>
    </row>
    <row r="179" spans="1:15" x14ac:dyDescent="0.25">
      <c r="A179" s="54"/>
      <c r="B179" s="43" t="s">
        <v>34</v>
      </c>
      <c r="C179" s="44"/>
      <c r="D179" s="45"/>
      <c r="E179" s="44"/>
      <c r="F179" s="46"/>
      <c r="G179" s="47"/>
      <c r="H179" s="48">
        <f>SUM(H163:H178)</f>
        <v>713.37</v>
      </c>
      <c r="I179" s="49"/>
      <c r="J179" s="50"/>
      <c r="K179" s="51"/>
      <c r="L179" s="48">
        <f>SUM(L163:L178)</f>
        <v>602.24440567389718</v>
      </c>
      <c r="M179" s="49"/>
      <c r="N179" s="52">
        <f t="shared" si="45"/>
        <v>-111.12559432610283</v>
      </c>
      <c r="O179" s="53">
        <f t="shared" si="46"/>
        <v>-0.15577553629407295</v>
      </c>
    </row>
    <row r="180" spans="1:15" ht="25.5" x14ac:dyDescent="0.25">
      <c r="B180" s="55" t="s">
        <v>35</v>
      </c>
      <c r="C180" s="29"/>
      <c r="D180" s="30" t="s">
        <v>79</v>
      </c>
      <c r="E180" s="31"/>
      <c r="F180" s="32">
        <v>-0.18559999999999999</v>
      </c>
      <c r="G180" s="33">
        <f t="shared" si="48"/>
        <v>150</v>
      </c>
      <c r="H180" s="34">
        <f>G180*F180</f>
        <v>-27.839999999999996</v>
      </c>
      <c r="I180" s="35"/>
      <c r="J180" s="36">
        <f>'[4]6. Rate Rider Calculations'!$F$22</f>
        <v>-1.3908541910085319</v>
      </c>
      <c r="K180" s="33">
        <f t="shared" ref="K180:K185" si="49">$F$159</f>
        <v>150</v>
      </c>
      <c r="L180" s="34">
        <f>K180*J180</f>
        <v>-208.62812865127978</v>
      </c>
      <c r="M180" s="35"/>
      <c r="N180" s="38">
        <f>L180-H180</f>
        <v>-180.78812865127978</v>
      </c>
      <c r="O180" s="39">
        <f>IF((H180)=0,"",(N180/H180))</f>
        <v>6.4938264601752804</v>
      </c>
    </row>
    <row r="181" spans="1:15" x14ac:dyDescent="0.25">
      <c r="B181" s="55" t="s">
        <v>80</v>
      </c>
      <c r="C181" s="29"/>
      <c r="D181" s="30" t="s">
        <v>79</v>
      </c>
      <c r="E181" s="31"/>
      <c r="F181" s="32">
        <v>2.1023999999999998</v>
      </c>
      <c r="G181" s="33">
        <f t="shared" si="48"/>
        <v>150</v>
      </c>
      <c r="H181" s="34">
        <f>G181*F181</f>
        <v>315.35999999999996</v>
      </c>
      <c r="I181" s="35"/>
      <c r="J181" s="36">
        <f>'[4]6. Rate Rider Calculations'!$F$49</f>
        <v>-0.82492519605991133</v>
      </c>
      <c r="K181" s="33"/>
      <c r="L181" s="34"/>
      <c r="M181" s="35"/>
      <c r="N181" s="38"/>
      <c r="O181" s="39"/>
    </row>
    <row r="182" spans="1:15" x14ac:dyDescent="0.25">
      <c r="B182" s="55" t="s">
        <v>36</v>
      </c>
      <c r="C182" s="29"/>
      <c r="D182" s="30" t="s">
        <v>79</v>
      </c>
      <c r="E182" s="31"/>
      <c r="F182" s="32">
        <v>-0.1744</v>
      </c>
      <c r="G182" s="33">
        <f t="shared" si="48"/>
        <v>150</v>
      </c>
      <c r="H182" s="34">
        <f t="shared" ref="H182:H184" si="50">G182*F182</f>
        <v>-26.16</v>
      </c>
      <c r="I182" s="56"/>
      <c r="J182" s="36">
        <v>0</v>
      </c>
      <c r="K182" s="33">
        <f t="shared" si="49"/>
        <v>150</v>
      </c>
      <c r="L182" s="34">
        <f t="shared" ref="L182:L184" si="51">K182*J182</f>
        <v>0</v>
      </c>
      <c r="M182" s="57"/>
      <c r="N182" s="38">
        <f t="shared" ref="N182:N184" si="52">L182-H182</f>
        <v>26.16</v>
      </c>
      <c r="O182" s="39">
        <f t="shared" ref="O182:O184" si="53">IF((H182)=0,"",(N182/H182))</f>
        <v>-1</v>
      </c>
    </row>
    <row r="183" spans="1:15" x14ac:dyDescent="0.25">
      <c r="B183" s="55" t="s">
        <v>37</v>
      </c>
      <c r="C183" s="29"/>
      <c r="D183" s="30" t="s">
        <v>79</v>
      </c>
      <c r="E183" s="31"/>
      <c r="F183" s="32">
        <v>-8.0199999999999994E-2</v>
      </c>
      <c r="G183" s="33">
        <f t="shared" si="48"/>
        <v>150</v>
      </c>
      <c r="H183" s="34">
        <f t="shared" si="50"/>
        <v>-12.03</v>
      </c>
      <c r="I183" s="56"/>
      <c r="J183" s="36">
        <v>0</v>
      </c>
      <c r="K183" s="33">
        <f t="shared" si="49"/>
        <v>150</v>
      </c>
      <c r="L183" s="34">
        <f t="shared" si="51"/>
        <v>0</v>
      </c>
      <c r="M183" s="57"/>
      <c r="N183" s="38">
        <f t="shared" si="52"/>
        <v>12.03</v>
      </c>
      <c r="O183" s="39">
        <f t="shared" si="53"/>
        <v>-1</v>
      </c>
    </row>
    <row r="184" spans="1:15" x14ac:dyDescent="0.25">
      <c r="B184" s="55" t="s">
        <v>38</v>
      </c>
      <c r="C184" s="29"/>
      <c r="D184" s="30" t="s">
        <v>79</v>
      </c>
      <c r="E184" s="31"/>
      <c r="F184" s="32">
        <v>0</v>
      </c>
      <c r="G184" s="33">
        <f t="shared" si="48"/>
        <v>150</v>
      </c>
      <c r="H184" s="34">
        <f t="shared" si="50"/>
        <v>0</v>
      </c>
      <c r="I184" s="56"/>
      <c r="J184" s="36">
        <f>'[4]6. Rate Rider Calculations'!$F$77</f>
        <v>-0.37603302052809473</v>
      </c>
      <c r="K184" s="33">
        <f t="shared" si="49"/>
        <v>150</v>
      </c>
      <c r="L184" s="34">
        <f t="shared" si="51"/>
        <v>-56.404953079214209</v>
      </c>
      <c r="M184" s="57"/>
      <c r="N184" s="38">
        <f t="shared" si="52"/>
        <v>-56.404953079214209</v>
      </c>
      <c r="O184" s="39" t="str">
        <f t="shared" si="53"/>
        <v/>
      </c>
    </row>
    <row r="185" spans="1:15" hidden="1" x14ac:dyDescent="0.25">
      <c r="B185" s="59" t="s">
        <v>39</v>
      </c>
      <c r="C185" s="29"/>
      <c r="D185" s="30"/>
      <c r="E185" s="31"/>
      <c r="F185" s="32"/>
      <c r="G185" s="33">
        <f t="shared" si="48"/>
        <v>150</v>
      </c>
      <c r="H185" s="34">
        <f>G185*F185</f>
        <v>0</v>
      </c>
      <c r="I185" s="35"/>
      <c r="J185" s="36"/>
      <c r="K185" s="33">
        <f t="shared" si="49"/>
        <v>150</v>
      </c>
      <c r="L185" s="34">
        <f>K185*J185</f>
        <v>0</v>
      </c>
      <c r="M185" s="35"/>
      <c r="N185" s="38">
        <f>L185-H185</f>
        <v>0</v>
      </c>
      <c r="O185" s="39" t="str">
        <f>IF((H185)=0,"",(N185/H185))</f>
        <v/>
      </c>
    </row>
    <row r="186" spans="1:15" x14ac:dyDescent="0.25">
      <c r="B186" s="59" t="s">
        <v>40</v>
      </c>
      <c r="C186" s="29"/>
      <c r="D186" s="30"/>
      <c r="E186" s="31"/>
      <c r="F186" s="60">
        <f>IF(ISBLANK(D156)=TRUE, 0, IF(D156="TOU", 0.64*$F$54+0.18*$F$55+0.18*$F$56, IF(AND(D156="non-TOU", G200&gt;0), F200,F199)))</f>
        <v>8.7599999999999997E-2</v>
      </c>
      <c r="G186" s="189">
        <f>$F$158*(1+$F$73)-$F$158</f>
        <v>2592.8000000000029</v>
      </c>
      <c r="H186" s="34">
        <f t="shared" ref="H186" si="54">G186*F186</f>
        <v>227.12928000000025</v>
      </c>
      <c r="I186" s="35"/>
      <c r="J186" s="62">
        <f>F186</f>
        <v>8.7599999999999997E-2</v>
      </c>
      <c r="K186" s="189">
        <f>$F$158*(1+$J$73)-$F$158</f>
        <v>2122.4000000000015</v>
      </c>
      <c r="L186" s="34">
        <f t="shared" ref="L186" si="55">K186*J186</f>
        <v>185.92224000000013</v>
      </c>
      <c r="M186" s="35"/>
      <c r="N186" s="38">
        <f t="shared" ref="N186" si="56">L186-H186</f>
        <v>-41.20704000000012</v>
      </c>
      <c r="O186" s="39">
        <f t="shared" ref="O186" si="57">IF((H186)=0,"",(N186/H186))</f>
        <v>-0.18142548596112343</v>
      </c>
    </row>
    <row r="187" spans="1:15" hidden="1" x14ac:dyDescent="0.25">
      <c r="B187" s="59" t="s">
        <v>41</v>
      </c>
      <c r="C187" s="29"/>
      <c r="D187" s="30"/>
      <c r="E187" s="31"/>
      <c r="F187" s="60"/>
      <c r="G187" s="33">
        <v>1</v>
      </c>
      <c r="H187" s="34">
        <f>G187*F187</f>
        <v>0</v>
      </c>
      <c r="I187" s="35"/>
      <c r="J187" s="60"/>
      <c r="K187" s="33">
        <v>1</v>
      </c>
      <c r="L187" s="34">
        <f>K187*J187</f>
        <v>0</v>
      </c>
      <c r="M187" s="35"/>
      <c r="N187" s="38">
        <f>L187-H187</f>
        <v>0</v>
      </c>
      <c r="O187" s="39"/>
    </row>
    <row r="188" spans="1:15" ht="25.5" x14ac:dyDescent="0.25">
      <c r="B188" s="63" t="s">
        <v>42</v>
      </c>
      <c r="C188" s="64"/>
      <c r="D188" s="64"/>
      <c r="E188" s="64"/>
      <c r="F188" s="65"/>
      <c r="G188" s="66"/>
      <c r="H188" s="67">
        <f>SUM(H180:H187)+H179</f>
        <v>1189.8292800000002</v>
      </c>
      <c r="I188" s="49"/>
      <c r="J188" s="66"/>
      <c r="K188" s="68"/>
      <c r="L188" s="67">
        <f>SUM(L180:L187)+L179</f>
        <v>523.13356394340326</v>
      </c>
      <c r="M188" s="49"/>
      <c r="N188" s="52">
        <f t="shared" ref="N188:N200" si="58">L188-H188</f>
        <v>-666.69571605659689</v>
      </c>
      <c r="O188" s="53">
        <f t="shared" ref="O188:O200" si="59">IF((H188)=0,"",(N188/H188))</f>
        <v>-0.5603288868942583</v>
      </c>
    </row>
    <row r="189" spans="1:15" x14ac:dyDescent="0.25">
      <c r="B189" s="35" t="s">
        <v>43</v>
      </c>
      <c r="C189" s="35"/>
      <c r="D189" s="69" t="s">
        <v>79</v>
      </c>
      <c r="E189" s="70"/>
      <c r="F189" s="36">
        <v>2.5928</v>
      </c>
      <c r="G189" s="71">
        <f>F159</f>
        <v>150</v>
      </c>
      <c r="H189" s="34">
        <f>G189*F189</f>
        <v>388.92</v>
      </c>
      <c r="I189" s="35"/>
      <c r="J189" s="36">
        <v>2.6852999999999998</v>
      </c>
      <c r="K189" s="72">
        <f>F159</f>
        <v>150</v>
      </c>
      <c r="L189" s="34">
        <f>K189*J189</f>
        <v>402.79499999999996</v>
      </c>
      <c r="M189" s="35"/>
      <c r="N189" s="38">
        <f t="shared" si="58"/>
        <v>13.874999999999943</v>
      </c>
      <c r="O189" s="39">
        <f t="shared" si="59"/>
        <v>3.5675717371181588E-2</v>
      </c>
    </row>
    <row r="190" spans="1:15" ht="30" x14ac:dyDescent="0.25">
      <c r="B190" s="73" t="s">
        <v>44</v>
      </c>
      <c r="C190" s="35"/>
      <c r="D190" s="69" t="s">
        <v>79</v>
      </c>
      <c r="E190" s="70"/>
      <c r="F190" s="36">
        <v>0.43149999999999999</v>
      </c>
      <c r="G190" s="71">
        <f>G189</f>
        <v>150</v>
      </c>
      <c r="H190" s="34">
        <f>G190*F190</f>
        <v>64.724999999999994</v>
      </c>
      <c r="I190" s="35"/>
      <c r="J190" s="36">
        <v>0.4602</v>
      </c>
      <c r="K190" s="72">
        <f>K189</f>
        <v>150</v>
      </c>
      <c r="L190" s="34">
        <f>K190*J190</f>
        <v>69.03</v>
      </c>
      <c r="M190" s="35"/>
      <c r="N190" s="38">
        <f t="shared" si="58"/>
        <v>4.3050000000000068</v>
      </c>
      <c r="O190" s="39">
        <f t="shared" si="59"/>
        <v>6.6512166859791541E-2</v>
      </c>
    </row>
    <row r="191" spans="1:15" ht="25.5" x14ac:dyDescent="0.25">
      <c r="B191" s="63" t="s">
        <v>45</v>
      </c>
      <c r="C191" s="44"/>
      <c r="D191" s="44"/>
      <c r="E191" s="44"/>
      <c r="F191" s="74"/>
      <c r="G191" s="66"/>
      <c r="H191" s="67">
        <f>SUM(H188:H190)</f>
        <v>1643.4742800000001</v>
      </c>
      <c r="I191" s="75"/>
      <c r="J191" s="76"/>
      <c r="K191" s="77"/>
      <c r="L191" s="67">
        <f>SUM(L188:L190)</f>
        <v>994.95856394340319</v>
      </c>
      <c r="M191" s="75"/>
      <c r="N191" s="52">
        <f t="shared" si="58"/>
        <v>-648.51571605659694</v>
      </c>
      <c r="O191" s="53">
        <f t="shared" si="59"/>
        <v>-0.39460046557990364</v>
      </c>
    </row>
    <row r="192" spans="1:15" ht="30" x14ac:dyDescent="0.25">
      <c r="B192" s="78" t="s">
        <v>46</v>
      </c>
      <c r="C192" s="29"/>
      <c r="D192" s="30" t="s">
        <v>31</v>
      </c>
      <c r="E192" s="31"/>
      <c r="F192" s="79">
        <v>4.4000000000000003E-3</v>
      </c>
      <c r="G192" s="71">
        <f>F158</f>
        <v>56000</v>
      </c>
      <c r="H192" s="80">
        <f t="shared" ref="H192:H198" si="60">G192*F192</f>
        <v>246.4</v>
      </c>
      <c r="I192" s="35"/>
      <c r="J192" s="81">
        <f>F192</f>
        <v>4.4000000000000003E-3</v>
      </c>
      <c r="K192" s="72">
        <f>G192</f>
        <v>56000</v>
      </c>
      <c r="L192" s="80">
        <f t="shared" ref="L192:L198" si="61">K192*J192</f>
        <v>246.4</v>
      </c>
      <c r="M192" s="35"/>
      <c r="N192" s="38">
        <f t="shared" si="58"/>
        <v>0</v>
      </c>
      <c r="O192" s="82">
        <f t="shared" si="59"/>
        <v>0</v>
      </c>
    </row>
    <row r="193" spans="1:15" ht="30" x14ac:dyDescent="0.25">
      <c r="B193" s="78" t="s">
        <v>47</v>
      </c>
      <c r="C193" s="29"/>
      <c r="D193" s="30" t="s">
        <v>31</v>
      </c>
      <c r="E193" s="31"/>
      <c r="F193" s="79">
        <v>1.1999999999999999E-3</v>
      </c>
      <c r="G193" s="71">
        <f>F158</f>
        <v>56000</v>
      </c>
      <c r="H193" s="80">
        <f t="shared" si="60"/>
        <v>67.199999999999989</v>
      </c>
      <c r="I193" s="35"/>
      <c r="J193" s="81">
        <f>F193</f>
        <v>1.1999999999999999E-3</v>
      </c>
      <c r="K193" s="72">
        <f>G193</f>
        <v>56000</v>
      </c>
      <c r="L193" s="80">
        <f t="shared" si="61"/>
        <v>67.199999999999989</v>
      </c>
      <c r="M193" s="35"/>
      <c r="N193" s="38">
        <f t="shared" si="58"/>
        <v>0</v>
      </c>
      <c r="O193" s="82">
        <f t="shared" si="59"/>
        <v>0</v>
      </c>
    </row>
    <row r="194" spans="1:15" x14ac:dyDescent="0.25">
      <c r="B194" s="29" t="s">
        <v>48</v>
      </c>
      <c r="C194" s="29"/>
      <c r="D194" s="30" t="s">
        <v>25</v>
      </c>
      <c r="E194" s="31"/>
      <c r="F194" s="79">
        <v>0.25</v>
      </c>
      <c r="G194" s="33">
        <v>1</v>
      </c>
      <c r="H194" s="80">
        <f t="shared" si="60"/>
        <v>0.25</v>
      </c>
      <c r="I194" s="35"/>
      <c r="J194" s="81">
        <v>0.25</v>
      </c>
      <c r="K194" s="37">
        <v>1</v>
      </c>
      <c r="L194" s="80">
        <f t="shared" si="61"/>
        <v>0.25</v>
      </c>
      <c r="M194" s="35"/>
      <c r="N194" s="38">
        <f t="shared" si="58"/>
        <v>0</v>
      </c>
      <c r="O194" s="82">
        <f t="shared" si="59"/>
        <v>0</v>
      </c>
    </row>
    <row r="195" spans="1:15" x14ac:dyDescent="0.25">
      <c r="B195" s="29" t="s">
        <v>49</v>
      </c>
      <c r="C195" s="29"/>
      <c r="D195" s="30" t="s">
        <v>31</v>
      </c>
      <c r="E195" s="31"/>
      <c r="F195" s="79">
        <v>7.0000000000000001E-3</v>
      </c>
      <c r="G195" s="83">
        <f>F158</f>
        <v>56000</v>
      </c>
      <c r="H195" s="80">
        <f t="shared" si="60"/>
        <v>392</v>
      </c>
      <c r="I195" s="35"/>
      <c r="J195" s="81">
        <f>F195</f>
        <v>7.0000000000000001E-3</v>
      </c>
      <c r="K195" s="84">
        <f>F158</f>
        <v>56000</v>
      </c>
      <c r="L195" s="80">
        <f t="shared" si="61"/>
        <v>392</v>
      </c>
      <c r="M195" s="35"/>
      <c r="N195" s="38">
        <f t="shared" si="58"/>
        <v>0</v>
      </c>
      <c r="O195" s="82">
        <f t="shared" si="59"/>
        <v>0</v>
      </c>
    </row>
    <row r="196" spans="1:15" hidden="1" x14ac:dyDescent="0.25">
      <c r="B196" s="59"/>
      <c r="C196" s="29"/>
      <c r="D196" s="30"/>
      <c r="E196" s="31"/>
      <c r="F196" s="85"/>
      <c r="G196" s="86"/>
      <c r="H196" s="80">
        <f t="shared" si="60"/>
        <v>0</v>
      </c>
      <c r="I196" s="35"/>
      <c r="J196" s="79"/>
      <c r="K196" s="86">
        <f>G196</f>
        <v>0</v>
      </c>
      <c r="L196" s="80">
        <f t="shared" si="61"/>
        <v>0</v>
      </c>
      <c r="M196" s="35"/>
      <c r="N196" s="38">
        <f t="shared" si="58"/>
        <v>0</v>
      </c>
      <c r="O196" s="82" t="str">
        <f t="shared" si="59"/>
        <v/>
      </c>
    </row>
    <row r="197" spans="1:15" hidden="1" x14ac:dyDescent="0.25">
      <c r="B197" s="59"/>
      <c r="C197" s="29"/>
      <c r="D197" s="30"/>
      <c r="E197" s="31"/>
      <c r="F197" s="85"/>
      <c r="G197" s="86"/>
      <c r="H197" s="80">
        <f t="shared" si="60"/>
        <v>0</v>
      </c>
      <c r="I197" s="35"/>
      <c r="J197" s="79"/>
      <c r="K197" s="86">
        <f>G197</f>
        <v>0</v>
      </c>
      <c r="L197" s="80">
        <f t="shared" si="61"/>
        <v>0</v>
      </c>
      <c r="M197" s="35"/>
      <c r="N197" s="38">
        <f t="shared" si="58"/>
        <v>0</v>
      </c>
      <c r="O197" s="82" t="str">
        <f t="shared" si="59"/>
        <v/>
      </c>
    </row>
    <row r="198" spans="1:15" hidden="1" x14ac:dyDescent="0.25">
      <c r="B198" s="19"/>
      <c r="C198" s="29"/>
      <c r="D198" s="30"/>
      <c r="E198" s="31"/>
      <c r="F198" s="85"/>
      <c r="G198" s="86"/>
      <c r="H198" s="80">
        <f t="shared" si="60"/>
        <v>0</v>
      </c>
      <c r="I198" s="35"/>
      <c r="J198" s="79"/>
      <c r="K198" s="86">
        <f>G198</f>
        <v>0</v>
      </c>
      <c r="L198" s="80">
        <f t="shared" si="61"/>
        <v>0</v>
      </c>
      <c r="M198" s="35"/>
      <c r="N198" s="38">
        <f t="shared" si="58"/>
        <v>0</v>
      </c>
      <c r="O198" s="82" t="str">
        <f t="shared" si="59"/>
        <v/>
      </c>
    </row>
    <row r="199" spans="1:15" hidden="1" x14ac:dyDescent="0.25">
      <c r="A199" s="95"/>
      <c r="B199" s="88"/>
      <c r="C199" s="89"/>
      <c r="D199" s="90"/>
      <c r="E199" s="91"/>
      <c r="F199" s="85"/>
      <c r="G199" s="92"/>
      <c r="H199" s="80">
        <f>G199*F199</f>
        <v>0</v>
      </c>
      <c r="I199" s="93"/>
      <c r="J199" s="79"/>
      <c r="K199" s="92">
        <f>G199</f>
        <v>0</v>
      </c>
      <c r="L199" s="80">
        <f>K199*J199</f>
        <v>0</v>
      </c>
      <c r="M199" s="93"/>
      <c r="N199" s="94">
        <f t="shared" si="58"/>
        <v>0</v>
      </c>
      <c r="O199" s="82" t="str">
        <f t="shared" si="59"/>
        <v/>
      </c>
    </row>
    <row r="200" spans="1:15" ht="15.75" thickBot="1" x14ac:dyDescent="0.3">
      <c r="A200" s="95"/>
      <c r="B200" s="88" t="s">
        <v>81</v>
      </c>
      <c r="C200" s="89"/>
      <c r="D200" s="90" t="s">
        <v>31</v>
      </c>
      <c r="E200" s="91"/>
      <c r="F200" s="85">
        <v>8.7599999999999997E-2</v>
      </c>
      <c r="G200" s="92">
        <f>F158</f>
        <v>56000</v>
      </c>
      <c r="H200" s="80">
        <f>G200*F200</f>
        <v>4905.5999999999995</v>
      </c>
      <c r="I200" s="93"/>
      <c r="J200" s="79">
        <v>8.7599999999999997E-2</v>
      </c>
      <c r="K200" s="92">
        <f>G200</f>
        <v>56000</v>
      </c>
      <c r="L200" s="80">
        <f>K200*J200</f>
        <v>4905.5999999999995</v>
      </c>
      <c r="M200" s="93"/>
      <c r="N200" s="94">
        <f t="shared" si="58"/>
        <v>0</v>
      </c>
      <c r="O200" s="82">
        <f t="shared" si="59"/>
        <v>0</v>
      </c>
    </row>
    <row r="201" spans="1:15" ht="15.75" thickBot="1" x14ac:dyDescent="0.3">
      <c r="B201" s="96"/>
      <c r="C201" s="97"/>
      <c r="D201" s="98"/>
      <c r="E201" s="97"/>
      <c r="F201" s="99"/>
      <c r="G201" s="100"/>
      <c r="H201" s="101"/>
      <c r="I201" s="102"/>
      <c r="J201" s="99"/>
      <c r="K201" s="103"/>
      <c r="L201" s="101"/>
      <c r="M201" s="102"/>
      <c r="N201" s="104"/>
      <c r="O201" s="105"/>
    </row>
    <row r="202" spans="1:15" x14ac:dyDescent="0.25">
      <c r="B202" s="106" t="s">
        <v>82</v>
      </c>
      <c r="C202" s="29"/>
      <c r="D202" s="29"/>
      <c r="E202" s="29"/>
      <c r="F202" s="107"/>
      <c r="G202" s="108"/>
      <c r="H202" s="109">
        <f>SUM(H192:H198,H191)</f>
        <v>2349.3242800000003</v>
      </c>
      <c r="I202" s="110"/>
      <c r="J202" s="111"/>
      <c r="K202" s="111"/>
      <c r="L202" s="109">
        <f>SUM(L192:L198,L191)</f>
        <v>1700.8085639434032</v>
      </c>
      <c r="M202" s="112"/>
      <c r="N202" s="113">
        <f t="shared" ref="N202:N206" si="62">L202-H202</f>
        <v>-648.51571605659706</v>
      </c>
      <c r="O202" s="114">
        <f t="shared" ref="O202:O206" si="63">IF((H202)=0,"",(N202/H202))</f>
        <v>-0.27604350815997059</v>
      </c>
    </row>
    <row r="203" spans="1:15" x14ac:dyDescent="0.25">
      <c r="B203" s="115" t="s">
        <v>56</v>
      </c>
      <c r="C203" s="29"/>
      <c r="D203" s="29"/>
      <c r="E203" s="29"/>
      <c r="F203" s="116">
        <v>0.13</v>
      </c>
      <c r="G203" s="117"/>
      <c r="H203" s="118">
        <f>H202*F203</f>
        <v>305.41215640000007</v>
      </c>
      <c r="I203" s="119"/>
      <c r="J203" s="120">
        <v>0.13</v>
      </c>
      <c r="K203" s="119"/>
      <c r="L203" s="121">
        <f>L202*J203</f>
        <v>221.10511331264243</v>
      </c>
      <c r="M203" s="122"/>
      <c r="N203" s="123">
        <f t="shared" si="62"/>
        <v>-84.307043087357641</v>
      </c>
      <c r="O203" s="124">
        <f t="shared" si="63"/>
        <v>-0.27604350815997064</v>
      </c>
    </row>
    <row r="204" spans="1:15" x14ac:dyDescent="0.25">
      <c r="B204" s="125" t="s">
        <v>57</v>
      </c>
      <c r="C204" s="29"/>
      <c r="D204" s="29"/>
      <c r="E204" s="29"/>
      <c r="F204" s="126"/>
      <c r="G204" s="117"/>
      <c r="H204" s="118">
        <f>H202+H203</f>
        <v>2654.7364364000005</v>
      </c>
      <c r="I204" s="119"/>
      <c r="J204" s="119"/>
      <c r="K204" s="119"/>
      <c r="L204" s="121">
        <f>L202+L203</f>
        <v>1921.9136772560457</v>
      </c>
      <c r="M204" s="122"/>
      <c r="N204" s="123">
        <f t="shared" si="62"/>
        <v>-732.82275914395473</v>
      </c>
      <c r="O204" s="124">
        <f t="shared" si="63"/>
        <v>-0.27604350815997059</v>
      </c>
    </row>
    <row r="205" spans="1:15" x14ac:dyDescent="0.25">
      <c r="B205" s="203" t="s">
        <v>58</v>
      </c>
      <c r="C205" s="203"/>
      <c r="D205" s="203"/>
      <c r="E205" s="29"/>
      <c r="F205" s="126"/>
      <c r="G205" s="117"/>
      <c r="H205" s="127">
        <f>ROUND(-H204*10%,2)</f>
        <v>-265.47000000000003</v>
      </c>
      <c r="I205" s="119"/>
      <c r="J205" s="119"/>
      <c r="K205" s="119"/>
      <c r="L205" s="128">
        <f>ROUND(-L204*10%,2)</f>
        <v>-192.19</v>
      </c>
      <c r="M205" s="122"/>
      <c r="N205" s="129">
        <f t="shared" si="62"/>
        <v>73.28000000000003</v>
      </c>
      <c r="O205" s="130">
        <f t="shared" si="63"/>
        <v>-0.27603872377293109</v>
      </c>
    </row>
    <row r="206" spans="1:15" ht="15.75" thickBot="1" x14ac:dyDescent="0.3">
      <c r="B206" s="204" t="s">
        <v>83</v>
      </c>
      <c r="C206" s="204"/>
      <c r="D206" s="204"/>
      <c r="E206" s="131"/>
      <c r="F206" s="132"/>
      <c r="G206" s="133"/>
      <c r="H206" s="134">
        <f>H204+H205</f>
        <v>2389.2664364000002</v>
      </c>
      <c r="I206" s="135"/>
      <c r="J206" s="135"/>
      <c r="K206" s="135"/>
      <c r="L206" s="136">
        <f>L204+L205</f>
        <v>1729.7236772560457</v>
      </c>
      <c r="M206" s="137"/>
      <c r="N206" s="138">
        <f t="shared" si="62"/>
        <v>-659.54275914395453</v>
      </c>
      <c r="O206" s="139">
        <f t="shared" si="63"/>
        <v>-0.27604403975042358</v>
      </c>
    </row>
    <row r="207" spans="1:15" ht="15.75" thickBot="1" x14ac:dyDescent="0.3">
      <c r="A207" s="95"/>
      <c r="B207" s="140"/>
      <c r="C207" s="141"/>
      <c r="D207" s="142"/>
      <c r="E207" s="141"/>
      <c r="F207" s="99"/>
      <c r="G207" s="143"/>
      <c r="H207" s="101"/>
      <c r="I207" s="144"/>
      <c r="J207" s="99"/>
      <c r="K207" s="145"/>
      <c r="L207" s="101"/>
      <c r="M207" s="144"/>
      <c r="N207" s="146"/>
      <c r="O207" s="105"/>
    </row>
    <row r="208" spans="1:15" x14ac:dyDescent="0.25">
      <c r="A208" s="95"/>
      <c r="B208" s="147" t="s">
        <v>82</v>
      </c>
      <c r="C208" s="89"/>
      <c r="D208" s="89"/>
      <c r="E208" s="89"/>
      <c r="F208" s="148"/>
      <c r="G208" s="149"/>
      <c r="H208" s="150">
        <f>SUM(H199:H200,H191,H192:H195)</f>
        <v>7254.9242799999993</v>
      </c>
      <c r="I208" s="151"/>
      <c r="J208" s="152"/>
      <c r="K208" s="152"/>
      <c r="L208" s="150">
        <f>SUM(L199:L200,L191,L192:L195)</f>
        <v>6606.4085639434024</v>
      </c>
      <c r="M208" s="153"/>
      <c r="N208" s="154">
        <f t="shared" ref="N208:N212" si="64">L208-H208</f>
        <v>-648.51571605659683</v>
      </c>
      <c r="O208" s="114">
        <f t="shared" ref="O208:O212" si="65">IF((H208)=0,"",(N208/H208))</f>
        <v>-8.9389729103636753E-2</v>
      </c>
    </row>
    <row r="209" spans="1:15" x14ac:dyDescent="0.25">
      <c r="A209" s="95"/>
      <c r="B209" s="155" t="s">
        <v>56</v>
      </c>
      <c r="C209" s="89"/>
      <c r="D209" s="89"/>
      <c r="E209" s="89"/>
      <c r="F209" s="156">
        <v>0.13</v>
      </c>
      <c r="G209" s="149"/>
      <c r="H209" s="157">
        <f>H208*F209</f>
        <v>943.14015639999991</v>
      </c>
      <c r="I209" s="158"/>
      <c r="J209" s="159">
        <v>0.13</v>
      </c>
      <c r="K209" s="160"/>
      <c r="L209" s="161">
        <f>L208*J209</f>
        <v>858.83311331264235</v>
      </c>
      <c r="M209" s="162"/>
      <c r="N209" s="163">
        <f t="shared" si="64"/>
        <v>-84.307043087357556</v>
      </c>
      <c r="O209" s="124">
        <f t="shared" si="65"/>
        <v>-8.9389729103636711E-2</v>
      </c>
    </row>
    <row r="210" spans="1:15" x14ac:dyDescent="0.25">
      <c r="A210" s="95"/>
      <c r="B210" s="164" t="s">
        <v>57</v>
      </c>
      <c r="C210" s="89"/>
      <c r="D210" s="89"/>
      <c r="E210" s="89"/>
      <c r="F210" s="165"/>
      <c r="G210" s="166"/>
      <c r="H210" s="157">
        <f>H208+H209</f>
        <v>8198.0644364</v>
      </c>
      <c r="I210" s="158"/>
      <c r="J210" s="158"/>
      <c r="K210" s="158"/>
      <c r="L210" s="161">
        <f>L208+L209</f>
        <v>7465.2416772560446</v>
      </c>
      <c r="M210" s="162"/>
      <c r="N210" s="163">
        <f t="shared" si="64"/>
        <v>-732.82275914395541</v>
      </c>
      <c r="O210" s="124">
        <f t="shared" si="65"/>
        <v>-8.9389729103636864E-2</v>
      </c>
    </row>
    <row r="211" spans="1:15" x14ac:dyDescent="0.25">
      <c r="A211" s="95"/>
      <c r="B211" s="205" t="s">
        <v>58</v>
      </c>
      <c r="C211" s="205"/>
      <c r="D211" s="205"/>
      <c r="E211" s="89"/>
      <c r="F211" s="165"/>
      <c r="G211" s="166"/>
      <c r="H211" s="167"/>
      <c r="I211" s="158"/>
      <c r="J211" s="158"/>
      <c r="K211" s="158"/>
      <c r="L211" s="168"/>
      <c r="M211" s="162"/>
      <c r="N211" s="169">
        <f t="shared" si="64"/>
        <v>0</v>
      </c>
      <c r="O211" s="130" t="str">
        <f t="shared" si="65"/>
        <v/>
      </c>
    </row>
    <row r="212" spans="1:15" ht="15.75" thickBot="1" x14ac:dyDescent="0.3">
      <c r="A212" s="95"/>
      <c r="B212" s="196" t="s">
        <v>84</v>
      </c>
      <c r="C212" s="196"/>
      <c r="D212" s="196"/>
      <c r="E212" s="170"/>
      <c r="F212" s="171"/>
      <c r="G212" s="172"/>
      <c r="H212" s="173">
        <f>SUM(H210:H211)</f>
        <v>8198.0644364</v>
      </c>
      <c r="I212" s="174"/>
      <c r="J212" s="174"/>
      <c r="K212" s="174"/>
      <c r="L212" s="175">
        <f>SUM(L210:L211)</f>
        <v>7465.2416772560446</v>
      </c>
      <c r="M212" s="176"/>
      <c r="N212" s="177">
        <f t="shared" si="64"/>
        <v>-732.82275914395541</v>
      </c>
      <c r="O212" s="178">
        <f t="shared" si="65"/>
        <v>-8.9389729103636864E-2</v>
      </c>
    </row>
    <row r="213" spans="1:15" ht="15.75" thickBot="1" x14ac:dyDescent="0.3">
      <c r="A213" s="95"/>
      <c r="B213" s="140"/>
      <c r="C213" s="141"/>
      <c r="D213" s="142"/>
      <c r="E213" s="141"/>
      <c r="F213" s="179"/>
      <c r="G213" s="180"/>
      <c r="H213" s="181"/>
      <c r="I213" s="182"/>
      <c r="J213" s="179"/>
      <c r="K213" s="143"/>
      <c r="L213" s="183"/>
      <c r="M213" s="144"/>
      <c r="N213" s="184"/>
      <c r="O213" s="105"/>
    </row>
    <row r="214" spans="1:15" x14ac:dyDescent="0.25">
      <c r="L214" s="87"/>
    </row>
    <row r="215" spans="1:15" x14ac:dyDescent="0.25">
      <c r="B215" s="20" t="s">
        <v>62</v>
      </c>
      <c r="F215" s="185">
        <f>F73</f>
        <v>4.6300000000000001E-2</v>
      </c>
      <c r="J215" s="185">
        <f>J73</f>
        <v>3.7900000000000045E-2</v>
      </c>
    </row>
    <row r="217" spans="1:15" x14ac:dyDescent="0.25">
      <c r="A217" s="188"/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</row>
    <row r="218" spans="1:15" ht="15.75" x14ac:dyDescent="0.25">
      <c r="B218" s="15" t="s">
        <v>8</v>
      </c>
      <c r="D218" s="206" t="s">
        <v>85</v>
      </c>
      <c r="E218" s="206"/>
      <c r="F218" s="206"/>
      <c r="G218" s="206"/>
      <c r="H218" s="206"/>
      <c r="I218" s="206"/>
      <c r="J218" s="206"/>
      <c r="K218" s="206"/>
      <c r="L218" s="206"/>
      <c r="M218" s="206"/>
      <c r="N218" s="206"/>
      <c r="O218" s="206"/>
    </row>
    <row r="219" spans="1:15" ht="15.75" x14ac:dyDescent="0.25">
      <c r="B219" s="16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spans="1:15" ht="15.75" x14ac:dyDescent="0.25">
      <c r="B220" s="15" t="s">
        <v>10</v>
      </c>
      <c r="D220" s="18" t="s">
        <v>76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spans="1:15" ht="15.75" x14ac:dyDescent="0.25">
      <c r="B221" s="16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spans="1:15" x14ac:dyDescent="0.25">
      <c r="B222" s="19"/>
      <c r="D222" s="20" t="s">
        <v>12</v>
      </c>
      <c r="E222" s="20"/>
      <c r="F222" s="21">
        <v>50</v>
      </c>
      <c r="G222" s="20" t="s">
        <v>77</v>
      </c>
    </row>
    <row r="223" spans="1:15" x14ac:dyDescent="0.25">
      <c r="B223" s="19"/>
      <c r="F223" s="192">
        <v>0.14000000000000001</v>
      </c>
      <c r="G223" s="20" t="s">
        <v>78</v>
      </c>
    </row>
    <row r="224" spans="1:15" x14ac:dyDescent="0.25">
      <c r="B224" s="19"/>
      <c r="D224" s="22"/>
      <c r="E224" s="22"/>
      <c r="F224" s="207" t="s">
        <v>14</v>
      </c>
      <c r="G224" s="208"/>
      <c r="H224" s="209"/>
      <c r="J224" s="207" t="s">
        <v>15</v>
      </c>
      <c r="K224" s="208"/>
      <c r="L224" s="209"/>
      <c r="N224" s="207" t="s">
        <v>16</v>
      </c>
      <c r="O224" s="209"/>
    </row>
    <row r="225" spans="2:15" x14ac:dyDescent="0.25">
      <c r="B225" s="19"/>
      <c r="D225" s="197" t="s">
        <v>17</v>
      </c>
      <c r="E225" s="23"/>
      <c r="F225" s="24" t="s">
        <v>18</v>
      </c>
      <c r="G225" s="24" t="s">
        <v>19</v>
      </c>
      <c r="H225" s="25" t="s">
        <v>20</v>
      </c>
      <c r="J225" s="24" t="s">
        <v>18</v>
      </c>
      <c r="K225" s="26" t="s">
        <v>19</v>
      </c>
      <c r="L225" s="25" t="s">
        <v>20</v>
      </c>
      <c r="N225" s="199" t="s">
        <v>21</v>
      </c>
      <c r="O225" s="201" t="s">
        <v>22</v>
      </c>
    </row>
    <row r="226" spans="2:15" x14ac:dyDescent="0.25">
      <c r="B226" s="19"/>
      <c r="D226" s="198"/>
      <c r="E226" s="23"/>
      <c r="F226" s="27" t="s">
        <v>23</v>
      </c>
      <c r="G226" s="27"/>
      <c r="H226" s="28" t="s">
        <v>23</v>
      </c>
      <c r="J226" s="27" t="s">
        <v>23</v>
      </c>
      <c r="K226" s="28"/>
      <c r="L226" s="28" t="s">
        <v>23</v>
      </c>
      <c r="N226" s="200"/>
      <c r="O226" s="202"/>
    </row>
    <row r="227" spans="2:15" x14ac:dyDescent="0.25">
      <c r="B227" s="29" t="s">
        <v>24</v>
      </c>
      <c r="C227" s="29"/>
      <c r="D227" s="30" t="s">
        <v>25</v>
      </c>
      <c r="E227" s="31"/>
      <c r="F227" s="32">
        <v>4.9800000000000004</v>
      </c>
      <c r="G227" s="33">
        <v>1</v>
      </c>
      <c r="H227" s="34">
        <f>G227*F227</f>
        <v>4.9800000000000004</v>
      </c>
      <c r="I227" s="35"/>
      <c r="J227" s="36">
        <f>ROUND('[2]Rates By Rate Class'!$D$12,2)</f>
        <v>7.67</v>
      </c>
      <c r="K227" s="37">
        <v>1</v>
      </c>
      <c r="L227" s="34">
        <f>K227*J227</f>
        <v>7.67</v>
      </c>
      <c r="M227" s="35"/>
      <c r="N227" s="38">
        <f>L227-H227</f>
        <v>2.6899999999999995</v>
      </c>
      <c r="O227" s="39">
        <f>IF((H227)=0,"",(N227/H227))</f>
        <v>0.54016064257028096</v>
      </c>
    </row>
    <row r="228" spans="2:15" hidden="1" x14ac:dyDescent="0.25">
      <c r="B228" s="29" t="s">
        <v>26</v>
      </c>
      <c r="C228" s="29"/>
      <c r="D228" s="30"/>
      <c r="E228" s="31"/>
      <c r="F228" s="32"/>
      <c r="G228" s="33">
        <v>1</v>
      </c>
      <c r="H228" s="34">
        <f t="shared" ref="H228:H242" si="66">G228*F228</f>
        <v>0</v>
      </c>
      <c r="I228" s="35"/>
      <c r="J228" s="36"/>
      <c r="K228" s="37">
        <v>1</v>
      </c>
      <c r="L228" s="34">
        <f>K228*J228</f>
        <v>0</v>
      </c>
      <c r="M228" s="35"/>
      <c r="N228" s="38">
        <f>L228-H228</f>
        <v>0</v>
      </c>
      <c r="O228" s="39" t="str">
        <f>IF((H228)=0,"",(N228/H228))</f>
        <v/>
      </c>
    </row>
    <row r="229" spans="2:15" hidden="1" x14ac:dyDescent="0.25">
      <c r="B229" s="40"/>
      <c r="C229" s="29"/>
      <c r="D229" s="30"/>
      <c r="E229" s="31"/>
      <c r="F229" s="32"/>
      <c r="G229" s="33">
        <v>1</v>
      </c>
      <c r="H229" s="34">
        <f t="shared" si="66"/>
        <v>0</v>
      </c>
      <c r="I229" s="35"/>
      <c r="J229" s="36"/>
      <c r="K229" s="37">
        <v>1</v>
      </c>
      <c r="L229" s="34">
        <f t="shared" ref="L229:L242" si="67">K229*J229</f>
        <v>0</v>
      </c>
      <c r="M229" s="35"/>
      <c r="N229" s="38">
        <f t="shared" ref="N229:N243" si="68">L229-H229</f>
        <v>0</v>
      </c>
      <c r="O229" s="39" t="str">
        <f t="shared" ref="O229:O243" si="69">IF((H229)=0,"",(N229/H229))</f>
        <v/>
      </c>
    </row>
    <row r="230" spans="2:15" hidden="1" x14ac:dyDescent="0.25">
      <c r="B230" s="40"/>
      <c r="C230" s="29"/>
      <c r="D230" s="30"/>
      <c r="E230" s="31"/>
      <c r="F230" s="32"/>
      <c r="G230" s="33">
        <v>1</v>
      </c>
      <c r="H230" s="34">
        <f t="shared" si="66"/>
        <v>0</v>
      </c>
      <c r="I230" s="35"/>
      <c r="J230" s="36"/>
      <c r="K230" s="37">
        <v>1</v>
      </c>
      <c r="L230" s="34">
        <f t="shared" si="67"/>
        <v>0</v>
      </c>
      <c r="M230" s="35"/>
      <c r="N230" s="38">
        <f t="shared" si="68"/>
        <v>0</v>
      </c>
      <c r="O230" s="39" t="str">
        <f t="shared" si="69"/>
        <v/>
      </c>
    </row>
    <row r="231" spans="2:15" hidden="1" x14ac:dyDescent="0.25">
      <c r="B231" s="41"/>
      <c r="C231" s="29"/>
      <c r="D231" s="30"/>
      <c r="E231" s="31"/>
      <c r="F231" s="32"/>
      <c r="G231" s="33">
        <v>1</v>
      </c>
      <c r="H231" s="34">
        <f t="shared" si="66"/>
        <v>0</v>
      </c>
      <c r="I231" s="35"/>
      <c r="J231" s="36"/>
      <c r="K231" s="37">
        <v>1</v>
      </c>
      <c r="L231" s="34">
        <f t="shared" si="67"/>
        <v>0</v>
      </c>
      <c r="M231" s="35"/>
      <c r="N231" s="38">
        <f t="shared" si="68"/>
        <v>0</v>
      </c>
      <c r="O231" s="39" t="str">
        <f t="shared" si="69"/>
        <v/>
      </c>
    </row>
    <row r="232" spans="2:15" hidden="1" x14ac:dyDescent="0.25">
      <c r="B232" s="41"/>
      <c r="C232" s="29"/>
      <c r="D232" s="30"/>
      <c r="E232" s="31"/>
      <c r="F232" s="32"/>
      <c r="G232" s="33">
        <v>1</v>
      </c>
      <c r="H232" s="34">
        <f t="shared" si="66"/>
        <v>0</v>
      </c>
      <c r="I232" s="35"/>
      <c r="J232" s="36"/>
      <c r="K232" s="37">
        <v>1</v>
      </c>
      <c r="L232" s="34">
        <f t="shared" si="67"/>
        <v>0</v>
      </c>
      <c r="M232" s="35"/>
      <c r="N232" s="38">
        <f t="shared" si="68"/>
        <v>0</v>
      </c>
      <c r="O232" s="39" t="str">
        <f t="shared" si="69"/>
        <v/>
      </c>
    </row>
    <row r="233" spans="2:15" x14ac:dyDescent="0.25">
      <c r="B233" s="29" t="s">
        <v>30</v>
      </c>
      <c r="C233" s="29"/>
      <c r="D233" s="30" t="s">
        <v>79</v>
      </c>
      <c r="E233" s="31"/>
      <c r="F233" s="32">
        <v>19.479500000000002</v>
      </c>
      <c r="G233" s="193">
        <f>$F$223</f>
        <v>0.14000000000000001</v>
      </c>
      <c r="H233" s="34">
        <f t="shared" si="66"/>
        <v>2.7271300000000003</v>
      </c>
      <c r="I233" s="35"/>
      <c r="J233" s="36">
        <f>'[2]Rates By Rate Class'!$E$12</f>
        <v>29.998689930247071</v>
      </c>
      <c r="K233" s="193">
        <f>$F$223</f>
        <v>0.14000000000000001</v>
      </c>
      <c r="L233" s="34">
        <f t="shared" si="67"/>
        <v>4.1998165902345903</v>
      </c>
      <c r="M233" s="35"/>
      <c r="N233" s="38">
        <f t="shared" si="68"/>
        <v>1.47268659023459</v>
      </c>
      <c r="O233" s="39">
        <f t="shared" si="69"/>
        <v>0.54001334378434096</v>
      </c>
    </row>
    <row r="234" spans="2:15" hidden="1" x14ac:dyDescent="0.25">
      <c r="B234" s="29" t="s">
        <v>32</v>
      </c>
      <c r="C234" s="29"/>
      <c r="D234" s="30"/>
      <c r="E234" s="31"/>
      <c r="F234" s="32"/>
      <c r="G234" s="33">
        <f t="shared" ref="G234:G242" si="70">$F$223</f>
        <v>0.14000000000000001</v>
      </c>
      <c r="H234" s="34">
        <f t="shared" si="66"/>
        <v>0</v>
      </c>
      <c r="I234" s="35"/>
      <c r="J234" s="36"/>
      <c r="K234" s="33">
        <f t="shared" ref="K234:K242" si="71">$F$223</f>
        <v>0.14000000000000001</v>
      </c>
      <c r="L234" s="34">
        <f t="shared" si="67"/>
        <v>0</v>
      </c>
      <c r="M234" s="35"/>
      <c r="N234" s="38">
        <f t="shared" si="68"/>
        <v>0</v>
      </c>
      <c r="O234" s="39" t="str">
        <f t="shared" si="69"/>
        <v/>
      </c>
    </row>
    <row r="235" spans="2:15" hidden="1" x14ac:dyDescent="0.25">
      <c r="B235" s="29" t="s">
        <v>33</v>
      </c>
      <c r="C235" s="29"/>
      <c r="D235" s="30"/>
      <c r="E235" s="31"/>
      <c r="F235" s="32"/>
      <c r="G235" s="33">
        <f t="shared" si="70"/>
        <v>0.14000000000000001</v>
      </c>
      <c r="H235" s="34">
        <f t="shared" si="66"/>
        <v>0</v>
      </c>
      <c r="I235" s="35"/>
      <c r="J235" s="36"/>
      <c r="K235" s="33">
        <f t="shared" si="71"/>
        <v>0.14000000000000001</v>
      </c>
      <c r="L235" s="34">
        <f t="shared" si="67"/>
        <v>0</v>
      </c>
      <c r="M235" s="35"/>
      <c r="N235" s="38">
        <f t="shared" si="68"/>
        <v>0</v>
      </c>
      <c r="O235" s="39" t="str">
        <f t="shared" si="69"/>
        <v/>
      </c>
    </row>
    <row r="236" spans="2:15" hidden="1" x14ac:dyDescent="0.25">
      <c r="B236" s="42"/>
      <c r="C236" s="29"/>
      <c r="D236" s="30"/>
      <c r="E236" s="31"/>
      <c r="F236" s="32"/>
      <c r="G236" s="33">
        <f t="shared" si="70"/>
        <v>0.14000000000000001</v>
      </c>
      <c r="H236" s="34">
        <f t="shared" si="66"/>
        <v>0</v>
      </c>
      <c r="I236" s="35"/>
      <c r="J236" s="36"/>
      <c r="K236" s="33">
        <f t="shared" si="71"/>
        <v>0.14000000000000001</v>
      </c>
      <c r="L236" s="34">
        <f t="shared" si="67"/>
        <v>0</v>
      </c>
      <c r="M236" s="35"/>
      <c r="N236" s="38">
        <f t="shared" si="68"/>
        <v>0</v>
      </c>
      <c r="O236" s="39" t="str">
        <f t="shared" si="69"/>
        <v/>
      </c>
    </row>
    <row r="237" spans="2:15" hidden="1" x14ac:dyDescent="0.25">
      <c r="B237" s="42"/>
      <c r="C237" s="29"/>
      <c r="D237" s="30"/>
      <c r="E237" s="31"/>
      <c r="F237" s="32"/>
      <c r="G237" s="33">
        <f t="shared" si="70"/>
        <v>0.14000000000000001</v>
      </c>
      <c r="H237" s="34">
        <f t="shared" si="66"/>
        <v>0</v>
      </c>
      <c r="I237" s="35"/>
      <c r="J237" s="36"/>
      <c r="K237" s="33">
        <f t="shared" si="71"/>
        <v>0.14000000000000001</v>
      </c>
      <c r="L237" s="34">
        <f t="shared" si="67"/>
        <v>0</v>
      </c>
      <c r="M237" s="35"/>
      <c r="N237" s="38">
        <f t="shared" si="68"/>
        <v>0</v>
      </c>
      <c r="O237" s="39" t="str">
        <f t="shared" si="69"/>
        <v/>
      </c>
    </row>
    <row r="238" spans="2:15" hidden="1" x14ac:dyDescent="0.25">
      <c r="B238" s="42"/>
      <c r="C238" s="29"/>
      <c r="D238" s="30"/>
      <c r="E238" s="31"/>
      <c r="F238" s="32"/>
      <c r="G238" s="33">
        <f t="shared" si="70"/>
        <v>0.14000000000000001</v>
      </c>
      <c r="H238" s="34">
        <f t="shared" si="66"/>
        <v>0</v>
      </c>
      <c r="I238" s="35"/>
      <c r="J238" s="36"/>
      <c r="K238" s="33">
        <f t="shared" si="71"/>
        <v>0.14000000000000001</v>
      </c>
      <c r="L238" s="34">
        <f t="shared" si="67"/>
        <v>0</v>
      </c>
      <c r="M238" s="35"/>
      <c r="N238" s="38">
        <f t="shared" si="68"/>
        <v>0</v>
      </c>
      <c r="O238" s="39" t="str">
        <f t="shared" si="69"/>
        <v/>
      </c>
    </row>
    <row r="239" spans="2:15" hidden="1" x14ac:dyDescent="0.25">
      <c r="B239" s="42"/>
      <c r="C239" s="29"/>
      <c r="D239" s="30"/>
      <c r="E239" s="31"/>
      <c r="F239" s="32"/>
      <c r="G239" s="33">
        <f t="shared" si="70"/>
        <v>0.14000000000000001</v>
      </c>
      <c r="H239" s="34">
        <f t="shared" si="66"/>
        <v>0</v>
      </c>
      <c r="I239" s="35"/>
      <c r="J239" s="36"/>
      <c r="K239" s="33">
        <f t="shared" si="71"/>
        <v>0.14000000000000001</v>
      </c>
      <c r="L239" s="34">
        <f t="shared" si="67"/>
        <v>0</v>
      </c>
      <c r="M239" s="35"/>
      <c r="N239" s="38">
        <f t="shared" si="68"/>
        <v>0</v>
      </c>
      <c r="O239" s="39" t="str">
        <f t="shared" si="69"/>
        <v/>
      </c>
    </row>
    <row r="240" spans="2:15" hidden="1" x14ac:dyDescent="0.25">
      <c r="B240" s="42"/>
      <c r="C240" s="29"/>
      <c r="D240" s="30"/>
      <c r="E240" s="31"/>
      <c r="F240" s="32"/>
      <c r="G240" s="33">
        <f t="shared" si="70"/>
        <v>0.14000000000000001</v>
      </c>
      <c r="H240" s="34">
        <f t="shared" si="66"/>
        <v>0</v>
      </c>
      <c r="I240" s="35"/>
      <c r="J240" s="36"/>
      <c r="K240" s="33">
        <f t="shared" si="71"/>
        <v>0.14000000000000001</v>
      </c>
      <c r="L240" s="34">
        <f t="shared" si="67"/>
        <v>0</v>
      </c>
      <c r="M240" s="35"/>
      <c r="N240" s="38">
        <f t="shared" si="68"/>
        <v>0</v>
      </c>
      <c r="O240" s="39" t="str">
        <f t="shared" si="69"/>
        <v/>
      </c>
    </row>
    <row r="241" spans="1:15" hidden="1" x14ac:dyDescent="0.25">
      <c r="B241" s="42"/>
      <c r="C241" s="29"/>
      <c r="D241" s="30"/>
      <c r="E241" s="31"/>
      <c r="F241" s="32"/>
      <c r="G241" s="33">
        <f t="shared" si="70"/>
        <v>0.14000000000000001</v>
      </c>
      <c r="H241" s="34">
        <f t="shared" si="66"/>
        <v>0</v>
      </c>
      <c r="I241" s="35"/>
      <c r="J241" s="36"/>
      <c r="K241" s="33">
        <f t="shared" si="71"/>
        <v>0.14000000000000001</v>
      </c>
      <c r="L241" s="34">
        <f t="shared" si="67"/>
        <v>0</v>
      </c>
      <c r="M241" s="35"/>
      <c r="N241" s="38">
        <f t="shared" si="68"/>
        <v>0</v>
      </c>
      <c r="O241" s="39" t="str">
        <f t="shared" si="69"/>
        <v/>
      </c>
    </row>
    <row r="242" spans="1:15" hidden="1" x14ac:dyDescent="0.25">
      <c r="B242" s="42"/>
      <c r="C242" s="29"/>
      <c r="D242" s="30"/>
      <c r="E242" s="31"/>
      <c r="F242" s="32"/>
      <c r="G242" s="33">
        <f t="shared" si="70"/>
        <v>0.14000000000000001</v>
      </c>
      <c r="H242" s="34">
        <f t="shared" si="66"/>
        <v>0</v>
      </c>
      <c r="I242" s="35"/>
      <c r="J242" s="36"/>
      <c r="K242" s="33">
        <f t="shared" si="71"/>
        <v>0.14000000000000001</v>
      </c>
      <c r="L242" s="34">
        <f t="shared" si="67"/>
        <v>0</v>
      </c>
      <c r="M242" s="35"/>
      <c r="N242" s="38">
        <f t="shared" si="68"/>
        <v>0</v>
      </c>
      <c r="O242" s="39" t="str">
        <f t="shared" si="69"/>
        <v/>
      </c>
    </row>
    <row r="243" spans="1:15" x14ac:dyDescent="0.25">
      <c r="A243" s="54"/>
      <c r="B243" s="43" t="s">
        <v>34</v>
      </c>
      <c r="C243" s="44"/>
      <c r="D243" s="45"/>
      <c r="E243" s="44"/>
      <c r="F243" s="46"/>
      <c r="G243" s="47"/>
      <c r="H243" s="48">
        <f>SUM(H227:H242)</f>
        <v>7.7071300000000011</v>
      </c>
      <c r="I243" s="49"/>
      <c r="J243" s="50"/>
      <c r="K243" s="51"/>
      <c r="L243" s="48">
        <f>SUM(L227:L242)</f>
        <v>11.86981659023459</v>
      </c>
      <c r="M243" s="49"/>
      <c r="N243" s="52">
        <f t="shared" si="68"/>
        <v>4.1626865902345891</v>
      </c>
      <c r="O243" s="53">
        <f t="shared" si="69"/>
        <v>0.54010852162018652</v>
      </c>
    </row>
    <row r="244" spans="1:15" ht="25.5" x14ac:dyDescent="0.25">
      <c r="B244" s="55" t="s">
        <v>35</v>
      </c>
      <c r="C244" s="29"/>
      <c r="D244" s="30" t="s">
        <v>79</v>
      </c>
      <c r="E244" s="31"/>
      <c r="F244" s="32">
        <v>-0.16109999999999999</v>
      </c>
      <c r="G244" s="193">
        <f>$F$223</f>
        <v>0.14000000000000001</v>
      </c>
      <c r="H244" s="34">
        <f>G244*F244</f>
        <v>-2.2554000000000001E-2</v>
      </c>
      <c r="I244" s="35"/>
      <c r="J244" s="36">
        <f>'[4]6. Rate Rider Calculations'!$F$24</f>
        <v>-1.1086201486354312</v>
      </c>
      <c r="K244" s="193">
        <f t="shared" ref="K244:K249" si="72">$F$223</f>
        <v>0.14000000000000001</v>
      </c>
      <c r="L244" s="34">
        <f>K244*J244</f>
        <v>-0.15520682080896039</v>
      </c>
      <c r="M244" s="35"/>
      <c r="N244" s="38">
        <f>L244-H244</f>
        <v>-0.1326528208089604</v>
      </c>
      <c r="O244" s="39">
        <f>IF((H244)=0,"",(N244/H244))</f>
        <v>5.8815651684384322</v>
      </c>
    </row>
    <row r="245" spans="1:15" x14ac:dyDescent="0.25">
      <c r="B245" s="55" t="s">
        <v>80</v>
      </c>
      <c r="C245" s="29"/>
      <c r="D245" s="30" t="s">
        <v>79</v>
      </c>
      <c r="E245" s="31"/>
      <c r="F245" s="32">
        <v>1.8803000000000001</v>
      </c>
      <c r="G245" s="193">
        <f t="shared" ref="G245:G249" si="73">$F$223</f>
        <v>0.14000000000000001</v>
      </c>
      <c r="H245" s="34">
        <f>G245*F245</f>
        <v>0.26324200000000003</v>
      </c>
      <c r="I245" s="35"/>
      <c r="J245" s="36">
        <f>'[4]6. Rate Rider Calculations'!$F$51</f>
        <v>-0.76199881833297001</v>
      </c>
      <c r="K245" s="193">
        <f t="shared" si="72"/>
        <v>0.14000000000000001</v>
      </c>
      <c r="L245" s="34">
        <f>K245*J245</f>
        <v>-0.10667983456661581</v>
      </c>
      <c r="M245" s="35"/>
      <c r="N245" s="38">
        <f>L245-H245</f>
        <v>-0.36992183456661587</v>
      </c>
      <c r="O245" s="39">
        <f>IF((H245)=0,"",(N245/H245))</f>
        <v>-1.40525385222197</v>
      </c>
    </row>
    <row r="246" spans="1:15" x14ac:dyDescent="0.25">
      <c r="B246" s="55" t="s">
        <v>36</v>
      </c>
      <c r="C246" s="29"/>
      <c r="D246" s="30" t="s">
        <v>79</v>
      </c>
      <c r="E246" s="31"/>
      <c r="F246" s="32">
        <v>-2.4982000000000002</v>
      </c>
      <c r="G246" s="193">
        <f t="shared" si="73"/>
        <v>0.14000000000000001</v>
      </c>
      <c r="H246" s="34">
        <f t="shared" ref="H246:H248" si="74">G246*F246</f>
        <v>-0.34974800000000006</v>
      </c>
      <c r="I246" s="56"/>
      <c r="J246" s="36">
        <v>0</v>
      </c>
      <c r="K246" s="193">
        <f t="shared" si="72"/>
        <v>0.14000000000000001</v>
      </c>
      <c r="L246" s="34">
        <f t="shared" ref="L246:L248" si="75">K246*J246</f>
        <v>0</v>
      </c>
      <c r="M246" s="57"/>
      <c r="N246" s="38">
        <f t="shared" ref="N246:N248" si="76">L246-H246</f>
        <v>0.34974800000000006</v>
      </c>
      <c r="O246" s="39">
        <f t="shared" ref="O246:O248" si="77">IF((H246)=0,"",(N246/H246))</f>
        <v>-1</v>
      </c>
    </row>
    <row r="247" spans="1:15" x14ac:dyDescent="0.25">
      <c r="B247" s="55" t="s">
        <v>37</v>
      </c>
      <c r="C247" s="29"/>
      <c r="D247" s="30" t="s">
        <v>79</v>
      </c>
      <c r="E247" s="31"/>
      <c r="F247" s="32">
        <v>-0.97929999999999995</v>
      </c>
      <c r="G247" s="193">
        <f t="shared" si="73"/>
        <v>0.14000000000000001</v>
      </c>
      <c r="H247" s="34">
        <f t="shared" si="74"/>
        <v>-0.137102</v>
      </c>
      <c r="I247" s="56"/>
      <c r="J247" s="36">
        <v>0</v>
      </c>
      <c r="K247" s="193">
        <f t="shared" si="72"/>
        <v>0.14000000000000001</v>
      </c>
      <c r="L247" s="34">
        <f t="shared" si="75"/>
        <v>0</v>
      </c>
      <c r="M247" s="57"/>
      <c r="N247" s="38">
        <f t="shared" si="76"/>
        <v>0.137102</v>
      </c>
      <c r="O247" s="39">
        <f t="shared" si="77"/>
        <v>-1</v>
      </c>
    </row>
    <row r="248" spans="1:15" x14ac:dyDescent="0.25">
      <c r="B248" s="55" t="s">
        <v>38</v>
      </c>
      <c r="C248" s="29"/>
      <c r="D248" s="30" t="s">
        <v>79</v>
      </c>
      <c r="E248" s="31"/>
      <c r="F248" s="32">
        <v>0</v>
      </c>
      <c r="G248" s="193">
        <f t="shared" si="73"/>
        <v>0.14000000000000001</v>
      </c>
      <c r="H248" s="34">
        <f t="shared" si="74"/>
        <v>0</v>
      </c>
      <c r="I248" s="56"/>
      <c r="J248" s="36">
        <f>'[4]6. Rate Rider Calculations'!$F$79</f>
        <v>-0.34734872769697228</v>
      </c>
      <c r="K248" s="193">
        <f t="shared" si="72"/>
        <v>0.14000000000000001</v>
      </c>
      <c r="L248" s="34">
        <f t="shared" si="75"/>
        <v>-4.8628821877576126E-2</v>
      </c>
      <c r="M248" s="57"/>
      <c r="N248" s="38">
        <f t="shared" si="76"/>
        <v>-4.8628821877576126E-2</v>
      </c>
      <c r="O248" s="39" t="str">
        <f t="shared" si="77"/>
        <v/>
      </c>
    </row>
    <row r="249" spans="1:15" hidden="1" x14ac:dyDescent="0.25">
      <c r="B249" s="59" t="s">
        <v>39</v>
      </c>
      <c r="C249" s="29"/>
      <c r="D249" s="30"/>
      <c r="E249" s="31"/>
      <c r="F249" s="32"/>
      <c r="G249" s="193">
        <f t="shared" si="73"/>
        <v>0.14000000000000001</v>
      </c>
      <c r="H249" s="34">
        <f>G249*F249</f>
        <v>0</v>
      </c>
      <c r="I249" s="35"/>
      <c r="J249" s="36"/>
      <c r="K249" s="193">
        <f t="shared" si="72"/>
        <v>0.14000000000000001</v>
      </c>
      <c r="L249" s="34">
        <f>K249*J249</f>
        <v>0</v>
      </c>
      <c r="M249" s="35"/>
      <c r="N249" s="38">
        <f>L249-H249</f>
        <v>0</v>
      </c>
      <c r="O249" s="39" t="str">
        <f>IF((H249)=0,"",(N249/H249))</f>
        <v/>
      </c>
    </row>
    <row r="250" spans="1:15" x14ac:dyDescent="0.25">
      <c r="B250" s="59" t="s">
        <v>40</v>
      </c>
      <c r="C250" s="29"/>
      <c r="D250" s="30"/>
      <c r="E250" s="31"/>
      <c r="F250" s="60">
        <f>IF(ISBLANK(D220)=TRUE, 0, IF(D220="TOU", 0.64*$F$54+0.18*$F$55+0.18*$F$56, IF(AND(D220="non-TOU", G264&gt;0), F264,F263)))</f>
        <v>8.7599999999999997E-2</v>
      </c>
      <c r="G250" s="189">
        <f>$F$223*(1+$F$73)-$F$223</f>
        <v>6.4820000000000155E-3</v>
      </c>
      <c r="H250" s="34">
        <f t="shared" ref="H250" si="78">G250*F250</f>
        <v>5.6782320000000133E-4</v>
      </c>
      <c r="I250" s="35"/>
      <c r="J250" s="62">
        <f>F250</f>
        <v>8.7599999999999997E-2</v>
      </c>
      <c r="K250" s="189">
        <f>$F$223*(1+$J$73)-$F$223</f>
        <v>5.3060000000000052E-3</v>
      </c>
      <c r="L250" s="34">
        <f t="shared" ref="L250" si="79">K250*J250</f>
        <v>4.6480560000000041E-4</v>
      </c>
      <c r="M250" s="35"/>
      <c r="N250" s="38">
        <f t="shared" ref="N250" si="80">L250-H250</f>
        <v>-1.0301760000000092E-4</v>
      </c>
      <c r="O250" s="39">
        <f t="shared" ref="O250" si="81">IF((H250)=0,"",(N250/H250))</f>
        <v>-0.18142548596112429</v>
      </c>
    </row>
    <row r="251" spans="1:15" hidden="1" x14ac:dyDescent="0.25">
      <c r="B251" s="59" t="s">
        <v>41</v>
      </c>
      <c r="C251" s="29"/>
      <c r="D251" s="30"/>
      <c r="E251" s="31"/>
      <c r="F251" s="60"/>
      <c r="G251" s="33">
        <v>1</v>
      </c>
      <c r="H251" s="34">
        <f>G251*F251</f>
        <v>0</v>
      </c>
      <c r="I251" s="35"/>
      <c r="J251" s="60"/>
      <c r="K251" s="33">
        <v>1</v>
      </c>
      <c r="L251" s="34">
        <f>K251*J251</f>
        <v>0</v>
      </c>
      <c r="M251" s="35"/>
      <c r="N251" s="38">
        <f>L251-H251</f>
        <v>0</v>
      </c>
      <c r="O251" s="39"/>
    </row>
    <row r="252" spans="1:15" ht="25.5" x14ac:dyDescent="0.25">
      <c r="B252" s="63" t="s">
        <v>42</v>
      </c>
      <c r="C252" s="64"/>
      <c r="D252" s="64"/>
      <c r="E252" s="64"/>
      <c r="F252" s="65"/>
      <c r="G252" s="66"/>
      <c r="H252" s="67">
        <f>SUM(H244:H251)+H243</f>
        <v>7.4615358232000011</v>
      </c>
      <c r="I252" s="49"/>
      <c r="J252" s="66"/>
      <c r="K252" s="68"/>
      <c r="L252" s="67">
        <f>SUM(L244:L251)+L243</f>
        <v>11.559765918581437</v>
      </c>
      <c r="M252" s="49"/>
      <c r="N252" s="52">
        <f t="shared" ref="N252:N264" si="82">L252-H252</f>
        <v>4.0982300953814361</v>
      </c>
      <c r="O252" s="53">
        <f t="shared" ref="O252:O264" si="83">IF((H252)=0,"",(N252/H252))</f>
        <v>0.54924752658010334</v>
      </c>
    </row>
    <row r="253" spans="1:15" x14ac:dyDescent="0.25">
      <c r="B253" s="35" t="s">
        <v>43</v>
      </c>
      <c r="C253" s="35"/>
      <c r="D253" s="69" t="s">
        <v>79</v>
      </c>
      <c r="E253" s="70"/>
      <c r="F253" s="36">
        <v>1.9552</v>
      </c>
      <c r="G253" s="194">
        <f>F223</f>
        <v>0.14000000000000001</v>
      </c>
      <c r="H253" s="34">
        <f>G253*F253</f>
        <v>0.27372800000000003</v>
      </c>
      <c r="I253" s="35"/>
      <c r="J253" s="36">
        <v>2.0249000000000001</v>
      </c>
      <c r="K253" s="195">
        <f>F223</f>
        <v>0.14000000000000001</v>
      </c>
      <c r="L253" s="34">
        <f>K253*J253</f>
        <v>0.28348600000000007</v>
      </c>
      <c r="M253" s="35"/>
      <c r="N253" s="38">
        <f t="shared" si="82"/>
        <v>9.7580000000000444E-3</v>
      </c>
      <c r="O253" s="39">
        <f t="shared" si="83"/>
        <v>3.5648527004910141E-2</v>
      </c>
    </row>
    <row r="254" spans="1:15" ht="30" x14ac:dyDescent="0.25">
      <c r="B254" s="73" t="s">
        <v>44</v>
      </c>
      <c r="C254" s="35"/>
      <c r="D254" s="69" t="s">
        <v>79</v>
      </c>
      <c r="E254" s="70"/>
      <c r="F254" s="36">
        <v>0.33360000000000001</v>
      </c>
      <c r="G254" s="194">
        <f>G253</f>
        <v>0.14000000000000001</v>
      </c>
      <c r="H254" s="34">
        <f>G254*F254</f>
        <v>4.6704000000000002E-2</v>
      </c>
      <c r="I254" s="35"/>
      <c r="J254" s="36">
        <v>0.35580000000000001</v>
      </c>
      <c r="K254" s="195">
        <f>K253</f>
        <v>0.14000000000000001</v>
      </c>
      <c r="L254" s="34">
        <f>K254*J254</f>
        <v>4.9812000000000002E-2</v>
      </c>
      <c r="M254" s="35"/>
      <c r="N254" s="38">
        <f t="shared" si="82"/>
        <v>3.1079999999999997E-3</v>
      </c>
      <c r="O254" s="39">
        <f t="shared" si="83"/>
        <v>6.6546762589928046E-2</v>
      </c>
    </row>
    <row r="255" spans="1:15" ht="25.5" x14ac:dyDescent="0.25">
      <c r="B255" s="63" t="s">
        <v>45</v>
      </c>
      <c r="C255" s="44"/>
      <c r="D255" s="44"/>
      <c r="E255" s="44"/>
      <c r="F255" s="74"/>
      <c r="G255" s="66"/>
      <c r="H255" s="67">
        <f>SUM(H252:H254)</f>
        <v>7.7819678232000014</v>
      </c>
      <c r="I255" s="75"/>
      <c r="J255" s="76"/>
      <c r="K255" s="77"/>
      <c r="L255" s="67">
        <f>SUM(L252:L254)</f>
        <v>11.893063918581436</v>
      </c>
      <c r="M255" s="75"/>
      <c r="N255" s="52">
        <f t="shared" si="82"/>
        <v>4.1110960953814351</v>
      </c>
      <c r="O255" s="53">
        <f t="shared" si="83"/>
        <v>0.52828490026972674</v>
      </c>
    </row>
    <row r="256" spans="1:15" ht="30" x14ac:dyDescent="0.25">
      <c r="B256" s="78" t="s">
        <v>46</v>
      </c>
      <c r="C256" s="29"/>
      <c r="D256" s="30" t="s">
        <v>31</v>
      </c>
      <c r="E256" s="31"/>
      <c r="F256" s="79">
        <v>4.4000000000000003E-3</v>
      </c>
      <c r="G256" s="71">
        <f>F222</f>
        <v>50</v>
      </c>
      <c r="H256" s="80">
        <f t="shared" ref="H256:H262" si="84">G256*F256</f>
        <v>0.22</v>
      </c>
      <c r="I256" s="35"/>
      <c r="J256" s="81">
        <f>F256</f>
        <v>4.4000000000000003E-3</v>
      </c>
      <c r="K256" s="72">
        <f>G256</f>
        <v>50</v>
      </c>
      <c r="L256" s="80">
        <f t="shared" ref="L256:L262" si="85">K256*J256</f>
        <v>0.22</v>
      </c>
      <c r="M256" s="35"/>
      <c r="N256" s="38">
        <f t="shared" si="82"/>
        <v>0</v>
      </c>
      <c r="O256" s="82">
        <f t="shared" si="83"/>
        <v>0</v>
      </c>
    </row>
    <row r="257" spans="1:15" ht="30" x14ac:dyDescent="0.25">
      <c r="B257" s="78" t="s">
        <v>47</v>
      </c>
      <c r="C257" s="29"/>
      <c r="D257" s="30" t="s">
        <v>31</v>
      </c>
      <c r="E257" s="31"/>
      <c r="F257" s="79">
        <v>1.1999999999999999E-3</v>
      </c>
      <c r="G257" s="71">
        <f>F222</f>
        <v>50</v>
      </c>
      <c r="H257" s="80">
        <f t="shared" si="84"/>
        <v>0.06</v>
      </c>
      <c r="I257" s="35"/>
      <c r="J257" s="81">
        <f>F257</f>
        <v>1.1999999999999999E-3</v>
      </c>
      <c r="K257" s="72">
        <f>G257</f>
        <v>50</v>
      </c>
      <c r="L257" s="80">
        <f t="shared" si="85"/>
        <v>0.06</v>
      </c>
      <c r="M257" s="35"/>
      <c r="N257" s="38">
        <f t="shared" si="82"/>
        <v>0</v>
      </c>
      <c r="O257" s="82">
        <f t="shared" si="83"/>
        <v>0</v>
      </c>
    </row>
    <row r="258" spans="1:15" x14ac:dyDescent="0.25">
      <c r="B258" s="29" t="s">
        <v>48</v>
      </c>
      <c r="C258" s="29"/>
      <c r="D258" s="30" t="s">
        <v>25</v>
      </c>
      <c r="E258" s="31"/>
      <c r="F258" s="79">
        <v>0.25</v>
      </c>
      <c r="G258" s="33">
        <v>1</v>
      </c>
      <c r="H258" s="80">
        <f t="shared" si="84"/>
        <v>0.25</v>
      </c>
      <c r="I258" s="35"/>
      <c r="J258" s="81">
        <v>0.25</v>
      </c>
      <c r="K258" s="37">
        <v>1</v>
      </c>
      <c r="L258" s="80">
        <f t="shared" si="85"/>
        <v>0.25</v>
      </c>
      <c r="M258" s="35"/>
      <c r="N258" s="38">
        <f t="shared" si="82"/>
        <v>0</v>
      </c>
      <c r="O258" s="82">
        <f t="shared" si="83"/>
        <v>0</v>
      </c>
    </row>
    <row r="259" spans="1:15" x14ac:dyDescent="0.25">
      <c r="B259" s="29" t="s">
        <v>49</v>
      </c>
      <c r="C259" s="29"/>
      <c r="D259" s="30" t="s">
        <v>31</v>
      </c>
      <c r="E259" s="31"/>
      <c r="F259" s="79">
        <v>7.0000000000000001E-3</v>
      </c>
      <c r="G259" s="83">
        <f>F222</f>
        <v>50</v>
      </c>
      <c r="H259" s="80">
        <f t="shared" si="84"/>
        <v>0.35000000000000003</v>
      </c>
      <c r="I259" s="35"/>
      <c r="J259" s="81">
        <f>F259</f>
        <v>7.0000000000000001E-3</v>
      </c>
      <c r="K259" s="84">
        <f>F222</f>
        <v>50</v>
      </c>
      <c r="L259" s="80">
        <f t="shared" si="85"/>
        <v>0.35000000000000003</v>
      </c>
      <c r="M259" s="35"/>
      <c r="N259" s="38">
        <f t="shared" si="82"/>
        <v>0</v>
      </c>
      <c r="O259" s="82">
        <f t="shared" si="83"/>
        <v>0</v>
      </c>
    </row>
    <row r="260" spans="1:15" hidden="1" x14ac:dyDescent="0.25">
      <c r="B260" s="59"/>
      <c r="C260" s="29"/>
      <c r="D260" s="30"/>
      <c r="E260" s="31"/>
      <c r="F260" s="85"/>
      <c r="G260" s="86"/>
      <c r="H260" s="80">
        <f t="shared" si="84"/>
        <v>0</v>
      </c>
      <c r="I260" s="35"/>
      <c r="J260" s="79"/>
      <c r="K260" s="86">
        <f>G260</f>
        <v>0</v>
      </c>
      <c r="L260" s="80">
        <f t="shared" si="85"/>
        <v>0</v>
      </c>
      <c r="M260" s="35"/>
      <c r="N260" s="38">
        <f t="shared" si="82"/>
        <v>0</v>
      </c>
      <c r="O260" s="82" t="str">
        <f t="shared" si="83"/>
        <v/>
      </c>
    </row>
    <row r="261" spans="1:15" hidden="1" x14ac:dyDescent="0.25">
      <c r="B261" s="59"/>
      <c r="C261" s="29"/>
      <c r="D261" s="30"/>
      <c r="E261" s="31"/>
      <c r="F261" s="85"/>
      <c r="G261" s="86"/>
      <c r="H261" s="80">
        <f t="shared" si="84"/>
        <v>0</v>
      </c>
      <c r="I261" s="35"/>
      <c r="J261" s="79"/>
      <c r="K261" s="86">
        <f>G261</f>
        <v>0</v>
      </c>
      <c r="L261" s="80">
        <f t="shared" si="85"/>
        <v>0</v>
      </c>
      <c r="M261" s="35"/>
      <c r="N261" s="38">
        <f t="shared" si="82"/>
        <v>0</v>
      </c>
      <c r="O261" s="82" t="str">
        <f t="shared" si="83"/>
        <v/>
      </c>
    </row>
    <row r="262" spans="1:15" hidden="1" x14ac:dyDescent="0.25">
      <c r="B262" s="19"/>
      <c r="C262" s="29"/>
      <c r="D262" s="30"/>
      <c r="E262" s="31"/>
      <c r="F262" s="85"/>
      <c r="G262" s="86"/>
      <c r="H262" s="80">
        <f t="shared" si="84"/>
        <v>0</v>
      </c>
      <c r="I262" s="35"/>
      <c r="J262" s="79"/>
      <c r="K262" s="86">
        <f>G262</f>
        <v>0</v>
      </c>
      <c r="L262" s="80">
        <f t="shared" si="85"/>
        <v>0</v>
      </c>
      <c r="M262" s="35"/>
      <c r="N262" s="38">
        <f t="shared" si="82"/>
        <v>0</v>
      </c>
      <c r="O262" s="82" t="str">
        <f t="shared" si="83"/>
        <v/>
      </c>
    </row>
    <row r="263" spans="1:15" hidden="1" x14ac:dyDescent="0.25">
      <c r="A263" s="95"/>
      <c r="B263" s="88"/>
      <c r="C263" s="89"/>
      <c r="D263" s="90"/>
      <c r="E263" s="91"/>
      <c r="F263" s="85"/>
      <c r="G263" s="92"/>
      <c r="H263" s="80">
        <f>G263*F263</f>
        <v>0</v>
      </c>
      <c r="I263" s="93"/>
      <c r="J263" s="79"/>
      <c r="K263" s="92">
        <f>G263</f>
        <v>0</v>
      </c>
      <c r="L263" s="80">
        <f>K263*J263</f>
        <v>0</v>
      </c>
      <c r="M263" s="93"/>
      <c r="N263" s="94">
        <f t="shared" si="82"/>
        <v>0</v>
      </c>
      <c r="O263" s="82" t="str">
        <f t="shared" si="83"/>
        <v/>
      </c>
    </row>
    <row r="264" spans="1:15" ht="15.75" thickBot="1" x14ac:dyDescent="0.3">
      <c r="A264" s="95"/>
      <c r="B264" s="88" t="s">
        <v>81</v>
      </c>
      <c r="C264" s="89"/>
      <c r="D264" s="90" t="s">
        <v>31</v>
      </c>
      <c r="E264" s="91"/>
      <c r="F264" s="85">
        <v>8.7599999999999997E-2</v>
      </c>
      <c r="G264" s="92">
        <f>F222</f>
        <v>50</v>
      </c>
      <c r="H264" s="80">
        <f>G264*F264</f>
        <v>4.38</v>
      </c>
      <c r="I264" s="93"/>
      <c r="J264" s="79">
        <v>8.7599999999999997E-2</v>
      </c>
      <c r="K264" s="92">
        <f>G264</f>
        <v>50</v>
      </c>
      <c r="L264" s="80">
        <f>K264*J264</f>
        <v>4.38</v>
      </c>
      <c r="M264" s="93"/>
      <c r="N264" s="94">
        <f t="shared" si="82"/>
        <v>0</v>
      </c>
      <c r="O264" s="82">
        <f t="shared" si="83"/>
        <v>0</v>
      </c>
    </row>
    <row r="265" spans="1:15" ht="15.75" thickBot="1" x14ac:dyDescent="0.3">
      <c r="B265" s="96"/>
      <c r="C265" s="97"/>
      <c r="D265" s="98"/>
      <c r="E265" s="97"/>
      <c r="F265" s="99"/>
      <c r="G265" s="100"/>
      <c r="H265" s="101"/>
      <c r="I265" s="102"/>
      <c r="J265" s="99"/>
      <c r="K265" s="103"/>
      <c r="L265" s="101"/>
      <c r="M265" s="102"/>
      <c r="N265" s="104"/>
      <c r="O265" s="105"/>
    </row>
    <row r="266" spans="1:15" x14ac:dyDescent="0.25">
      <c r="B266" s="106" t="s">
        <v>82</v>
      </c>
      <c r="C266" s="29"/>
      <c r="D266" s="29"/>
      <c r="E266" s="29"/>
      <c r="F266" s="107"/>
      <c r="G266" s="108"/>
      <c r="H266" s="109">
        <f>SUM(H256:H262,H255)</f>
        <v>8.6619678232000012</v>
      </c>
      <c r="I266" s="110"/>
      <c r="J266" s="111"/>
      <c r="K266" s="111"/>
      <c r="L266" s="109">
        <f>SUM(L256:L262,L255)</f>
        <v>12.773063918581437</v>
      </c>
      <c r="M266" s="112"/>
      <c r="N266" s="113">
        <f t="shared" ref="N266:N270" si="86">L266-H266</f>
        <v>4.1110960953814359</v>
      </c>
      <c r="O266" s="114">
        <f t="shared" ref="O266:O270" si="87">IF((H266)=0,"",(N266/H266))</f>
        <v>0.47461456556908205</v>
      </c>
    </row>
    <row r="267" spans="1:15" x14ac:dyDescent="0.25">
      <c r="B267" s="115" t="s">
        <v>56</v>
      </c>
      <c r="C267" s="29"/>
      <c r="D267" s="29"/>
      <c r="E267" s="29"/>
      <c r="F267" s="116">
        <v>0.13</v>
      </c>
      <c r="G267" s="117"/>
      <c r="H267" s="118">
        <f>H266*F267</f>
        <v>1.1260558170160002</v>
      </c>
      <c r="I267" s="119"/>
      <c r="J267" s="120">
        <v>0.13</v>
      </c>
      <c r="K267" s="119"/>
      <c r="L267" s="121">
        <f>L266*J267</f>
        <v>1.660498309415587</v>
      </c>
      <c r="M267" s="122"/>
      <c r="N267" s="123">
        <f t="shared" si="86"/>
        <v>0.53444249239958674</v>
      </c>
      <c r="O267" s="124">
        <f t="shared" si="87"/>
        <v>0.4746145655690821</v>
      </c>
    </row>
    <row r="268" spans="1:15" x14ac:dyDescent="0.25">
      <c r="B268" s="125" t="s">
        <v>57</v>
      </c>
      <c r="C268" s="29"/>
      <c r="D268" s="29"/>
      <c r="E268" s="29"/>
      <c r="F268" s="126"/>
      <c r="G268" s="117"/>
      <c r="H268" s="118">
        <f>H266+H267</f>
        <v>9.7880236402160019</v>
      </c>
      <c r="I268" s="119"/>
      <c r="J268" s="119"/>
      <c r="K268" s="119"/>
      <c r="L268" s="121">
        <f>L266+L267</f>
        <v>14.433562227997024</v>
      </c>
      <c r="M268" s="122"/>
      <c r="N268" s="123">
        <f t="shared" si="86"/>
        <v>4.6455385877810222</v>
      </c>
      <c r="O268" s="124">
        <f t="shared" si="87"/>
        <v>0.47461456556908199</v>
      </c>
    </row>
    <row r="269" spans="1:15" x14ac:dyDescent="0.25">
      <c r="B269" s="203" t="s">
        <v>58</v>
      </c>
      <c r="C269" s="203"/>
      <c r="D269" s="203"/>
      <c r="E269" s="29"/>
      <c r="F269" s="126"/>
      <c r="G269" s="117"/>
      <c r="H269" s="127">
        <f>ROUND(-H268*10%,2)</f>
        <v>-0.98</v>
      </c>
      <c r="I269" s="119"/>
      <c r="J269" s="119"/>
      <c r="K269" s="119"/>
      <c r="L269" s="128">
        <f>ROUND(-L268*10%,2)</f>
        <v>-1.44</v>
      </c>
      <c r="M269" s="122"/>
      <c r="N269" s="129">
        <f t="shared" si="86"/>
        <v>-0.45999999999999996</v>
      </c>
      <c r="O269" s="130">
        <f t="shared" si="87"/>
        <v>0.46938775510204078</v>
      </c>
    </row>
    <row r="270" spans="1:15" ht="15.75" thickBot="1" x14ac:dyDescent="0.3">
      <c r="B270" s="204" t="s">
        <v>83</v>
      </c>
      <c r="C270" s="204"/>
      <c r="D270" s="204"/>
      <c r="E270" s="131"/>
      <c r="F270" s="132"/>
      <c r="G270" s="133"/>
      <c r="H270" s="134">
        <f>H268+H269</f>
        <v>8.8080236402160015</v>
      </c>
      <c r="I270" s="135"/>
      <c r="J270" s="135"/>
      <c r="K270" s="135"/>
      <c r="L270" s="136">
        <f>L268+L269</f>
        <v>12.993562227997025</v>
      </c>
      <c r="M270" s="137"/>
      <c r="N270" s="138">
        <f t="shared" si="86"/>
        <v>4.1855385877810232</v>
      </c>
      <c r="O270" s="139">
        <f t="shared" si="87"/>
        <v>0.47519611194848926</v>
      </c>
    </row>
    <row r="271" spans="1:15" ht="15.75" thickBot="1" x14ac:dyDescent="0.3">
      <c r="A271" s="95"/>
      <c r="B271" s="140"/>
      <c r="C271" s="141"/>
      <c r="D271" s="142"/>
      <c r="E271" s="141"/>
      <c r="F271" s="99"/>
      <c r="G271" s="143"/>
      <c r="H271" s="101"/>
      <c r="I271" s="144"/>
      <c r="J271" s="99"/>
      <c r="K271" s="145"/>
      <c r="L271" s="101"/>
      <c r="M271" s="144"/>
      <c r="N271" s="146"/>
      <c r="O271" s="105"/>
    </row>
    <row r="272" spans="1:15" x14ac:dyDescent="0.25">
      <c r="A272" s="95"/>
      <c r="B272" s="147" t="s">
        <v>82</v>
      </c>
      <c r="C272" s="89"/>
      <c r="D272" s="89"/>
      <c r="E272" s="89"/>
      <c r="F272" s="148"/>
      <c r="G272" s="149"/>
      <c r="H272" s="150">
        <f>SUM(H263:H264,H255,H256:H259)</f>
        <v>13.041967823200002</v>
      </c>
      <c r="I272" s="151"/>
      <c r="J272" s="152"/>
      <c r="K272" s="152"/>
      <c r="L272" s="150">
        <f>SUM(L263:L264,L255,L256:L259)</f>
        <v>17.153063918581434</v>
      </c>
      <c r="M272" s="153"/>
      <c r="N272" s="154">
        <f t="shared" ref="N272:N276" si="88">L272-H272</f>
        <v>4.1110960953814324</v>
      </c>
      <c r="O272" s="114">
        <f t="shared" ref="O272:O276" si="89">IF((H272)=0,"",(N272/H272))</f>
        <v>0.31522053658714871</v>
      </c>
    </row>
    <row r="273" spans="1:15" x14ac:dyDescent="0.25">
      <c r="A273" s="95"/>
      <c r="B273" s="155" t="s">
        <v>56</v>
      </c>
      <c r="C273" s="89"/>
      <c r="D273" s="89"/>
      <c r="E273" s="89"/>
      <c r="F273" s="156">
        <v>0.13</v>
      </c>
      <c r="G273" s="149"/>
      <c r="H273" s="157">
        <f>H272*F273</f>
        <v>1.6954558170160003</v>
      </c>
      <c r="I273" s="158"/>
      <c r="J273" s="159">
        <v>0.13</v>
      </c>
      <c r="K273" s="160"/>
      <c r="L273" s="161">
        <f>L272*J273</f>
        <v>2.2298983094155864</v>
      </c>
      <c r="M273" s="162"/>
      <c r="N273" s="163">
        <f t="shared" si="88"/>
        <v>0.53444249239958608</v>
      </c>
      <c r="O273" s="124">
        <f t="shared" si="89"/>
        <v>0.3152205365871486</v>
      </c>
    </row>
    <row r="274" spans="1:15" x14ac:dyDescent="0.25">
      <c r="A274" s="95"/>
      <c r="B274" s="164" t="s">
        <v>57</v>
      </c>
      <c r="C274" s="89"/>
      <c r="D274" s="89"/>
      <c r="E274" s="89"/>
      <c r="F274" s="165"/>
      <c r="G274" s="166"/>
      <c r="H274" s="157">
        <f>H272+H273</f>
        <v>14.737423640216003</v>
      </c>
      <c r="I274" s="158"/>
      <c r="J274" s="158"/>
      <c r="K274" s="158"/>
      <c r="L274" s="161">
        <f>L272+L273</f>
        <v>19.38296222799702</v>
      </c>
      <c r="M274" s="162"/>
      <c r="N274" s="163">
        <f t="shared" si="88"/>
        <v>4.6455385877810169</v>
      </c>
      <c r="O274" s="124">
        <f t="shared" si="89"/>
        <v>0.3152205365871486</v>
      </c>
    </row>
    <row r="275" spans="1:15" x14ac:dyDescent="0.25">
      <c r="A275" s="95"/>
      <c r="B275" s="205" t="s">
        <v>58</v>
      </c>
      <c r="C275" s="205"/>
      <c r="D275" s="205"/>
      <c r="E275" s="89"/>
      <c r="F275" s="165"/>
      <c r="G275" s="166"/>
      <c r="H275" s="167"/>
      <c r="I275" s="158"/>
      <c r="J275" s="158"/>
      <c r="K275" s="158"/>
      <c r="L275" s="168"/>
      <c r="M275" s="162"/>
      <c r="N275" s="169">
        <f t="shared" si="88"/>
        <v>0</v>
      </c>
      <c r="O275" s="130" t="str">
        <f t="shared" si="89"/>
        <v/>
      </c>
    </row>
    <row r="276" spans="1:15" ht="15.75" thickBot="1" x14ac:dyDescent="0.3">
      <c r="A276" s="95"/>
      <c r="B276" s="196" t="s">
        <v>86</v>
      </c>
      <c r="C276" s="196"/>
      <c r="D276" s="196"/>
      <c r="E276" s="170"/>
      <c r="F276" s="171"/>
      <c r="G276" s="172"/>
      <c r="H276" s="173">
        <f>SUM(H274:H275)</f>
        <v>14.737423640216003</v>
      </c>
      <c r="I276" s="174"/>
      <c r="J276" s="174"/>
      <c r="K276" s="174"/>
      <c r="L276" s="175">
        <f>SUM(L274:L275)</f>
        <v>19.38296222799702</v>
      </c>
      <c r="M276" s="176"/>
      <c r="N276" s="177">
        <f t="shared" si="88"/>
        <v>4.6455385877810169</v>
      </c>
      <c r="O276" s="178">
        <f t="shared" si="89"/>
        <v>0.3152205365871486</v>
      </c>
    </row>
    <row r="277" spans="1:15" ht="15.75" thickBot="1" x14ac:dyDescent="0.3">
      <c r="A277" s="95"/>
      <c r="B277" s="140"/>
      <c r="C277" s="141"/>
      <c r="D277" s="142"/>
      <c r="E277" s="141"/>
      <c r="F277" s="179"/>
      <c r="G277" s="180"/>
      <c r="H277" s="181"/>
      <c r="I277" s="182"/>
      <c r="J277" s="179"/>
      <c r="K277" s="143"/>
      <c r="L277" s="183"/>
      <c r="M277" s="144"/>
      <c r="N277" s="184"/>
      <c r="O277" s="105"/>
    </row>
    <row r="278" spans="1:15" x14ac:dyDescent="0.25">
      <c r="L278" s="87"/>
    </row>
    <row r="279" spans="1:15" x14ac:dyDescent="0.25">
      <c r="B279" s="20" t="s">
        <v>62</v>
      </c>
      <c r="F279" s="185">
        <f>F73</f>
        <v>4.6300000000000001E-2</v>
      </c>
      <c r="J279" s="185">
        <f>J73</f>
        <v>3.7900000000000045E-2</v>
      </c>
    </row>
    <row r="281" spans="1:15" x14ac:dyDescent="0.25">
      <c r="A281" s="188"/>
      <c r="B281" s="188"/>
      <c r="C281" s="188"/>
      <c r="D281" s="188"/>
      <c r="E281" s="188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</row>
    <row r="282" spans="1:15" ht="15.75" x14ac:dyDescent="0.25">
      <c r="B282" s="15" t="s">
        <v>8</v>
      </c>
      <c r="D282" s="206" t="s">
        <v>87</v>
      </c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</row>
    <row r="283" spans="1:15" ht="15.75" x14ac:dyDescent="0.25">
      <c r="B283" s="16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ht="15.75" x14ac:dyDescent="0.25">
      <c r="B284" s="15" t="s">
        <v>10</v>
      </c>
      <c r="D284" s="18" t="s">
        <v>11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</row>
    <row r="285" spans="1:15" ht="15.75" x14ac:dyDescent="0.25">
      <c r="B285" s="16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</row>
    <row r="286" spans="1:15" x14ac:dyDescent="0.25">
      <c r="B286" s="19"/>
      <c r="D286" s="20" t="s">
        <v>12</v>
      </c>
      <c r="E286" s="20"/>
      <c r="F286" s="21">
        <v>900</v>
      </c>
      <c r="G286" s="20" t="s">
        <v>13</v>
      </c>
    </row>
    <row r="287" spans="1:15" x14ac:dyDescent="0.25">
      <c r="B287" s="19"/>
    </row>
    <row r="288" spans="1:15" x14ac:dyDescent="0.25">
      <c r="B288" s="19"/>
      <c r="D288" s="22"/>
      <c r="E288" s="22"/>
      <c r="F288" s="207" t="s">
        <v>14</v>
      </c>
      <c r="G288" s="208"/>
      <c r="H288" s="209"/>
      <c r="J288" s="207" t="s">
        <v>15</v>
      </c>
      <c r="K288" s="208"/>
      <c r="L288" s="209"/>
      <c r="N288" s="207" t="s">
        <v>16</v>
      </c>
      <c r="O288" s="209"/>
    </row>
    <row r="289" spans="2:15" x14ac:dyDescent="0.25">
      <c r="B289" s="19"/>
      <c r="D289" s="197" t="s">
        <v>17</v>
      </c>
      <c r="E289" s="23"/>
      <c r="F289" s="24" t="s">
        <v>18</v>
      </c>
      <c r="G289" s="24" t="s">
        <v>19</v>
      </c>
      <c r="H289" s="25" t="s">
        <v>20</v>
      </c>
      <c r="J289" s="24" t="s">
        <v>18</v>
      </c>
      <c r="K289" s="26" t="s">
        <v>19</v>
      </c>
      <c r="L289" s="25" t="s">
        <v>20</v>
      </c>
      <c r="N289" s="199" t="s">
        <v>21</v>
      </c>
      <c r="O289" s="201" t="s">
        <v>22</v>
      </c>
    </row>
    <row r="290" spans="2:15" x14ac:dyDescent="0.25">
      <c r="B290" s="19"/>
      <c r="D290" s="198"/>
      <c r="E290" s="23"/>
      <c r="F290" s="27" t="s">
        <v>23</v>
      </c>
      <c r="G290" s="27"/>
      <c r="H290" s="28" t="s">
        <v>23</v>
      </c>
      <c r="J290" s="27" t="s">
        <v>23</v>
      </c>
      <c r="K290" s="28"/>
      <c r="L290" s="28" t="s">
        <v>23</v>
      </c>
      <c r="N290" s="200"/>
      <c r="O290" s="202"/>
    </row>
    <row r="291" spans="2:15" x14ac:dyDescent="0.25">
      <c r="B291" s="29" t="s">
        <v>24</v>
      </c>
      <c r="C291" s="29"/>
      <c r="D291" s="30" t="s">
        <v>25</v>
      </c>
      <c r="E291" s="31"/>
      <c r="F291" s="32">
        <v>54.31</v>
      </c>
      <c r="G291" s="33">
        <v>1</v>
      </c>
      <c r="H291" s="34">
        <f>G291*F291</f>
        <v>54.31</v>
      </c>
      <c r="I291" s="35"/>
      <c r="J291" s="36">
        <f>ROUND('[2]Rates By Rate Class'!$D$13,2)</f>
        <v>20.68</v>
      </c>
      <c r="K291" s="37">
        <v>1</v>
      </c>
      <c r="L291" s="34">
        <f>K291*J291</f>
        <v>20.68</v>
      </c>
      <c r="M291" s="35"/>
      <c r="N291" s="38">
        <f>L291-H291</f>
        <v>-33.630000000000003</v>
      </c>
      <c r="O291" s="39">
        <f>IF((H291)=0,"",(N291/H291))</f>
        <v>-0.61922297919351876</v>
      </c>
    </row>
    <row r="292" spans="2:15" x14ac:dyDescent="0.25">
      <c r="B292" s="29" t="s">
        <v>26</v>
      </c>
      <c r="C292" s="29"/>
      <c r="D292" s="30"/>
      <c r="E292" s="31"/>
      <c r="F292" s="32"/>
      <c r="G292" s="33">
        <v>1</v>
      </c>
      <c r="H292" s="34">
        <f t="shared" ref="H292:H306" si="90">G292*F292</f>
        <v>0</v>
      </c>
      <c r="I292" s="35"/>
      <c r="J292" s="36"/>
      <c r="K292" s="37">
        <v>1</v>
      </c>
      <c r="L292" s="34">
        <f>K292*J292</f>
        <v>0</v>
      </c>
      <c r="M292" s="35"/>
      <c r="N292" s="38">
        <f>L292-H292</f>
        <v>0</v>
      </c>
      <c r="O292" s="39" t="str">
        <f>IF((H292)=0,"",(N292/H292))</f>
        <v/>
      </c>
    </row>
    <row r="293" spans="2:15" hidden="1" x14ac:dyDescent="0.25">
      <c r="B293" s="40" t="s">
        <v>27</v>
      </c>
      <c r="C293" s="29"/>
      <c r="D293" s="30" t="s">
        <v>25</v>
      </c>
      <c r="E293" s="31"/>
      <c r="F293" s="32"/>
      <c r="G293" s="33">
        <v>1</v>
      </c>
      <c r="H293" s="34">
        <f t="shared" si="90"/>
        <v>0</v>
      </c>
      <c r="I293" s="35"/>
      <c r="J293" s="36">
        <v>0</v>
      </c>
      <c r="K293" s="37">
        <v>1</v>
      </c>
      <c r="L293" s="34">
        <f t="shared" ref="L293:L306" si="91">K293*J293</f>
        <v>0</v>
      </c>
      <c r="M293" s="35"/>
      <c r="N293" s="38">
        <f t="shared" ref="N293:N307" si="92">L293-H293</f>
        <v>0</v>
      </c>
      <c r="O293" s="39" t="str">
        <f t="shared" ref="O293:O307" si="93">IF((H293)=0,"",(N293/H293))</f>
        <v/>
      </c>
    </row>
    <row r="294" spans="2:15" hidden="1" x14ac:dyDescent="0.25">
      <c r="B294" s="40" t="s">
        <v>28</v>
      </c>
      <c r="C294" s="29"/>
      <c r="D294" s="30" t="s">
        <v>25</v>
      </c>
      <c r="E294" s="31"/>
      <c r="F294" s="32"/>
      <c r="G294" s="33">
        <v>1</v>
      </c>
      <c r="H294" s="34">
        <f t="shared" si="90"/>
        <v>0</v>
      </c>
      <c r="I294" s="35"/>
      <c r="J294" s="36">
        <v>0</v>
      </c>
      <c r="K294" s="37">
        <v>1</v>
      </c>
      <c r="L294" s="34">
        <f t="shared" si="91"/>
        <v>0</v>
      </c>
      <c r="M294" s="35"/>
      <c r="N294" s="38">
        <f t="shared" si="92"/>
        <v>0</v>
      </c>
      <c r="O294" s="39" t="str">
        <f t="shared" si="93"/>
        <v/>
      </c>
    </row>
    <row r="295" spans="2:15" hidden="1" x14ac:dyDescent="0.25">
      <c r="B295" s="41" t="s">
        <v>29</v>
      </c>
      <c r="C295" s="29"/>
      <c r="D295" s="30" t="s">
        <v>25</v>
      </c>
      <c r="E295" s="31"/>
      <c r="F295" s="32"/>
      <c r="G295" s="33">
        <v>1</v>
      </c>
      <c r="H295" s="34">
        <f t="shared" si="90"/>
        <v>0</v>
      </c>
      <c r="I295" s="35"/>
      <c r="J295" s="36"/>
      <c r="K295" s="37">
        <v>1</v>
      </c>
      <c r="L295" s="34">
        <f t="shared" si="91"/>
        <v>0</v>
      </c>
      <c r="M295" s="35"/>
      <c r="N295" s="38">
        <f t="shared" si="92"/>
        <v>0</v>
      </c>
      <c r="O295" s="39" t="str">
        <f t="shared" si="93"/>
        <v/>
      </c>
    </row>
    <row r="296" spans="2:15" hidden="1" x14ac:dyDescent="0.25">
      <c r="B296" s="41"/>
      <c r="C296" s="29"/>
      <c r="D296" s="30"/>
      <c r="E296" s="31"/>
      <c r="F296" s="32"/>
      <c r="G296" s="33">
        <v>1</v>
      </c>
      <c r="H296" s="34">
        <f t="shared" si="90"/>
        <v>0</v>
      </c>
      <c r="I296" s="35"/>
      <c r="J296" s="36"/>
      <c r="K296" s="37">
        <v>1</v>
      </c>
      <c r="L296" s="34">
        <f t="shared" si="91"/>
        <v>0</v>
      </c>
      <c r="M296" s="35"/>
      <c r="N296" s="38">
        <f t="shared" si="92"/>
        <v>0</v>
      </c>
      <c r="O296" s="39" t="str">
        <f t="shared" si="93"/>
        <v/>
      </c>
    </row>
    <row r="297" spans="2:15" x14ac:dyDescent="0.25">
      <c r="B297" s="29" t="s">
        <v>30</v>
      </c>
      <c r="C297" s="29"/>
      <c r="D297" s="30" t="s">
        <v>31</v>
      </c>
      <c r="E297" s="31"/>
      <c r="F297" s="32">
        <v>1.6299999999999999E-2</v>
      </c>
      <c r="G297" s="191">
        <f>$F$286</f>
        <v>900</v>
      </c>
      <c r="H297" s="34">
        <f t="shared" si="90"/>
        <v>14.669999999999998</v>
      </c>
      <c r="I297" s="35"/>
      <c r="J297" s="36">
        <f>'[2]Rates By Rate Class'!$E$13</f>
        <v>6.205206395393144E-3</v>
      </c>
      <c r="K297" s="33">
        <f t="shared" ref="K297:K312" si="94">$F$286</f>
        <v>900</v>
      </c>
      <c r="L297" s="34">
        <f t="shared" si="91"/>
        <v>5.5846857558538296</v>
      </c>
      <c r="M297" s="35"/>
      <c r="N297" s="38">
        <f t="shared" si="92"/>
        <v>-9.0853142441461685</v>
      </c>
      <c r="O297" s="39">
        <f t="shared" si="93"/>
        <v>-0.61931249108017516</v>
      </c>
    </row>
    <row r="298" spans="2:15" hidden="1" x14ac:dyDescent="0.25">
      <c r="B298" s="29" t="s">
        <v>32</v>
      </c>
      <c r="C298" s="29"/>
      <c r="D298" s="30"/>
      <c r="E298" s="31"/>
      <c r="F298" s="32"/>
      <c r="G298" s="33">
        <f t="shared" ref="G298:G306" si="95">$F$286</f>
        <v>900</v>
      </c>
      <c r="H298" s="34">
        <f t="shared" si="90"/>
        <v>0</v>
      </c>
      <c r="I298" s="35"/>
      <c r="J298" s="36"/>
      <c r="K298" s="33">
        <f t="shared" si="94"/>
        <v>900</v>
      </c>
      <c r="L298" s="34">
        <f t="shared" si="91"/>
        <v>0</v>
      </c>
      <c r="M298" s="35"/>
      <c r="N298" s="38">
        <f t="shared" si="92"/>
        <v>0</v>
      </c>
      <c r="O298" s="39" t="str">
        <f t="shared" si="93"/>
        <v/>
      </c>
    </row>
    <row r="299" spans="2:15" hidden="1" x14ac:dyDescent="0.25">
      <c r="B299" s="29" t="s">
        <v>33</v>
      </c>
      <c r="C299" s="29"/>
      <c r="D299" s="30"/>
      <c r="E299" s="31"/>
      <c r="F299" s="32"/>
      <c r="G299" s="33">
        <f t="shared" si="95"/>
        <v>900</v>
      </c>
      <c r="H299" s="34">
        <f t="shared" si="90"/>
        <v>0</v>
      </c>
      <c r="I299" s="35"/>
      <c r="J299" s="36"/>
      <c r="K299" s="33">
        <f t="shared" si="94"/>
        <v>900</v>
      </c>
      <c r="L299" s="34">
        <f t="shared" si="91"/>
        <v>0</v>
      </c>
      <c r="M299" s="35"/>
      <c r="N299" s="38">
        <f t="shared" si="92"/>
        <v>0</v>
      </c>
      <c r="O299" s="39" t="str">
        <f t="shared" si="93"/>
        <v/>
      </c>
    </row>
    <row r="300" spans="2:15" hidden="1" x14ac:dyDescent="0.25">
      <c r="B300" s="42"/>
      <c r="C300" s="29"/>
      <c r="D300" s="30"/>
      <c r="E300" s="31"/>
      <c r="F300" s="32"/>
      <c r="G300" s="33">
        <f t="shared" si="95"/>
        <v>900</v>
      </c>
      <c r="H300" s="34">
        <f t="shared" si="90"/>
        <v>0</v>
      </c>
      <c r="I300" s="35"/>
      <c r="J300" s="36"/>
      <c r="K300" s="33">
        <f t="shared" si="94"/>
        <v>900</v>
      </c>
      <c r="L300" s="34">
        <f t="shared" si="91"/>
        <v>0</v>
      </c>
      <c r="M300" s="35"/>
      <c r="N300" s="38">
        <f t="shared" si="92"/>
        <v>0</v>
      </c>
      <c r="O300" s="39" t="str">
        <f t="shared" si="93"/>
        <v/>
      </c>
    </row>
    <row r="301" spans="2:15" hidden="1" x14ac:dyDescent="0.25">
      <c r="B301" s="42"/>
      <c r="C301" s="29"/>
      <c r="D301" s="30"/>
      <c r="E301" s="31"/>
      <c r="F301" s="32"/>
      <c r="G301" s="33">
        <f t="shared" si="95"/>
        <v>900</v>
      </c>
      <c r="H301" s="34">
        <f t="shared" si="90"/>
        <v>0</v>
      </c>
      <c r="I301" s="35"/>
      <c r="J301" s="36"/>
      <c r="K301" s="33">
        <f t="shared" si="94"/>
        <v>900</v>
      </c>
      <c r="L301" s="34">
        <f t="shared" si="91"/>
        <v>0</v>
      </c>
      <c r="M301" s="35"/>
      <c r="N301" s="38">
        <f t="shared" si="92"/>
        <v>0</v>
      </c>
      <c r="O301" s="39" t="str">
        <f t="shared" si="93"/>
        <v/>
      </c>
    </row>
    <row r="302" spans="2:15" hidden="1" x14ac:dyDescent="0.25">
      <c r="B302" s="42"/>
      <c r="C302" s="29"/>
      <c r="D302" s="30"/>
      <c r="E302" s="31"/>
      <c r="F302" s="32"/>
      <c r="G302" s="33">
        <f t="shared" si="95"/>
        <v>900</v>
      </c>
      <c r="H302" s="34">
        <f t="shared" si="90"/>
        <v>0</v>
      </c>
      <c r="I302" s="35"/>
      <c r="J302" s="36"/>
      <c r="K302" s="33">
        <f t="shared" si="94"/>
        <v>900</v>
      </c>
      <c r="L302" s="34">
        <f t="shared" si="91"/>
        <v>0</v>
      </c>
      <c r="M302" s="35"/>
      <c r="N302" s="38">
        <f t="shared" si="92"/>
        <v>0</v>
      </c>
      <c r="O302" s="39" t="str">
        <f t="shared" si="93"/>
        <v/>
      </c>
    </row>
    <row r="303" spans="2:15" hidden="1" x14ac:dyDescent="0.25">
      <c r="B303" s="42"/>
      <c r="C303" s="29"/>
      <c r="D303" s="30"/>
      <c r="E303" s="31"/>
      <c r="F303" s="32"/>
      <c r="G303" s="33">
        <f t="shared" si="95"/>
        <v>900</v>
      </c>
      <c r="H303" s="34">
        <f t="shared" si="90"/>
        <v>0</v>
      </c>
      <c r="I303" s="35"/>
      <c r="J303" s="36"/>
      <c r="K303" s="33">
        <f t="shared" si="94"/>
        <v>900</v>
      </c>
      <c r="L303" s="34">
        <f t="shared" si="91"/>
        <v>0</v>
      </c>
      <c r="M303" s="35"/>
      <c r="N303" s="38">
        <f t="shared" si="92"/>
        <v>0</v>
      </c>
      <c r="O303" s="39" t="str">
        <f t="shared" si="93"/>
        <v/>
      </c>
    </row>
    <row r="304" spans="2:15" hidden="1" x14ac:dyDescent="0.25">
      <c r="B304" s="42"/>
      <c r="C304" s="29"/>
      <c r="D304" s="30"/>
      <c r="E304" s="31"/>
      <c r="F304" s="32"/>
      <c r="G304" s="33">
        <f t="shared" si="95"/>
        <v>900</v>
      </c>
      <c r="H304" s="34">
        <f t="shared" si="90"/>
        <v>0</v>
      </c>
      <c r="I304" s="35"/>
      <c r="J304" s="36"/>
      <c r="K304" s="33">
        <f t="shared" si="94"/>
        <v>900</v>
      </c>
      <c r="L304" s="34">
        <f t="shared" si="91"/>
        <v>0</v>
      </c>
      <c r="M304" s="35"/>
      <c r="N304" s="38">
        <f t="shared" si="92"/>
        <v>0</v>
      </c>
      <c r="O304" s="39" t="str">
        <f t="shared" si="93"/>
        <v/>
      </c>
    </row>
    <row r="305" spans="1:15" hidden="1" x14ac:dyDescent="0.25">
      <c r="B305" s="42"/>
      <c r="C305" s="29"/>
      <c r="D305" s="30"/>
      <c r="E305" s="31"/>
      <c r="F305" s="32"/>
      <c r="G305" s="33">
        <f t="shared" si="95"/>
        <v>900</v>
      </c>
      <c r="H305" s="34">
        <f t="shared" si="90"/>
        <v>0</v>
      </c>
      <c r="I305" s="35"/>
      <c r="J305" s="36"/>
      <c r="K305" s="33">
        <f t="shared" si="94"/>
        <v>900</v>
      </c>
      <c r="L305" s="34">
        <f t="shared" si="91"/>
        <v>0</v>
      </c>
      <c r="M305" s="35"/>
      <c r="N305" s="38">
        <f t="shared" si="92"/>
        <v>0</v>
      </c>
      <c r="O305" s="39" t="str">
        <f t="shared" si="93"/>
        <v/>
      </c>
    </row>
    <row r="306" spans="1:15" hidden="1" x14ac:dyDescent="0.25">
      <c r="B306" s="42"/>
      <c r="C306" s="29"/>
      <c r="D306" s="30"/>
      <c r="E306" s="31"/>
      <c r="F306" s="32"/>
      <c r="G306" s="33">
        <f t="shared" si="95"/>
        <v>900</v>
      </c>
      <c r="H306" s="34">
        <f t="shared" si="90"/>
        <v>0</v>
      </c>
      <c r="I306" s="35"/>
      <c r="J306" s="36"/>
      <c r="K306" s="33">
        <f t="shared" si="94"/>
        <v>900</v>
      </c>
      <c r="L306" s="34">
        <f t="shared" si="91"/>
        <v>0</v>
      </c>
      <c r="M306" s="35"/>
      <c r="N306" s="38">
        <f t="shared" si="92"/>
        <v>0</v>
      </c>
      <c r="O306" s="39" t="str">
        <f t="shared" si="93"/>
        <v/>
      </c>
    </row>
    <row r="307" spans="1:15" x14ac:dyDescent="0.25">
      <c r="A307" s="54"/>
      <c r="B307" s="43" t="s">
        <v>34</v>
      </c>
      <c r="C307" s="44"/>
      <c r="D307" s="45"/>
      <c r="E307" s="44"/>
      <c r="F307" s="46"/>
      <c r="G307" s="47"/>
      <c r="H307" s="48">
        <f>SUM(H291:H306)</f>
        <v>68.98</v>
      </c>
      <c r="I307" s="49"/>
      <c r="J307" s="50"/>
      <c r="K307" s="51"/>
      <c r="L307" s="48">
        <f>SUM(L291:L306)</f>
        <v>26.264685755853829</v>
      </c>
      <c r="M307" s="49"/>
      <c r="N307" s="52">
        <f t="shared" si="92"/>
        <v>-42.715314244146171</v>
      </c>
      <c r="O307" s="53">
        <f t="shared" si="93"/>
        <v>-0.61924201571681892</v>
      </c>
    </row>
    <row r="308" spans="1:15" ht="25.5" x14ac:dyDescent="0.25">
      <c r="B308" s="55" t="s">
        <v>35</v>
      </c>
      <c r="C308" s="29"/>
      <c r="D308" s="30" t="s">
        <v>31</v>
      </c>
      <c r="E308" s="31"/>
      <c r="F308" s="32">
        <v>-8.0000000000000004E-4</v>
      </c>
      <c r="G308" s="33">
        <f t="shared" ref="G308:G312" si="96">$F$286</f>
        <v>900</v>
      </c>
      <c r="H308" s="34">
        <f>G308*F308</f>
        <v>-0.72000000000000008</v>
      </c>
      <c r="I308" s="35"/>
      <c r="J308" s="36">
        <f>ROUND('[4]6. Rate Rider Calculations'!$F$23,4)</f>
        <v>-5.9999999999999995E-4</v>
      </c>
      <c r="K308" s="33">
        <f t="shared" si="94"/>
        <v>900</v>
      </c>
      <c r="L308" s="34">
        <f>K308*J308</f>
        <v>-0.53999999999999992</v>
      </c>
      <c r="M308" s="35"/>
      <c r="N308" s="38">
        <f>L308-H308</f>
        <v>0.18000000000000016</v>
      </c>
      <c r="O308" s="39">
        <f>IF((H308)=0,"",(N308/H308))</f>
        <v>-0.25000000000000017</v>
      </c>
    </row>
    <row r="309" spans="1:15" x14ac:dyDescent="0.25">
      <c r="B309" s="55" t="s">
        <v>36</v>
      </c>
      <c r="C309" s="29"/>
      <c r="D309" s="30" t="s">
        <v>31</v>
      </c>
      <c r="E309" s="31"/>
      <c r="F309" s="32">
        <v>-3.7000000000000002E-3</v>
      </c>
      <c r="G309" s="33">
        <f t="shared" si="96"/>
        <v>900</v>
      </c>
      <c r="H309" s="34">
        <f t="shared" ref="H309:H311" si="97">G309*F309</f>
        <v>-3.33</v>
      </c>
      <c r="I309" s="56"/>
      <c r="J309" s="36">
        <v>0</v>
      </c>
      <c r="K309" s="33">
        <f t="shared" si="94"/>
        <v>900</v>
      </c>
      <c r="L309" s="34">
        <f t="shared" ref="L309:L311" si="98">K309*J309</f>
        <v>0</v>
      </c>
      <c r="M309" s="57"/>
      <c r="N309" s="38">
        <f t="shared" ref="N309:N311" si="99">L309-H309</f>
        <v>3.33</v>
      </c>
      <c r="O309" s="39">
        <f t="shared" ref="O309:O311" si="100">IF((H309)=0,"",(N309/H309))</f>
        <v>-1</v>
      </c>
    </row>
    <row r="310" spans="1:15" x14ac:dyDescent="0.25">
      <c r="B310" s="55" t="s">
        <v>37</v>
      </c>
      <c r="C310" s="29"/>
      <c r="D310" s="30" t="s">
        <v>31</v>
      </c>
      <c r="E310" s="31"/>
      <c r="F310" s="32">
        <v>-1.4E-3</v>
      </c>
      <c r="G310" s="33">
        <f t="shared" si="96"/>
        <v>900</v>
      </c>
      <c r="H310" s="34">
        <f t="shared" si="97"/>
        <v>-1.26</v>
      </c>
      <c r="I310" s="56"/>
      <c r="J310" s="36">
        <v>0</v>
      </c>
      <c r="K310" s="33">
        <f t="shared" si="94"/>
        <v>900</v>
      </c>
      <c r="L310" s="34">
        <f t="shared" si="98"/>
        <v>0</v>
      </c>
      <c r="M310" s="57"/>
      <c r="N310" s="38">
        <f t="shared" si="99"/>
        <v>1.26</v>
      </c>
      <c r="O310" s="39">
        <f t="shared" si="100"/>
        <v>-1</v>
      </c>
    </row>
    <row r="311" spans="1:15" x14ac:dyDescent="0.25">
      <c r="B311" s="55" t="s">
        <v>38</v>
      </c>
      <c r="C311" s="29"/>
      <c r="D311" s="30" t="s">
        <v>31</v>
      </c>
      <c r="E311" s="31"/>
      <c r="F311" s="32">
        <v>0</v>
      </c>
      <c r="G311" s="33">
        <f t="shared" si="96"/>
        <v>900</v>
      </c>
      <c r="H311" s="34">
        <f t="shared" si="97"/>
        <v>0</v>
      </c>
      <c r="I311" s="56"/>
      <c r="J311" s="36">
        <f>'[4]6. Rate Rider Calculations'!$F$78</f>
        <v>-9.6669446892067783E-4</v>
      </c>
      <c r="K311" s="33">
        <f t="shared" si="94"/>
        <v>900</v>
      </c>
      <c r="L311" s="34">
        <f t="shared" si="98"/>
        <v>-0.8700250220286101</v>
      </c>
      <c r="M311" s="57"/>
      <c r="N311" s="38">
        <f t="shared" si="99"/>
        <v>-0.8700250220286101</v>
      </c>
      <c r="O311" s="39" t="str">
        <f t="shared" si="100"/>
        <v/>
      </c>
    </row>
    <row r="312" spans="1:15" x14ac:dyDescent="0.25">
      <c r="B312" s="59" t="s">
        <v>39</v>
      </c>
      <c r="C312" s="29"/>
      <c r="D312" s="30"/>
      <c r="E312" s="31"/>
      <c r="F312" s="32"/>
      <c r="G312" s="33">
        <f t="shared" si="96"/>
        <v>900</v>
      </c>
      <c r="H312" s="34">
        <f>G312*F312</f>
        <v>0</v>
      </c>
      <c r="I312" s="35"/>
      <c r="J312" s="36"/>
      <c r="K312" s="33">
        <f t="shared" si="94"/>
        <v>900</v>
      </c>
      <c r="L312" s="34">
        <f>K312*J312</f>
        <v>0</v>
      </c>
      <c r="M312" s="35"/>
      <c r="N312" s="38">
        <f>L312-H312</f>
        <v>0</v>
      </c>
      <c r="O312" s="39" t="str">
        <f>IF((H312)=0,"",(N312/H312))</f>
        <v/>
      </c>
    </row>
    <row r="313" spans="1:15" x14ac:dyDescent="0.25">
      <c r="B313" s="59" t="s">
        <v>40</v>
      </c>
      <c r="C313" s="29"/>
      <c r="D313" s="30"/>
      <c r="E313" s="31"/>
      <c r="F313" s="60">
        <f>IF(ISBLANK(D284)=TRUE, 0, IF(D284="TOU", 0.64*$F$54+0.18*$F$55+0.18*$F$56, IF(AND(D284="non-TOU", G327&gt;0), F327,F326)))</f>
        <v>8.8919999999999999E-2</v>
      </c>
      <c r="G313" s="189">
        <f>$F$286*(1+$F$73)-$F$286</f>
        <v>41.669999999999959</v>
      </c>
      <c r="H313" s="34">
        <f t="shared" ref="H313" si="101">G313*F313</f>
        <v>3.7052963999999964</v>
      </c>
      <c r="I313" s="35"/>
      <c r="J313" s="62">
        <f>0.64*$F$54+0.18*$F$55+0.18*$F$56</f>
        <v>8.8919999999999999E-2</v>
      </c>
      <c r="K313" s="189">
        <f>$F$286*(1+$J$73)-$F$286</f>
        <v>34.110000000000014</v>
      </c>
      <c r="L313" s="34">
        <f t="shared" ref="L313" si="102">K313*J313</f>
        <v>3.033061200000001</v>
      </c>
      <c r="M313" s="35"/>
      <c r="N313" s="38">
        <f t="shared" ref="N313" si="103">L313-H313</f>
        <v>-0.67223519999999537</v>
      </c>
      <c r="O313" s="39">
        <f t="shared" ref="O313" si="104">IF((H313)=0,"",(N313/H313))</f>
        <v>-0.18142548596112204</v>
      </c>
    </row>
    <row r="314" spans="1:15" x14ac:dyDescent="0.25">
      <c r="B314" s="59" t="s">
        <v>41</v>
      </c>
      <c r="C314" s="29"/>
      <c r="D314" s="30" t="s">
        <v>25</v>
      </c>
      <c r="E314" s="31"/>
      <c r="F314" s="60"/>
      <c r="G314" s="33">
        <v>1</v>
      </c>
      <c r="H314" s="34">
        <f>G314*F314</f>
        <v>0</v>
      </c>
      <c r="I314" s="35"/>
      <c r="J314" s="60"/>
      <c r="K314" s="33">
        <v>1</v>
      </c>
      <c r="L314" s="34">
        <f>K314*J314</f>
        <v>0</v>
      </c>
      <c r="M314" s="35"/>
      <c r="N314" s="38">
        <f>L314-H314</f>
        <v>0</v>
      </c>
      <c r="O314" s="39"/>
    </row>
    <row r="315" spans="1:15" ht="25.5" x14ac:dyDescent="0.25">
      <c r="B315" s="63" t="s">
        <v>42</v>
      </c>
      <c r="C315" s="64"/>
      <c r="D315" s="64"/>
      <c r="E315" s="64"/>
      <c r="F315" s="65"/>
      <c r="G315" s="66"/>
      <c r="H315" s="67">
        <f>SUM(H308:H314)+H307</f>
        <v>67.375296399999996</v>
      </c>
      <c r="I315" s="49"/>
      <c r="J315" s="66"/>
      <c r="K315" s="68"/>
      <c r="L315" s="67">
        <f>SUM(L308:L314)+L307</f>
        <v>27.887721933825219</v>
      </c>
      <c r="M315" s="49"/>
      <c r="N315" s="52">
        <f t="shared" ref="N315:N327" si="105">L315-H315</f>
        <v>-39.487574466174777</v>
      </c>
      <c r="O315" s="53">
        <f t="shared" ref="O315:O327" si="106">IF((H315)=0,"",(N315/H315))</f>
        <v>-0.58608387014346075</v>
      </c>
    </row>
    <row r="316" spans="1:15" x14ac:dyDescent="0.25">
      <c r="B316" s="35" t="s">
        <v>43</v>
      </c>
      <c r="C316" s="35"/>
      <c r="D316" s="69" t="s">
        <v>31</v>
      </c>
      <c r="E316" s="70"/>
      <c r="F316" s="36">
        <v>6.4000000000000003E-3</v>
      </c>
      <c r="G316" s="71">
        <f>F286*(1+F342)</f>
        <v>941.67</v>
      </c>
      <c r="H316" s="34">
        <f>G316*F316</f>
        <v>6.026688</v>
      </c>
      <c r="I316" s="35"/>
      <c r="J316" s="36">
        <v>6.6E-3</v>
      </c>
      <c r="K316" s="72">
        <f>F286*(1+J342)</f>
        <v>934.11</v>
      </c>
      <c r="L316" s="34">
        <f>K316*J316</f>
        <v>6.1651259999999999</v>
      </c>
      <c r="M316" s="35"/>
      <c r="N316" s="38">
        <f t="shared" si="105"/>
        <v>0.13843799999999984</v>
      </c>
      <c r="O316" s="39">
        <f t="shared" si="106"/>
        <v>2.2970825766988407E-2</v>
      </c>
    </row>
    <row r="317" spans="1:15" ht="30" x14ac:dyDescent="0.25">
      <c r="B317" s="73" t="s">
        <v>44</v>
      </c>
      <c r="C317" s="35"/>
      <c r="D317" s="69" t="s">
        <v>31</v>
      </c>
      <c r="E317" s="70"/>
      <c r="F317" s="36">
        <v>1.1999999999999999E-3</v>
      </c>
      <c r="G317" s="71">
        <f>G316</f>
        <v>941.67</v>
      </c>
      <c r="H317" s="34">
        <f>G317*F317</f>
        <v>1.1300039999999998</v>
      </c>
      <c r="I317" s="35"/>
      <c r="J317" s="36">
        <v>1.2999999999999999E-3</v>
      </c>
      <c r="K317" s="72">
        <f>K316</f>
        <v>934.11</v>
      </c>
      <c r="L317" s="34">
        <f>K317*J317</f>
        <v>1.214343</v>
      </c>
      <c r="M317" s="35"/>
      <c r="N317" s="38">
        <f t="shared" si="105"/>
        <v>8.4339000000000164E-2</v>
      </c>
      <c r="O317" s="39">
        <f t="shared" si="106"/>
        <v>7.4636018987543559E-2</v>
      </c>
    </row>
    <row r="318" spans="1:15" ht="25.5" x14ac:dyDescent="0.25">
      <c r="B318" s="63" t="s">
        <v>45</v>
      </c>
      <c r="C318" s="44"/>
      <c r="D318" s="44"/>
      <c r="E318" s="44"/>
      <c r="F318" s="74"/>
      <c r="G318" s="66"/>
      <c r="H318" s="67">
        <f>SUM(H315:H317)</f>
        <v>74.531988400000003</v>
      </c>
      <c r="I318" s="75"/>
      <c r="J318" s="76"/>
      <c r="K318" s="77"/>
      <c r="L318" s="67">
        <f>SUM(L315:L317)</f>
        <v>35.267190933825219</v>
      </c>
      <c r="M318" s="75"/>
      <c r="N318" s="52">
        <f t="shared" si="105"/>
        <v>-39.264797466174784</v>
      </c>
      <c r="O318" s="53">
        <f t="shared" si="106"/>
        <v>-0.52681805905200807</v>
      </c>
    </row>
    <row r="319" spans="1:15" ht="30" x14ac:dyDescent="0.25">
      <c r="B319" s="78" t="s">
        <v>46</v>
      </c>
      <c r="C319" s="29"/>
      <c r="D319" s="30" t="s">
        <v>31</v>
      </c>
      <c r="E319" s="31"/>
      <c r="F319" s="79">
        <v>4.4000000000000003E-3</v>
      </c>
      <c r="G319" s="71">
        <f>G317</f>
        <v>941.67</v>
      </c>
      <c r="H319" s="80">
        <f t="shared" ref="H319:H325" si="107">G319*F319</f>
        <v>4.1433480000000005</v>
      </c>
      <c r="I319" s="35"/>
      <c r="J319" s="81">
        <f>F319</f>
        <v>4.4000000000000003E-3</v>
      </c>
      <c r="K319" s="72">
        <f>K317</f>
        <v>934.11</v>
      </c>
      <c r="L319" s="80">
        <f t="shared" ref="L319:L325" si="108">K319*J319</f>
        <v>4.1100840000000005</v>
      </c>
      <c r="M319" s="35"/>
      <c r="N319" s="38">
        <f t="shared" si="105"/>
        <v>-3.326399999999996E-2</v>
      </c>
      <c r="O319" s="82">
        <f t="shared" si="106"/>
        <v>-8.0282901653445371E-3</v>
      </c>
    </row>
    <row r="320" spans="1:15" ht="30" x14ac:dyDescent="0.25">
      <c r="B320" s="78" t="s">
        <v>47</v>
      </c>
      <c r="C320" s="29"/>
      <c r="D320" s="30" t="s">
        <v>31</v>
      </c>
      <c r="E320" s="31"/>
      <c r="F320" s="79">
        <v>1.1999999999999999E-3</v>
      </c>
      <c r="G320" s="71">
        <f>G317</f>
        <v>941.67</v>
      </c>
      <c r="H320" s="80">
        <f t="shared" si="107"/>
        <v>1.1300039999999998</v>
      </c>
      <c r="I320" s="35"/>
      <c r="J320" s="81">
        <f>F320</f>
        <v>1.1999999999999999E-3</v>
      </c>
      <c r="K320" s="72">
        <f>K317</f>
        <v>934.11</v>
      </c>
      <c r="L320" s="80">
        <f t="shared" si="108"/>
        <v>1.1209319999999998</v>
      </c>
      <c r="M320" s="35"/>
      <c r="N320" s="38">
        <f t="shared" si="105"/>
        <v>-9.071999999999969E-3</v>
      </c>
      <c r="O320" s="82">
        <f t="shared" si="106"/>
        <v>-8.0282901653445215E-3</v>
      </c>
    </row>
    <row r="321" spans="1:15" x14ac:dyDescent="0.25">
      <c r="B321" s="29" t="s">
        <v>48</v>
      </c>
      <c r="C321" s="29"/>
      <c r="D321" s="30" t="s">
        <v>25</v>
      </c>
      <c r="E321" s="31"/>
      <c r="F321" s="79">
        <v>0.25</v>
      </c>
      <c r="G321" s="33">
        <v>1</v>
      </c>
      <c r="H321" s="80">
        <f t="shared" si="107"/>
        <v>0.25</v>
      </c>
      <c r="I321" s="35"/>
      <c r="J321" s="81">
        <v>0.25</v>
      </c>
      <c r="K321" s="37">
        <v>1</v>
      </c>
      <c r="L321" s="80">
        <f t="shared" si="108"/>
        <v>0.25</v>
      </c>
      <c r="M321" s="35"/>
      <c r="N321" s="38">
        <f t="shared" si="105"/>
        <v>0</v>
      </c>
      <c r="O321" s="82">
        <f t="shared" si="106"/>
        <v>0</v>
      </c>
    </row>
    <row r="322" spans="1:15" x14ac:dyDescent="0.25">
      <c r="B322" s="29" t="s">
        <v>49</v>
      </c>
      <c r="C322" s="29"/>
      <c r="D322" s="30" t="s">
        <v>31</v>
      </c>
      <c r="E322" s="31"/>
      <c r="F322" s="79">
        <v>7.0000000000000001E-3</v>
      </c>
      <c r="G322" s="83">
        <f>F286</f>
        <v>900</v>
      </c>
      <c r="H322" s="80">
        <f t="shared" si="107"/>
        <v>6.3</v>
      </c>
      <c r="I322" s="35"/>
      <c r="J322" s="81">
        <f>F322</f>
        <v>7.0000000000000001E-3</v>
      </c>
      <c r="K322" s="84">
        <f>F286</f>
        <v>900</v>
      </c>
      <c r="L322" s="80">
        <f t="shared" si="108"/>
        <v>6.3</v>
      </c>
      <c r="M322" s="35"/>
      <c r="N322" s="38">
        <f t="shared" si="105"/>
        <v>0</v>
      </c>
      <c r="O322" s="82">
        <f t="shared" si="106"/>
        <v>0</v>
      </c>
    </row>
    <row r="323" spans="1:15" x14ac:dyDescent="0.25">
      <c r="B323" s="59" t="s">
        <v>50</v>
      </c>
      <c r="C323" s="29"/>
      <c r="D323" s="30" t="s">
        <v>31</v>
      </c>
      <c r="E323" s="31"/>
      <c r="F323" s="85">
        <v>7.1999999999999995E-2</v>
      </c>
      <c r="G323" s="86">
        <f>0.64*$F$286</f>
        <v>576</v>
      </c>
      <c r="H323" s="80">
        <f t="shared" si="107"/>
        <v>41.471999999999994</v>
      </c>
      <c r="I323" s="35"/>
      <c r="J323" s="79">
        <v>7.1999999999999995E-2</v>
      </c>
      <c r="K323" s="86">
        <f>G323</f>
        <v>576</v>
      </c>
      <c r="L323" s="80">
        <f t="shared" si="108"/>
        <v>41.471999999999994</v>
      </c>
      <c r="M323" s="35"/>
      <c r="N323" s="38">
        <f t="shared" si="105"/>
        <v>0</v>
      </c>
      <c r="O323" s="82">
        <f t="shared" si="106"/>
        <v>0</v>
      </c>
    </row>
    <row r="324" spans="1:15" x14ac:dyDescent="0.25">
      <c r="B324" s="59" t="s">
        <v>51</v>
      </c>
      <c r="C324" s="29"/>
      <c r="D324" s="30" t="s">
        <v>31</v>
      </c>
      <c r="E324" s="31"/>
      <c r="F324" s="85">
        <v>0.109</v>
      </c>
      <c r="G324" s="86">
        <f>0.18*$F$286</f>
        <v>162</v>
      </c>
      <c r="H324" s="80">
        <f t="shared" si="107"/>
        <v>17.658000000000001</v>
      </c>
      <c r="I324" s="35"/>
      <c r="J324" s="79">
        <v>0.109</v>
      </c>
      <c r="K324" s="86">
        <f>G324</f>
        <v>162</v>
      </c>
      <c r="L324" s="80">
        <f t="shared" si="108"/>
        <v>17.658000000000001</v>
      </c>
      <c r="M324" s="35"/>
      <c r="N324" s="38">
        <f t="shared" si="105"/>
        <v>0</v>
      </c>
      <c r="O324" s="82">
        <f t="shared" si="106"/>
        <v>0</v>
      </c>
    </row>
    <row r="325" spans="1:15" x14ac:dyDescent="0.25">
      <c r="B325" s="19" t="s">
        <v>52</v>
      </c>
      <c r="C325" s="29"/>
      <c r="D325" s="30" t="s">
        <v>31</v>
      </c>
      <c r="E325" s="31"/>
      <c r="F325" s="85">
        <v>0.129</v>
      </c>
      <c r="G325" s="86">
        <f>0.18*$F$286</f>
        <v>162</v>
      </c>
      <c r="H325" s="80">
        <f t="shared" si="107"/>
        <v>20.898</v>
      </c>
      <c r="I325" s="35"/>
      <c r="J325" s="79">
        <v>0.129</v>
      </c>
      <c r="K325" s="86">
        <f>G325</f>
        <v>162</v>
      </c>
      <c r="L325" s="80">
        <f t="shared" si="108"/>
        <v>20.898</v>
      </c>
      <c r="M325" s="35"/>
      <c r="N325" s="38">
        <f t="shared" si="105"/>
        <v>0</v>
      </c>
      <c r="O325" s="82">
        <f t="shared" si="106"/>
        <v>0</v>
      </c>
    </row>
    <row r="326" spans="1:15" x14ac:dyDescent="0.25">
      <c r="A326" s="95"/>
      <c r="B326" s="88" t="s">
        <v>53</v>
      </c>
      <c r="C326" s="89"/>
      <c r="D326" s="90" t="s">
        <v>31</v>
      </c>
      <c r="E326" s="91"/>
      <c r="F326" s="85">
        <v>8.3000000000000004E-2</v>
      </c>
      <c r="G326" s="190">
        <v>750</v>
      </c>
      <c r="H326" s="80">
        <f>G326*F326</f>
        <v>62.25</v>
      </c>
      <c r="I326" s="93"/>
      <c r="J326" s="79">
        <v>8.3000000000000004E-2</v>
      </c>
      <c r="K326" s="92">
        <f>G326</f>
        <v>750</v>
      </c>
      <c r="L326" s="80">
        <f>K326*J326</f>
        <v>62.25</v>
      </c>
      <c r="M326" s="93"/>
      <c r="N326" s="94">
        <f t="shared" si="105"/>
        <v>0</v>
      </c>
      <c r="O326" s="82">
        <f t="shared" si="106"/>
        <v>0</v>
      </c>
    </row>
    <row r="327" spans="1:15" ht="15.75" thickBot="1" x14ac:dyDescent="0.3">
      <c r="A327" s="95"/>
      <c r="B327" s="88" t="s">
        <v>54</v>
      </c>
      <c r="C327" s="89"/>
      <c r="D327" s="90" t="s">
        <v>31</v>
      </c>
      <c r="E327" s="91"/>
      <c r="F327" s="85">
        <v>9.7000000000000003E-2</v>
      </c>
      <c r="G327" s="190">
        <f>F286-G326</f>
        <v>150</v>
      </c>
      <c r="H327" s="80">
        <f>G327*F327</f>
        <v>14.55</v>
      </c>
      <c r="I327" s="93"/>
      <c r="J327" s="79">
        <v>9.7000000000000003E-2</v>
      </c>
      <c r="K327" s="92">
        <f>G327</f>
        <v>150</v>
      </c>
      <c r="L327" s="80">
        <f>K327*J327</f>
        <v>14.55</v>
      </c>
      <c r="M327" s="93"/>
      <c r="N327" s="94">
        <f t="shared" si="105"/>
        <v>0</v>
      </c>
      <c r="O327" s="82">
        <f t="shared" si="106"/>
        <v>0</v>
      </c>
    </row>
    <row r="328" spans="1:15" ht="15.75" thickBot="1" x14ac:dyDescent="0.3">
      <c r="B328" s="96"/>
      <c r="C328" s="97"/>
      <c r="D328" s="98"/>
      <c r="E328" s="97"/>
      <c r="F328" s="99"/>
      <c r="G328" s="100"/>
      <c r="H328" s="101"/>
      <c r="I328" s="102"/>
      <c r="J328" s="99"/>
      <c r="K328" s="103"/>
      <c r="L328" s="101"/>
      <c r="M328" s="102"/>
      <c r="N328" s="104"/>
      <c r="O328" s="105"/>
    </row>
    <row r="329" spans="1:15" x14ac:dyDescent="0.25">
      <c r="B329" s="106" t="s">
        <v>55</v>
      </c>
      <c r="C329" s="29"/>
      <c r="D329" s="29"/>
      <c r="E329" s="29"/>
      <c r="F329" s="107"/>
      <c r="G329" s="108"/>
      <c r="H329" s="109">
        <f>SUM(H319:H325,H318)</f>
        <v>166.38334040000001</v>
      </c>
      <c r="I329" s="110"/>
      <c r="J329" s="111"/>
      <c r="K329" s="111"/>
      <c r="L329" s="109">
        <f>SUM(L319:L325,L318)</f>
        <v>127.0762069338252</v>
      </c>
      <c r="M329" s="112"/>
      <c r="N329" s="113">
        <f t="shared" ref="N329:N333" si="109">L329-H329</f>
        <v>-39.307133466174804</v>
      </c>
      <c r="O329" s="114">
        <f t="shared" ref="O329:O333" si="110">IF((H329)=0,"",(N329/H329))</f>
        <v>-0.23624440627094659</v>
      </c>
    </row>
    <row r="330" spans="1:15" x14ac:dyDescent="0.25">
      <c r="B330" s="115" t="s">
        <v>56</v>
      </c>
      <c r="C330" s="29"/>
      <c r="D330" s="29"/>
      <c r="E330" s="29"/>
      <c r="F330" s="116">
        <v>0.13</v>
      </c>
      <c r="G330" s="117"/>
      <c r="H330" s="118">
        <f>H329*F330</f>
        <v>21.629834252000002</v>
      </c>
      <c r="I330" s="119"/>
      <c r="J330" s="120">
        <v>0.13</v>
      </c>
      <c r="K330" s="119"/>
      <c r="L330" s="121">
        <f>L329*J330</f>
        <v>16.519906901397277</v>
      </c>
      <c r="M330" s="122"/>
      <c r="N330" s="123">
        <f t="shared" si="109"/>
        <v>-5.1099273506027245</v>
      </c>
      <c r="O330" s="124">
        <f t="shared" si="110"/>
        <v>-0.23624440627094659</v>
      </c>
    </row>
    <row r="331" spans="1:15" x14ac:dyDescent="0.25">
      <c r="B331" s="125" t="s">
        <v>57</v>
      </c>
      <c r="C331" s="29"/>
      <c r="D331" s="29"/>
      <c r="E331" s="29"/>
      <c r="F331" s="126"/>
      <c r="G331" s="117"/>
      <c r="H331" s="118">
        <f>H329+H330</f>
        <v>188.013174652</v>
      </c>
      <c r="I331" s="119"/>
      <c r="J331" s="119"/>
      <c r="K331" s="119"/>
      <c r="L331" s="121">
        <f>L329+L330</f>
        <v>143.59611383522247</v>
      </c>
      <c r="M331" s="122"/>
      <c r="N331" s="123">
        <f t="shared" si="109"/>
        <v>-44.417060816777536</v>
      </c>
      <c r="O331" s="124">
        <f t="shared" si="110"/>
        <v>-0.23624440627094664</v>
      </c>
    </row>
    <row r="332" spans="1:15" x14ac:dyDescent="0.25">
      <c r="B332" s="203" t="s">
        <v>58</v>
      </c>
      <c r="C332" s="203"/>
      <c r="D332" s="203"/>
      <c r="E332" s="29"/>
      <c r="F332" s="126"/>
      <c r="G332" s="117"/>
      <c r="H332" s="127">
        <f>ROUND(-H331*10%,2)</f>
        <v>-18.8</v>
      </c>
      <c r="I332" s="119"/>
      <c r="J332" s="119"/>
      <c r="K332" s="119"/>
      <c r="L332" s="128">
        <f>ROUND(-L331*10%,2)</f>
        <v>-14.36</v>
      </c>
      <c r="M332" s="122"/>
      <c r="N332" s="129">
        <f t="shared" si="109"/>
        <v>4.4400000000000013</v>
      </c>
      <c r="O332" s="130">
        <f t="shared" si="110"/>
        <v>-0.23617021276595751</v>
      </c>
    </row>
    <row r="333" spans="1:15" ht="15.75" thickBot="1" x14ac:dyDescent="0.3">
      <c r="B333" s="204" t="s">
        <v>59</v>
      </c>
      <c r="C333" s="204"/>
      <c r="D333" s="204"/>
      <c r="E333" s="131"/>
      <c r="F333" s="132"/>
      <c r="G333" s="133"/>
      <c r="H333" s="134">
        <f>H331+H332</f>
        <v>169.21317465199999</v>
      </c>
      <c r="I333" s="135"/>
      <c r="J333" s="135"/>
      <c r="K333" s="135"/>
      <c r="L333" s="136">
        <f>L331+L332</f>
        <v>129.23611383522245</v>
      </c>
      <c r="M333" s="137"/>
      <c r="N333" s="138">
        <f t="shared" si="109"/>
        <v>-39.977060816777538</v>
      </c>
      <c r="O333" s="139">
        <f t="shared" si="110"/>
        <v>-0.23625264935188092</v>
      </c>
    </row>
    <row r="334" spans="1:15" ht="15.75" thickBot="1" x14ac:dyDescent="0.3">
      <c r="A334" s="95"/>
      <c r="B334" s="140"/>
      <c r="C334" s="141"/>
      <c r="D334" s="142"/>
      <c r="E334" s="141"/>
      <c r="F334" s="99"/>
      <c r="G334" s="143"/>
      <c r="H334" s="101"/>
      <c r="I334" s="144"/>
      <c r="J334" s="99"/>
      <c r="K334" s="145"/>
      <c r="L334" s="101"/>
      <c r="M334" s="144"/>
      <c r="N334" s="146"/>
      <c r="O334" s="105"/>
    </row>
    <row r="335" spans="1:15" x14ac:dyDescent="0.25">
      <c r="A335" s="95"/>
      <c r="B335" s="147" t="s">
        <v>60</v>
      </c>
      <c r="C335" s="89"/>
      <c r="D335" s="89"/>
      <c r="E335" s="89"/>
      <c r="F335" s="148"/>
      <c r="G335" s="149"/>
      <c r="H335" s="150">
        <f>SUM(H326:H327,H318,H319:H322)</f>
        <v>163.15534040000003</v>
      </c>
      <c r="I335" s="151"/>
      <c r="J335" s="152"/>
      <c r="K335" s="152"/>
      <c r="L335" s="150">
        <f>SUM(L326:L327,L318,L319:L322)</f>
        <v>123.84820693382521</v>
      </c>
      <c r="M335" s="153"/>
      <c r="N335" s="154">
        <f t="shared" ref="N335:N339" si="111">L335-H335</f>
        <v>-39.307133466174818</v>
      </c>
      <c r="O335" s="114">
        <f t="shared" ref="O335:O339" si="112">IF((H335)=0,"",(N335/H335))</f>
        <v>-0.24091846071239487</v>
      </c>
    </row>
    <row r="336" spans="1:15" x14ac:dyDescent="0.25">
      <c r="A336" s="95"/>
      <c r="B336" s="155" t="s">
        <v>56</v>
      </c>
      <c r="C336" s="89"/>
      <c r="D336" s="89"/>
      <c r="E336" s="89"/>
      <c r="F336" s="156">
        <v>0.13</v>
      </c>
      <c r="G336" s="149"/>
      <c r="H336" s="157">
        <f>H335*F336</f>
        <v>21.210194252000004</v>
      </c>
      <c r="I336" s="158"/>
      <c r="J336" s="159">
        <v>0.13</v>
      </c>
      <c r="K336" s="160"/>
      <c r="L336" s="161">
        <f>L335*J336</f>
        <v>16.100266901397276</v>
      </c>
      <c r="M336" s="162"/>
      <c r="N336" s="163">
        <f t="shared" si="111"/>
        <v>-5.1099273506027281</v>
      </c>
      <c r="O336" s="124">
        <f t="shared" si="112"/>
        <v>-0.24091846071239495</v>
      </c>
    </row>
    <row r="337" spans="1:15" x14ac:dyDescent="0.25">
      <c r="A337" s="95"/>
      <c r="B337" s="164" t="s">
        <v>57</v>
      </c>
      <c r="C337" s="89"/>
      <c r="D337" s="89"/>
      <c r="E337" s="89"/>
      <c r="F337" s="165"/>
      <c r="G337" s="166"/>
      <c r="H337" s="157">
        <f>H335+H336</f>
        <v>184.36553465200004</v>
      </c>
      <c r="I337" s="158"/>
      <c r="J337" s="158"/>
      <c r="K337" s="158"/>
      <c r="L337" s="161">
        <f>L335+L336</f>
        <v>139.9484738352225</v>
      </c>
      <c r="M337" s="162"/>
      <c r="N337" s="163">
        <f t="shared" si="111"/>
        <v>-44.417060816777536</v>
      </c>
      <c r="O337" s="124">
        <f t="shared" si="112"/>
        <v>-0.24091846071239481</v>
      </c>
    </row>
    <row r="338" spans="1:15" x14ac:dyDescent="0.25">
      <c r="A338" s="95"/>
      <c r="B338" s="205" t="s">
        <v>58</v>
      </c>
      <c r="C338" s="205"/>
      <c r="D338" s="205"/>
      <c r="E338" s="89"/>
      <c r="F338" s="165"/>
      <c r="G338" s="166"/>
      <c r="H338" s="167">
        <f>ROUND(-H337*10%,2)</f>
        <v>-18.440000000000001</v>
      </c>
      <c r="I338" s="158"/>
      <c r="J338" s="158"/>
      <c r="K338" s="158"/>
      <c r="L338" s="168">
        <f>ROUND(-L337*10%,2)</f>
        <v>-13.99</v>
      </c>
      <c r="M338" s="162"/>
      <c r="N338" s="169">
        <f t="shared" si="111"/>
        <v>4.4500000000000011</v>
      </c>
      <c r="O338" s="130">
        <f t="shared" si="112"/>
        <v>-0.24132321041214755</v>
      </c>
    </row>
    <row r="339" spans="1:15" ht="15.75" thickBot="1" x14ac:dyDescent="0.3">
      <c r="A339" s="95"/>
      <c r="B339" s="196" t="s">
        <v>61</v>
      </c>
      <c r="C339" s="196"/>
      <c r="D339" s="196"/>
      <c r="E339" s="170"/>
      <c r="F339" s="171"/>
      <c r="G339" s="172"/>
      <c r="H339" s="173">
        <f>SUM(H337:H338)</f>
        <v>165.92553465200004</v>
      </c>
      <c r="I339" s="174"/>
      <c r="J339" s="174"/>
      <c r="K339" s="174"/>
      <c r="L339" s="175">
        <f>SUM(L337:L338)</f>
        <v>125.95847383522251</v>
      </c>
      <c r="M339" s="176"/>
      <c r="N339" s="177">
        <f t="shared" si="111"/>
        <v>-39.967060816777533</v>
      </c>
      <c r="O339" s="178">
        <f t="shared" si="112"/>
        <v>-0.24087347918210114</v>
      </c>
    </row>
    <row r="340" spans="1:15" ht="15.75" thickBot="1" x14ac:dyDescent="0.3">
      <c r="A340" s="95"/>
      <c r="B340" s="140"/>
      <c r="C340" s="141"/>
      <c r="D340" s="142"/>
      <c r="E340" s="141"/>
      <c r="F340" s="179"/>
      <c r="G340" s="180"/>
      <c r="H340" s="181"/>
      <c r="I340" s="182"/>
      <c r="J340" s="179"/>
      <c r="K340" s="143"/>
      <c r="L340" s="183"/>
      <c r="M340" s="144"/>
      <c r="N340" s="184"/>
      <c r="O340" s="105"/>
    </row>
    <row r="341" spans="1:15" x14ac:dyDescent="0.25">
      <c r="L341" s="87"/>
    </row>
    <row r="342" spans="1:15" x14ac:dyDescent="0.25">
      <c r="B342" s="20" t="s">
        <v>62</v>
      </c>
      <c r="F342" s="185">
        <f>F73</f>
        <v>4.6300000000000001E-2</v>
      </c>
      <c r="J342" s="185">
        <f>J73</f>
        <v>3.7900000000000045E-2</v>
      </c>
    </row>
  </sheetData>
  <mergeCells count="58">
    <mergeCell ref="A3:K3"/>
    <mergeCell ref="B10:O10"/>
    <mergeCell ref="B11:O11"/>
    <mergeCell ref="D14:O14"/>
    <mergeCell ref="F20:H20"/>
    <mergeCell ref="J20:L20"/>
    <mergeCell ref="N20:O20"/>
    <mergeCell ref="D98:D99"/>
    <mergeCell ref="N98:N99"/>
    <mergeCell ref="O98:O99"/>
    <mergeCell ref="D21:D22"/>
    <mergeCell ref="N21:N22"/>
    <mergeCell ref="O21:O22"/>
    <mergeCell ref="B63:D63"/>
    <mergeCell ref="B64:D64"/>
    <mergeCell ref="B69:D69"/>
    <mergeCell ref="B70:D70"/>
    <mergeCell ref="D91:O91"/>
    <mergeCell ref="F97:H97"/>
    <mergeCell ref="J97:L97"/>
    <mergeCell ref="N97:O97"/>
    <mergeCell ref="B211:D211"/>
    <mergeCell ref="B141:D141"/>
    <mergeCell ref="B142:D142"/>
    <mergeCell ref="B147:D147"/>
    <mergeCell ref="B148:D148"/>
    <mergeCell ref="D154:O154"/>
    <mergeCell ref="F160:H160"/>
    <mergeCell ref="J160:L160"/>
    <mergeCell ref="N160:O160"/>
    <mergeCell ref="D161:D162"/>
    <mergeCell ref="N161:N162"/>
    <mergeCell ref="O161:O162"/>
    <mergeCell ref="B205:D205"/>
    <mergeCell ref="B206:D206"/>
    <mergeCell ref="F288:H288"/>
    <mergeCell ref="J288:L288"/>
    <mergeCell ref="N288:O288"/>
    <mergeCell ref="B212:D212"/>
    <mergeCell ref="D218:O218"/>
    <mergeCell ref="F224:H224"/>
    <mergeCell ref="J224:L224"/>
    <mergeCell ref="N224:O224"/>
    <mergeCell ref="D225:D226"/>
    <mergeCell ref="N225:N226"/>
    <mergeCell ref="O225:O226"/>
    <mergeCell ref="B269:D269"/>
    <mergeCell ref="B270:D270"/>
    <mergeCell ref="B275:D275"/>
    <mergeCell ref="B276:D276"/>
    <mergeCell ref="D282:O282"/>
    <mergeCell ref="B339:D339"/>
    <mergeCell ref="D289:D290"/>
    <mergeCell ref="N289:N290"/>
    <mergeCell ref="O289:O290"/>
    <mergeCell ref="B332:D332"/>
    <mergeCell ref="B333:D333"/>
    <mergeCell ref="B338:D338"/>
  </mergeCells>
  <dataValidations disablePrompts="1" count="3">
    <dataValidation type="list" allowBlank="1" showInputMessage="1" showErrorMessage="1" sqref="D16 D93 D156 D220 D284">
      <formula1>"TOU, non-TOU"</formula1>
    </dataValidation>
    <dataValidation type="list" allowBlank="1" showInputMessage="1" showErrorMessage="1" sqref="E71 E65 E149 E143 E213 E207 E277 E271 E340 E334 E40:E45 E47:E48 E23:E38 E50:E59 E125:E126 E117:E123 E100:E115 E128:E137 E189:E190 E180:E187 E163:E178 E192:E201 E253:E254 E244:E251 E227:E242 E256:E265 E316:E317 E308:E314 E291:E306 E319:E328">
      <formula1>#REF!</formula1>
    </dataValidation>
    <dataValidation type="list" allowBlank="1" showInputMessage="1" showErrorMessage="1" prompt="Select Charge Unit - monthly, per kWh, per kW" sqref="D47:D48 D65 D23:D38 D71 D50:D59 D125:D126 D117:D123 D143 D100:D115 D149 D128:D137 D189:D190 D180:D187 D207 D163:D178 D213 D192:D201 D253:D254 D244:D251 D271 D227:D242 D277 D256:D265 D316:D317 D308:D314 D334 D291:D306 D340 D319:D328 D40:D45">
      <formula1>"Monthly, per kWh, per kW"</formula1>
    </dataValidation>
  </dataValidations>
  <pageMargins left="0.7" right="0.7" top="0.75" bottom="0.75" header="0.3" footer="0.3"/>
  <pageSetup scale="50" fitToHeight="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476250</xdr:colOff>
                    <xdr:row>16</xdr:row>
                    <xdr:rowOff>171450</xdr:rowOff>
                  </from>
                  <to>
                    <xdr:col>9</xdr:col>
                    <xdr:colOff>723900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15</xdr:col>
                    <xdr:colOff>76200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476250</xdr:colOff>
                    <xdr:row>93</xdr:row>
                    <xdr:rowOff>171450</xdr:rowOff>
                  </from>
                  <to>
                    <xdr:col>9</xdr:col>
                    <xdr:colOff>723900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6</xdr:col>
                    <xdr:colOff>476250</xdr:colOff>
                    <xdr:row>156</xdr:row>
                    <xdr:rowOff>171450</xdr:rowOff>
                  </from>
                  <to>
                    <xdr:col>9</xdr:col>
                    <xdr:colOff>723900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6</xdr:col>
                    <xdr:colOff>476250</xdr:colOff>
                    <xdr:row>220</xdr:row>
                    <xdr:rowOff>171450</xdr:rowOff>
                  </from>
                  <to>
                    <xdr:col>9</xdr:col>
                    <xdr:colOff>723900</xdr:colOff>
                    <xdr:row>222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6</xdr:col>
                    <xdr:colOff>476250</xdr:colOff>
                    <xdr:row>284</xdr:row>
                    <xdr:rowOff>171450</xdr:rowOff>
                  </from>
                  <to>
                    <xdr:col>9</xdr:col>
                    <xdr:colOff>723900</xdr:colOff>
                    <xdr:row>286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Wormwell</dc:creator>
  <cp:lastModifiedBy>Philip Wormwell</cp:lastModifiedBy>
  <cp:lastPrinted>2014-02-06T15:36:29Z</cp:lastPrinted>
  <dcterms:created xsi:type="dcterms:W3CDTF">2014-02-06T15:31:50Z</dcterms:created>
  <dcterms:modified xsi:type="dcterms:W3CDTF">2014-02-06T15:54:58Z</dcterms:modified>
</cp:coreProperties>
</file>