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05" yWindow="0" windowWidth="22065" windowHeight="14595" tabRatio="847" firstSheet="12" activeTab="18"/>
  </bookViews>
  <sheets>
    <sheet name="Summary" sheetId="11" r:id="rId1"/>
    <sheet name="Final Regression Data" sheetId="43" r:id="rId2"/>
    <sheet name="Purchased Power Model " sheetId="19" r:id="rId3"/>
    <sheet name="Rate Class Energy Model" sheetId="9" r:id="rId4"/>
    <sheet name="Rate Class Customer Model" sheetId="17" r:id="rId5"/>
    <sheet name="Rate Class Load Model" sheetId="18" r:id="rId6"/>
    <sheet name="2013 COP Forecast" sheetId="29" r:id="rId7"/>
    <sheet name="2014 COP Forecast" sheetId="30" r:id="rId8"/>
    <sheet name="Exhibit 3 Tables" sheetId="24" r:id="rId9"/>
    <sheet name="Chart3" sheetId="26" r:id="rId10"/>
    <sheet name="DATA-Purchased Power" sheetId="31" r:id="rId11"/>
    <sheet name="DATA-Degree Days" sheetId="32" r:id="rId12"/>
    <sheet name="DATA-Calendar" sheetId="33" r:id="rId13"/>
    <sheet name="DATA-Customers" sheetId="39" r:id="rId14"/>
    <sheet name="DATA-Population" sheetId="34" r:id="rId15"/>
    <sheet name="DATA-CDM" sheetId="35" r:id="rId16"/>
    <sheet name="DATA-GDP Qrtly" sheetId="36" r:id="rId17"/>
    <sheet name="DATA-GDP Annual" sheetId="37" r:id="rId18"/>
    <sheet name="DATA-Employment" sheetId="38" r:id="rId19"/>
    <sheet name="DATA-kW" sheetId="40" r:id="rId20"/>
    <sheet name="DATA-kWh" sheetId="41" r:id="rId21"/>
    <sheet name="DATA-New Outlet Mall 2014" sheetId="42" r:id="rId22"/>
    <sheet name="DATA - FIT RESOP" sheetId="4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Order1" hidden="1">255</definedName>
    <definedName name="_Sort" localSheetId="6" hidden="1">[1]Sheet1!$G$40:$K$40</definedName>
    <definedName name="_Sort" localSheetId="7" hidden="1">[1]Sheet1!$G$40:$K$40</definedName>
    <definedName name="_Sort" localSheetId="8" hidden="1">[2]Sheet1!$G$40:$K$40</definedName>
    <definedName name="_Sort" hidden="1">[3]Sheet1!$G$40:$K$40</definedName>
    <definedName name="CAfile" localSheetId="8">[4]Refs!$B$2</definedName>
    <definedName name="CAfile">[5]Refs!$B$2</definedName>
    <definedName name="CArevReq" localSheetId="8">[4]Refs!$B$6</definedName>
    <definedName name="CArevReq">[5]Refs!$B$6</definedName>
    <definedName name="ClassRange1" localSheetId="8">[4]Refs!$B$3</definedName>
    <definedName name="ClassRange1">[5]Refs!$B$3</definedName>
    <definedName name="ClassRange2" localSheetId="8">[4]Refs!$B$4</definedName>
    <definedName name="ClassRange2">[5]Refs!$B$4</definedName>
    <definedName name="FolderPath" localSheetId="8">[4]Menu!$C$8</definedName>
    <definedName name="FolderPath">[5]Menu!$C$8</definedName>
    <definedName name="NewRevReq" localSheetId="8">[4]Refs!$B$8</definedName>
    <definedName name="NewRevReq">[5]Refs!$B$8</definedName>
    <definedName name="PAGE11" localSheetId="6">#REF!</definedName>
    <definedName name="PAGE11" localSheetId="7">#REF!</definedName>
    <definedName name="PAGE11" localSheetId="8">#REF!</definedName>
    <definedName name="PAGE11">#REF!</definedName>
    <definedName name="PAGE2" localSheetId="6">[1]Sheet1!$A$1:$I$40</definedName>
    <definedName name="PAGE2" localSheetId="7">[1]Sheet1!$A$1:$I$40</definedName>
    <definedName name="PAGE2" localSheetId="8">[2]Sheet1!$A$1:$I$40</definedName>
    <definedName name="PAGE2">[3]Sheet1!$A$1:$I$40</definedName>
    <definedName name="PAGE3" localSheetId="6">#REF!</definedName>
    <definedName name="PAGE3" localSheetId="7">#REF!</definedName>
    <definedName name="PAGE3" localSheetId="8">#REF!</definedName>
    <definedName name="PAGE3">#REF!</definedName>
    <definedName name="PAGE4" localSheetId="6">#REF!</definedName>
    <definedName name="PAGE4" localSheetId="7">#REF!</definedName>
    <definedName name="PAGE4" localSheetId="8">#REF!</definedName>
    <definedName name="PAGE4">#REF!</definedName>
    <definedName name="PAGE7" localSheetId="6">#REF!</definedName>
    <definedName name="PAGE7" localSheetId="7">#REF!</definedName>
    <definedName name="PAGE7" localSheetId="8">#REF!</definedName>
    <definedName name="PAGE7">#REF!</definedName>
    <definedName name="PAGE9" localSheetId="6">#REF!</definedName>
    <definedName name="PAGE9" localSheetId="7">#REF!</definedName>
    <definedName name="PAGE9" localSheetId="8">#REF!</definedName>
    <definedName name="PAGE9">#REF!</definedName>
    <definedName name="_xlnm.Print_Area" localSheetId="6">'2013 COP Forecast'!$A:$F</definedName>
    <definedName name="_xlnm.Print_Area" localSheetId="7">'2014 COP Forecast'!$A:$F</definedName>
    <definedName name="_xlnm.Print_Area" localSheetId="4">'Rate Class Customer Model'!$A$1:$Q$43</definedName>
    <definedName name="_xlnm.Print_Area" localSheetId="5">'Rate Class Load Model'!$A$2:$A$2</definedName>
    <definedName name="_xlnm.Print_Titles" localSheetId="2">'Purchased Power Model '!$A:$A,'Purchased Power Model '!$1:$2</definedName>
    <definedName name="RevReqLookupKey" localSheetId="8">[4]Refs!$B$5</definedName>
    <definedName name="RevReqLookupKey">[5]Refs!$B$5</definedName>
    <definedName name="RevReqRange" localSheetId="8">[4]Refs!$B$7</definedName>
    <definedName name="RevReqRange">[5]Refs!$B$7</definedName>
  </definedNames>
  <calcPr calcId="145621"/>
</workbook>
</file>

<file path=xl/calcChain.xml><?xml version="1.0" encoding="utf-8"?>
<calcChain xmlns="http://schemas.openxmlformats.org/spreadsheetml/2006/main">
  <c r="A229" i="43" l="1"/>
  <c r="A228" i="43"/>
  <c r="A227" i="43"/>
  <c r="A226" i="43"/>
  <c r="A225" i="43"/>
  <c r="A224" i="43"/>
  <c r="A223" i="43"/>
  <c r="A222" i="43"/>
  <c r="A221" i="43"/>
  <c r="A220" i="43"/>
  <c r="A219" i="43"/>
  <c r="A218" i="43"/>
  <c r="A217" i="43"/>
  <c r="A216" i="43"/>
  <c r="A215" i="43"/>
  <c r="A214" i="43"/>
  <c r="A213" i="43"/>
  <c r="A212" i="43"/>
  <c r="A211" i="43"/>
  <c r="A210" i="43"/>
  <c r="A209" i="43"/>
  <c r="A208" i="43"/>
  <c r="A207" i="43"/>
  <c r="A206" i="43"/>
  <c r="H229" i="43"/>
  <c r="G229" i="43"/>
  <c r="F229" i="43"/>
  <c r="E229" i="43"/>
  <c r="H228" i="43"/>
  <c r="G228" i="43"/>
  <c r="F228" i="43"/>
  <c r="E228" i="43"/>
  <c r="H227" i="43"/>
  <c r="G227" i="43"/>
  <c r="F227" i="43"/>
  <c r="E227" i="43"/>
  <c r="H226" i="43"/>
  <c r="G226" i="43"/>
  <c r="F226" i="43"/>
  <c r="E226" i="43"/>
  <c r="H225" i="43"/>
  <c r="G225" i="43"/>
  <c r="F225" i="43"/>
  <c r="E225" i="43"/>
  <c r="H224" i="43"/>
  <c r="G224" i="43"/>
  <c r="F224" i="43"/>
  <c r="E224" i="43"/>
  <c r="H223" i="43"/>
  <c r="G223" i="43"/>
  <c r="F223" i="43"/>
  <c r="E223" i="43"/>
  <c r="H222" i="43"/>
  <c r="G222" i="43"/>
  <c r="F222" i="43"/>
  <c r="E222" i="43"/>
  <c r="H221" i="43"/>
  <c r="G221" i="43"/>
  <c r="F221" i="43"/>
  <c r="E221" i="43"/>
  <c r="H220" i="43"/>
  <c r="G220" i="43"/>
  <c r="F220" i="43"/>
  <c r="E220" i="43"/>
  <c r="H219" i="43"/>
  <c r="G219" i="43"/>
  <c r="F219" i="43"/>
  <c r="E219" i="43"/>
  <c r="H218" i="43"/>
  <c r="G218" i="43"/>
  <c r="F218" i="43"/>
  <c r="E218" i="43"/>
  <c r="H217" i="43"/>
  <c r="G217" i="43"/>
  <c r="F217" i="43"/>
  <c r="E217" i="43"/>
  <c r="H216" i="43"/>
  <c r="G216" i="43"/>
  <c r="F216" i="43"/>
  <c r="E216" i="43"/>
  <c r="H215" i="43"/>
  <c r="G215" i="43"/>
  <c r="F215" i="43"/>
  <c r="E215" i="43"/>
  <c r="H214" i="43"/>
  <c r="G214" i="43"/>
  <c r="F214" i="43"/>
  <c r="E214" i="43"/>
  <c r="H213" i="43"/>
  <c r="G213" i="43"/>
  <c r="F213" i="43"/>
  <c r="E213" i="43"/>
  <c r="H212" i="43"/>
  <c r="G212" i="43"/>
  <c r="F212" i="43"/>
  <c r="E212" i="43"/>
  <c r="H211" i="43"/>
  <c r="G211" i="43"/>
  <c r="F211" i="43"/>
  <c r="E211" i="43"/>
  <c r="H210" i="43"/>
  <c r="G210" i="43"/>
  <c r="F210" i="43"/>
  <c r="E210" i="43"/>
  <c r="H209" i="43"/>
  <c r="G209" i="43"/>
  <c r="F209" i="43"/>
  <c r="E209" i="43"/>
  <c r="H208" i="43"/>
  <c r="G208" i="43"/>
  <c r="F208" i="43"/>
  <c r="E208" i="43"/>
  <c r="H207" i="43"/>
  <c r="G207" i="43"/>
  <c r="F207" i="43"/>
  <c r="E207" i="43"/>
  <c r="H206" i="43"/>
  <c r="G206" i="43"/>
  <c r="F206" i="43"/>
  <c r="E206" i="43"/>
  <c r="I90" i="30" l="1"/>
  <c r="I88" i="30"/>
  <c r="I91" i="30" s="1"/>
  <c r="I87" i="30"/>
  <c r="I90" i="29"/>
  <c r="I88" i="29"/>
  <c r="I91" i="29" s="1"/>
  <c r="I87" i="29"/>
  <c r="I92" i="30" l="1"/>
  <c r="I92" i="29"/>
  <c r="C422" i="24" l="1"/>
  <c r="B422" i="24"/>
  <c r="A422" i="24"/>
  <c r="C421" i="24"/>
  <c r="B421" i="24"/>
  <c r="A421" i="24"/>
  <c r="C420" i="24"/>
  <c r="B420" i="24"/>
  <c r="A420" i="24"/>
  <c r="C419" i="24"/>
  <c r="B419" i="24"/>
  <c r="A419" i="24"/>
  <c r="C418" i="24"/>
  <c r="B418" i="24"/>
  <c r="A418" i="24"/>
  <c r="Z19" i="17" l="1"/>
  <c r="Z18" i="17"/>
  <c r="Y19" i="17"/>
  <c r="Y18" i="17"/>
  <c r="Y17" i="17"/>
  <c r="Y51" i="11" l="1"/>
  <c r="Y50" i="11"/>
  <c r="Y49" i="11"/>
  <c r="Y48" i="11"/>
  <c r="Y46" i="11"/>
  <c r="Y45" i="11"/>
  <c r="Y44" i="11"/>
  <c r="Y42" i="11"/>
  <c r="Y41" i="11"/>
  <c r="Y40" i="11"/>
  <c r="Y39" i="11"/>
  <c r="Y37" i="11"/>
  <c r="Y36" i="11"/>
  <c r="Y35" i="11"/>
  <c r="Y34" i="11"/>
  <c r="Y33" i="11"/>
  <c r="Y32" i="11"/>
  <c r="Y31" i="11"/>
  <c r="Y30" i="11"/>
  <c r="Y29" i="11"/>
  <c r="Y28" i="11"/>
  <c r="Y27" i="11"/>
  <c r="Y26" i="11"/>
  <c r="Y25" i="11"/>
  <c r="Y24" i="11"/>
  <c r="Y22" i="11"/>
  <c r="Y21" i="11"/>
  <c r="Y20" i="11"/>
  <c r="Y19" i="11"/>
  <c r="Y17" i="11"/>
  <c r="Y16" i="11"/>
  <c r="Y15" i="11"/>
  <c r="Y13" i="11"/>
  <c r="Y12" i="11"/>
  <c r="Y11" i="11"/>
  <c r="Y10" i="11"/>
  <c r="Y8" i="11"/>
  <c r="V46" i="11"/>
  <c r="V45" i="11"/>
  <c r="V42" i="11"/>
  <c r="W42" i="11" s="1"/>
  <c r="V41" i="11"/>
  <c r="W41" i="11" s="1"/>
  <c r="V40" i="11"/>
  <c r="V37" i="11"/>
  <c r="V36" i="11"/>
  <c r="V35" i="11"/>
  <c r="V22" i="11"/>
  <c r="V21" i="11"/>
  <c r="V20" i="11"/>
  <c r="V17" i="11"/>
  <c r="V16" i="11"/>
  <c r="V13" i="11"/>
  <c r="V12" i="11"/>
  <c r="D4" i="44" l="1"/>
  <c r="D3" i="44"/>
  <c r="D2" i="44"/>
  <c r="O5" i="42"/>
  <c r="F291" i="24" l="1"/>
  <c r="N285" i="24" l="1"/>
  <c r="M285" i="24"/>
  <c r="L285" i="24"/>
  <c r="N284" i="24"/>
  <c r="M284" i="24"/>
  <c r="L284" i="24"/>
  <c r="N283" i="24"/>
  <c r="M283" i="24"/>
  <c r="L283" i="24"/>
  <c r="N282" i="24"/>
  <c r="M282" i="24"/>
  <c r="L282" i="24"/>
  <c r="O6" i="42" l="1"/>
  <c r="O4" i="42"/>
  <c r="C20" i="42" l="1"/>
  <c r="C19" i="42"/>
  <c r="B19" i="42"/>
  <c r="C18" i="42"/>
  <c r="C28" i="42" s="1"/>
  <c r="B18" i="42"/>
  <c r="B28" i="42" s="1"/>
  <c r="D28" i="42" l="1"/>
  <c r="B29" i="42"/>
  <c r="D25" i="42"/>
  <c r="J100" i="9"/>
  <c r="C29" i="42"/>
  <c r="B30" i="42"/>
  <c r="D24" i="42"/>
  <c r="D26" i="42" s="1"/>
  <c r="G100" i="9"/>
  <c r="F20" i="42"/>
  <c r="I100" i="9"/>
  <c r="E306" i="24" s="1"/>
  <c r="E58" i="30"/>
  <c r="E56" i="30"/>
  <c r="E53" i="30"/>
  <c r="E52" i="30"/>
  <c r="E51" i="30"/>
  <c r="E46" i="30"/>
  <c r="E44" i="30"/>
  <c r="E41" i="30"/>
  <c r="E40" i="30"/>
  <c r="E39" i="30"/>
  <c r="D29" i="42" l="1"/>
  <c r="D30" i="42" s="1"/>
  <c r="C30" i="42"/>
  <c r="S35" i="35"/>
  <c r="S43" i="35" s="1"/>
  <c r="E93" i="9" s="1"/>
  <c r="S29" i="35" l="1"/>
  <c r="F278" i="24" s="1"/>
  <c r="T28" i="35"/>
  <c r="G277" i="24" s="1"/>
  <c r="S28" i="35"/>
  <c r="R28" i="35"/>
  <c r="E277" i="24" s="1"/>
  <c r="T27" i="35"/>
  <c r="S27" i="35"/>
  <c r="R27" i="35"/>
  <c r="F277" i="24"/>
  <c r="G276" i="24"/>
  <c r="F276" i="24"/>
  <c r="E276" i="24"/>
  <c r="AC24" i="19"/>
  <c r="AB24" i="19"/>
  <c r="AA24" i="19"/>
  <c r="Z24" i="19"/>
  <c r="Y24" i="19"/>
  <c r="X24" i="19"/>
  <c r="D39" i="35"/>
  <c r="D40" i="35" s="1"/>
  <c r="D38" i="35"/>
  <c r="D37" i="35"/>
  <c r="AC25" i="19" l="1"/>
  <c r="AB25" i="19"/>
  <c r="AA25" i="19"/>
  <c r="Z25" i="19"/>
  <c r="Y25" i="19"/>
  <c r="X25" i="19"/>
  <c r="AC23" i="19"/>
  <c r="AB23" i="19"/>
  <c r="AA23" i="19"/>
  <c r="Z23" i="19"/>
  <c r="Y23" i="19"/>
  <c r="X23" i="19"/>
  <c r="AC22" i="19"/>
  <c r="AB22" i="19"/>
  <c r="AA22" i="19"/>
  <c r="Z22" i="19"/>
  <c r="Y22" i="19"/>
  <c r="X22" i="19"/>
  <c r="AC21" i="19"/>
  <c r="AB21" i="19"/>
  <c r="AA21" i="19"/>
  <c r="Z21" i="19"/>
  <c r="Y21" i="19"/>
  <c r="X21" i="19"/>
  <c r="AC20" i="19"/>
  <c r="AB20" i="19"/>
  <c r="AA20" i="19"/>
  <c r="Z20" i="19"/>
  <c r="Y20" i="19"/>
  <c r="X20" i="19"/>
  <c r="AC19" i="19"/>
  <c r="AB19" i="19"/>
  <c r="AA19" i="19"/>
  <c r="Z19" i="19"/>
  <c r="Y19" i="19"/>
  <c r="X19" i="19"/>
  <c r="AC18" i="19"/>
  <c r="AB18" i="19"/>
  <c r="AA18" i="19"/>
  <c r="Z18" i="19"/>
  <c r="Y18" i="19"/>
  <c r="X18" i="19"/>
  <c r="Y15" i="19"/>
  <c r="X15" i="19"/>
  <c r="Z14" i="19"/>
  <c r="Y14" i="19"/>
  <c r="X14" i="19"/>
  <c r="AB13" i="19"/>
  <c r="AA13" i="19"/>
  <c r="Z13" i="19"/>
  <c r="Y13" i="19"/>
  <c r="X13" i="19"/>
  <c r="X9" i="19"/>
  <c r="X7" i="19"/>
  <c r="X6" i="19"/>
  <c r="X5" i="19"/>
  <c r="X4" i="19"/>
  <c r="G205" i="43" l="1"/>
  <c r="F205" i="43"/>
  <c r="E205" i="43"/>
  <c r="G204" i="43"/>
  <c r="F204" i="43"/>
  <c r="E204" i="43"/>
  <c r="G203" i="43"/>
  <c r="F203" i="43"/>
  <c r="E203" i="43"/>
  <c r="G202" i="43"/>
  <c r="F202" i="43"/>
  <c r="E202" i="43"/>
  <c r="G201" i="43"/>
  <c r="F201" i="43"/>
  <c r="E201" i="43"/>
  <c r="G200" i="43"/>
  <c r="F200" i="43"/>
  <c r="E200" i="43"/>
  <c r="G199" i="43"/>
  <c r="F199" i="43"/>
  <c r="E199" i="43"/>
  <c r="G198" i="43"/>
  <c r="F198" i="43"/>
  <c r="E198" i="43"/>
  <c r="G197" i="43"/>
  <c r="F197" i="43"/>
  <c r="E197" i="43"/>
  <c r="G196" i="43"/>
  <c r="F196" i="43"/>
  <c r="E196" i="43"/>
  <c r="G195" i="43"/>
  <c r="F195" i="43"/>
  <c r="E195" i="43"/>
  <c r="G194" i="43"/>
  <c r="F194" i="43"/>
  <c r="E194" i="43"/>
  <c r="G193" i="43"/>
  <c r="F193" i="43"/>
  <c r="E193" i="43"/>
  <c r="G192" i="43"/>
  <c r="F192" i="43"/>
  <c r="E192" i="43"/>
  <c r="G191" i="43"/>
  <c r="F191" i="43"/>
  <c r="E191" i="43"/>
  <c r="G190" i="43"/>
  <c r="F190" i="43"/>
  <c r="E190" i="43"/>
  <c r="G189" i="43"/>
  <c r="F189" i="43"/>
  <c r="E189" i="43"/>
  <c r="G188" i="43"/>
  <c r="F188" i="43"/>
  <c r="E188" i="43"/>
  <c r="G187" i="43"/>
  <c r="F187" i="43"/>
  <c r="E187" i="43"/>
  <c r="G186" i="43"/>
  <c r="F186" i="43"/>
  <c r="E186" i="43"/>
  <c r="G185" i="43"/>
  <c r="F185" i="43"/>
  <c r="E185" i="43"/>
  <c r="G184" i="43"/>
  <c r="F184" i="43"/>
  <c r="E184" i="43"/>
  <c r="G183" i="43"/>
  <c r="F183" i="43"/>
  <c r="E183" i="43"/>
  <c r="G182" i="43"/>
  <c r="F182" i="43"/>
  <c r="E182" i="43"/>
  <c r="G181" i="43"/>
  <c r="F181" i="43"/>
  <c r="E181" i="43"/>
  <c r="G180" i="43"/>
  <c r="F180" i="43"/>
  <c r="E180" i="43"/>
  <c r="G179" i="43"/>
  <c r="F179" i="43"/>
  <c r="E179" i="43"/>
  <c r="G178" i="43"/>
  <c r="F178" i="43"/>
  <c r="E178" i="43"/>
  <c r="G177" i="43"/>
  <c r="F177" i="43"/>
  <c r="E177" i="43"/>
  <c r="G176" i="43"/>
  <c r="F176" i="43"/>
  <c r="E176" i="43"/>
  <c r="G175" i="43"/>
  <c r="F175" i="43"/>
  <c r="E175" i="43"/>
  <c r="G174" i="43"/>
  <c r="F174" i="43"/>
  <c r="E174" i="43"/>
  <c r="G173" i="43"/>
  <c r="F173" i="43"/>
  <c r="E173" i="43"/>
  <c r="G172" i="43"/>
  <c r="F172" i="43"/>
  <c r="E172" i="43"/>
  <c r="G171" i="43"/>
  <c r="F171" i="43"/>
  <c r="E171" i="43"/>
  <c r="G170" i="43"/>
  <c r="F170" i="43"/>
  <c r="E170" i="43"/>
  <c r="G169" i="43"/>
  <c r="F169" i="43"/>
  <c r="E169" i="43"/>
  <c r="G168" i="43"/>
  <c r="F168" i="43"/>
  <c r="E168" i="43"/>
  <c r="G167" i="43"/>
  <c r="F167" i="43"/>
  <c r="E167" i="43"/>
  <c r="G166" i="43"/>
  <c r="F166" i="43"/>
  <c r="E166" i="43"/>
  <c r="G165" i="43"/>
  <c r="F165" i="43"/>
  <c r="E165" i="43"/>
  <c r="G164" i="43"/>
  <c r="F164" i="43"/>
  <c r="E164" i="43"/>
  <c r="G163" i="43"/>
  <c r="F163" i="43"/>
  <c r="E163" i="43"/>
  <c r="G162" i="43"/>
  <c r="F162" i="43"/>
  <c r="E162" i="43"/>
  <c r="G161" i="43"/>
  <c r="F161" i="43"/>
  <c r="E161" i="43"/>
  <c r="G160" i="43"/>
  <c r="F160" i="43"/>
  <c r="E160" i="43"/>
  <c r="G159" i="43"/>
  <c r="F159" i="43"/>
  <c r="E159" i="43"/>
  <c r="G158" i="43"/>
  <c r="F158" i="43"/>
  <c r="E158" i="43"/>
  <c r="G157" i="43"/>
  <c r="F157" i="43"/>
  <c r="E157" i="43"/>
  <c r="G156" i="43"/>
  <c r="F156" i="43"/>
  <c r="E156" i="43"/>
  <c r="G155" i="43"/>
  <c r="F155" i="43"/>
  <c r="E155" i="43"/>
  <c r="G154" i="43"/>
  <c r="F154" i="43"/>
  <c r="E154" i="43"/>
  <c r="G153" i="43"/>
  <c r="F153" i="43"/>
  <c r="E153" i="43"/>
  <c r="G152" i="43"/>
  <c r="F152" i="43"/>
  <c r="E152" i="43"/>
  <c r="G151" i="43"/>
  <c r="F151" i="43"/>
  <c r="E151" i="43"/>
  <c r="G150" i="43"/>
  <c r="F150" i="43"/>
  <c r="E150" i="43"/>
  <c r="G149" i="43"/>
  <c r="F149" i="43"/>
  <c r="E149" i="43"/>
  <c r="G148" i="43"/>
  <c r="F148" i="43"/>
  <c r="E148" i="43"/>
  <c r="G147" i="43"/>
  <c r="F147" i="43"/>
  <c r="E147" i="43"/>
  <c r="G146" i="43"/>
  <c r="F146" i="43"/>
  <c r="E146" i="43"/>
  <c r="G145" i="43"/>
  <c r="F145" i="43"/>
  <c r="E145" i="43"/>
  <c r="G144" i="43"/>
  <c r="F144" i="43"/>
  <c r="E144" i="43"/>
  <c r="G143" i="43"/>
  <c r="F143" i="43"/>
  <c r="E143" i="43"/>
  <c r="G142" i="43"/>
  <c r="F142" i="43"/>
  <c r="E142" i="43"/>
  <c r="G141" i="43"/>
  <c r="F141" i="43"/>
  <c r="E141" i="43"/>
  <c r="G140" i="43"/>
  <c r="F140" i="43"/>
  <c r="E140" i="43"/>
  <c r="G139" i="43"/>
  <c r="F139" i="43"/>
  <c r="E139" i="43"/>
  <c r="G138" i="43"/>
  <c r="F138" i="43"/>
  <c r="E138" i="43"/>
  <c r="G137" i="43"/>
  <c r="F137" i="43"/>
  <c r="E137" i="43"/>
  <c r="G136" i="43"/>
  <c r="F136" i="43"/>
  <c r="E136" i="43"/>
  <c r="G135" i="43"/>
  <c r="F135" i="43"/>
  <c r="E135" i="43"/>
  <c r="G134" i="43"/>
  <c r="F134" i="43"/>
  <c r="E134" i="43"/>
  <c r="G133" i="43"/>
  <c r="F133" i="43"/>
  <c r="E133" i="43"/>
  <c r="G132" i="43"/>
  <c r="F132" i="43"/>
  <c r="E132" i="43"/>
  <c r="G131" i="43"/>
  <c r="F131" i="43"/>
  <c r="E131" i="43"/>
  <c r="G130" i="43"/>
  <c r="F130" i="43"/>
  <c r="E130" i="43"/>
  <c r="G129" i="43"/>
  <c r="F129" i="43"/>
  <c r="E129" i="43"/>
  <c r="G128" i="43"/>
  <c r="F128" i="43"/>
  <c r="E128" i="43"/>
  <c r="G127" i="43"/>
  <c r="F127" i="43"/>
  <c r="E127" i="43"/>
  <c r="G126" i="43"/>
  <c r="F126" i="43"/>
  <c r="E126" i="43"/>
  <c r="G125" i="43"/>
  <c r="F125" i="43"/>
  <c r="E125" i="43"/>
  <c r="G124" i="43"/>
  <c r="F124" i="43"/>
  <c r="E124" i="43"/>
  <c r="G123" i="43"/>
  <c r="F123" i="43"/>
  <c r="E123" i="43"/>
  <c r="G122" i="43"/>
  <c r="F122" i="43"/>
  <c r="E122" i="43"/>
  <c r="H121" i="43"/>
  <c r="G121" i="43"/>
  <c r="F121" i="43"/>
  <c r="E121" i="43"/>
  <c r="H120" i="43"/>
  <c r="G120" i="43"/>
  <c r="F120" i="43"/>
  <c r="E120" i="43"/>
  <c r="H119" i="43"/>
  <c r="G119" i="43"/>
  <c r="F119" i="43"/>
  <c r="E119" i="43"/>
  <c r="H118" i="43"/>
  <c r="G118" i="43"/>
  <c r="F118" i="43"/>
  <c r="E118" i="43"/>
  <c r="H117" i="43"/>
  <c r="G117" i="43"/>
  <c r="F117" i="43"/>
  <c r="E117" i="43"/>
  <c r="H116" i="43"/>
  <c r="G116" i="43"/>
  <c r="F116" i="43"/>
  <c r="E116" i="43"/>
  <c r="H115" i="43"/>
  <c r="G115" i="43"/>
  <c r="F115" i="43"/>
  <c r="E115" i="43"/>
  <c r="H114" i="43"/>
  <c r="G114" i="43"/>
  <c r="F114" i="43"/>
  <c r="E114" i="43"/>
  <c r="H113" i="43"/>
  <c r="G113" i="43"/>
  <c r="F113" i="43"/>
  <c r="E113" i="43"/>
  <c r="H112" i="43"/>
  <c r="G112" i="43"/>
  <c r="F112" i="43"/>
  <c r="E112" i="43"/>
  <c r="H111" i="43"/>
  <c r="G111" i="43"/>
  <c r="F111" i="43"/>
  <c r="E111" i="43"/>
  <c r="H110" i="43"/>
  <c r="G110" i="43"/>
  <c r="F110" i="43"/>
  <c r="E110" i="43"/>
  <c r="H109" i="43"/>
  <c r="G109" i="43"/>
  <c r="F109" i="43"/>
  <c r="E109" i="43"/>
  <c r="H108" i="43"/>
  <c r="G108" i="43"/>
  <c r="F108" i="43"/>
  <c r="E108" i="43"/>
  <c r="H107" i="43"/>
  <c r="G107" i="43"/>
  <c r="F107" i="43"/>
  <c r="E107" i="43"/>
  <c r="H106" i="43"/>
  <c r="G106" i="43"/>
  <c r="F106" i="43"/>
  <c r="E106" i="43"/>
  <c r="H105" i="43"/>
  <c r="G105" i="43"/>
  <c r="F105" i="43"/>
  <c r="E105" i="43"/>
  <c r="H104" i="43"/>
  <c r="G104" i="43"/>
  <c r="F104" i="43"/>
  <c r="E104" i="43"/>
  <c r="H103" i="43"/>
  <c r="G103" i="43"/>
  <c r="F103" i="43"/>
  <c r="E103" i="43"/>
  <c r="H102" i="43"/>
  <c r="G102" i="43"/>
  <c r="F102" i="43"/>
  <c r="E102" i="43"/>
  <c r="H101" i="43"/>
  <c r="G101" i="43"/>
  <c r="F101" i="43"/>
  <c r="E101" i="43"/>
  <c r="H100" i="43"/>
  <c r="G100" i="43"/>
  <c r="F100" i="43"/>
  <c r="E100" i="43"/>
  <c r="H99" i="43"/>
  <c r="G99" i="43"/>
  <c r="F99" i="43"/>
  <c r="E99" i="43"/>
  <c r="H98" i="43"/>
  <c r="G98" i="43"/>
  <c r="F98" i="43"/>
  <c r="E98" i="43"/>
  <c r="H97" i="43"/>
  <c r="G97" i="43"/>
  <c r="F97" i="43"/>
  <c r="E97" i="43"/>
  <c r="H96" i="43"/>
  <c r="G96" i="43"/>
  <c r="F96" i="43"/>
  <c r="E96" i="43"/>
  <c r="H95" i="43"/>
  <c r="G95" i="43"/>
  <c r="F95" i="43"/>
  <c r="E95" i="43"/>
  <c r="H94" i="43"/>
  <c r="G94" i="43"/>
  <c r="F94" i="43"/>
  <c r="E94" i="43"/>
  <c r="H93" i="43"/>
  <c r="G93" i="43"/>
  <c r="F93" i="43"/>
  <c r="E93" i="43"/>
  <c r="H92" i="43"/>
  <c r="G92" i="43"/>
  <c r="F92" i="43"/>
  <c r="E92" i="43"/>
  <c r="H91" i="43"/>
  <c r="G91" i="43"/>
  <c r="F91" i="43"/>
  <c r="E91" i="43"/>
  <c r="H90" i="43"/>
  <c r="G90" i="43"/>
  <c r="F90" i="43"/>
  <c r="E90" i="43"/>
  <c r="H89" i="43"/>
  <c r="G89" i="43"/>
  <c r="F89" i="43"/>
  <c r="E89" i="43"/>
  <c r="H88" i="43"/>
  <c r="G88" i="43"/>
  <c r="F88" i="43"/>
  <c r="E88" i="43"/>
  <c r="H87" i="43"/>
  <c r="G87" i="43"/>
  <c r="F87" i="43"/>
  <c r="E87" i="43"/>
  <c r="H86" i="43"/>
  <c r="G86" i="43"/>
  <c r="F86" i="43"/>
  <c r="E86" i="43"/>
  <c r="H85" i="43"/>
  <c r="G85" i="43"/>
  <c r="F85" i="43"/>
  <c r="E85" i="43"/>
  <c r="H84" i="43"/>
  <c r="G84" i="43"/>
  <c r="F84" i="43"/>
  <c r="E84" i="43"/>
  <c r="H83" i="43"/>
  <c r="G83" i="43"/>
  <c r="F83" i="43"/>
  <c r="E83" i="43"/>
  <c r="H82" i="43"/>
  <c r="G82" i="43"/>
  <c r="F82" i="43"/>
  <c r="E82" i="43"/>
  <c r="H81" i="43"/>
  <c r="G81" i="43"/>
  <c r="F81" i="43"/>
  <c r="E81" i="43"/>
  <c r="H80" i="43"/>
  <c r="G80" i="43"/>
  <c r="F80" i="43"/>
  <c r="E80" i="43"/>
  <c r="H79" i="43"/>
  <c r="G79" i="43"/>
  <c r="F79" i="43"/>
  <c r="E79" i="43"/>
  <c r="H78" i="43"/>
  <c r="G78" i="43"/>
  <c r="F78" i="43"/>
  <c r="E78" i="43"/>
  <c r="H77" i="43"/>
  <c r="G77" i="43"/>
  <c r="F77" i="43"/>
  <c r="E77" i="43"/>
  <c r="H76" i="43"/>
  <c r="G76" i="43"/>
  <c r="F76" i="43"/>
  <c r="E76" i="43"/>
  <c r="H75" i="43"/>
  <c r="G75" i="43"/>
  <c r="F75" i="43"/>
  <c r="E75" i="43"/>
  <c r="H74" i="43"/>
  <c r="G74" i="43"/>
  <c r="F74" i="43"/>
  <c r="E74" i="43"/>
  <c r="H73" i="43"/>
  <c r="G73" i="43"/>
  <c r="F73" i="43"/>
  <c r="E73" i="43"/>
  <c r="H72" i="43"/>
  <c r="G72" i="43"/>
  <c r="F72" i="43"/>
  <c r="E72" i="43"/>
  <c r="H71" i="43"/>
  <c r="G71" i="43"/>
  <c r="F71" i="43"/>
  <c r="E71" i="43"/>
  <c r="H70" i="43"/>
  <c r="G70" i="43"/>
  <c r="F70" i="43"/>
  <c r="E70" i="43"/>
  <c r="H69" i="43"/>
  <c r="G69" i="43"/>
  <c r="F69" i="43"/>
  <c r="E69" i="43"/>
  <c r="H68" i="43"/>
  <c r="G68" i="43"/>
  <c r="F68" i="43"/>
  <c r="E68" i="43"/>
  <c r="H67" i="43"/>
  <c r="G67" i="43"/>
  <c r="F67" i="43"/>
  <c r="E67" i="43"/>
  <c r="H66" i="43"/>
  <c r="G66" i="43"/>
  <c r="F66" i="43"/>
  <c r="E66" i="43"/>
  <c r="H65" i="43"/>
  <c r="G65" i="43"/>
  <c r="F65" i="43"/>
  <c r="E65" i="43"/>
  <c r="H64" i="43"/>
  <c r="G64" i="43"/>
  <c r="F64" i="43"/>
  <c r="E64" i="43"/>
  <c r="H63" i="43"/>
  <c r="G63" i="43"/>
  <c r="F63" i="43"/>
  <c r="E63" i="43"/>
  <c r="H62" i="43"/>
  <c r="G62" i="43"/>
  <c r="F62" i="43"/>
  <c r="E62" i="43"/>
  <c r="H61" i="43"/>
  <c r="G61" i="43"/>
  <c r="F61" i="43"/>
  <c r="E61" i="43"/>
  <c r="H60" i="43"/>
  <c r="G60" i="43"/>
  <c r="F60" i="43"/>
  <c r="E60" i="43"/>
  <c r="H59" i="43"/>
  <c r="G59" i="43"/>
  <c r="F59" i="43"/>
  <c r="E59" i="43"/>
  <c r="H58" i="43"/>
  <c r="G58" i="43"/>
  <c r="F58" i="43"/>
  <c r="E58" i="43"/>
  <c r="H57" i="43"/>
  <c r="G57" i="43"/>
  <c r="F57" i="43"/>
  <c r="E57" i="43"/>
  <c r="H56" i="43"/>
  <c r="G56" i="43"/>
  <c r="F56" i="43"/>
  <c r="E56" i="43"/>
  <c r="H55" i="43"/>
  <c r="G55" i="43"/>
  <c r="F55" i="43"/>
  <c r="E55" i="43"/>
  <c r="H54" i="43"/>
  <c r="G54" i="43"/>
  <c r="F54" i="43"/>
  <c r="E54" i="43"/>
  <c r="H53" i="43"/>
  <c r="G53" i="43"/>
  <c r="F53" i="43"/>
  <c r="E53" i="43"/>
  <c r="H52" i="43"/>
  <c r="G52" i="43"/>
  <c r="F52" i="43"/>
  <c r="E52" i="43"/>
  <c r="H51" i="43"/>
  <c r="G51" i="43"/>
  <c r="F51" i="43"/>
  <c r="E51" i="43"/>
  <c r="H50" i="43"/>
  <c r="G50" i="43"/>
  <c r="F50" i="43"/>
  <c r="E50" i="43"/>
  <c r="H49" i="43"/>
  <c r="G49" i="43"/>
  <c r="F49" i="43"/>
  <c r="E49" i="43"/>
  <c r="H48" i="43"/>
  <c r="G48" i="43"/>
  <c r="F48" i="43"/>
  <c r="E48" i="43"/>
  <c r="H47" i="43"/>
  <c r="G47" i="43"/>
  <c r="F47" i="43"/>
  <c r="E47" i="43"/>
  <c r="H46" i="43"/>
  <c r="G46" i="43"/>
  <c r="F46" i="43"/>
  <c r="E46" i="43"/>
  <c r="H45" i="43"/>
  <c r="G45" i="43"/>
  <c r="F45" i="43"/>
  <c r="E45" i="43"/>
  <c r="H44" i="43"/>
  <c r="G44" i="43"/>
  <c r="F44" i="43"/>
  <c r="E44" i="43"/>
  <c r="H43" i="43"/>
  <c r="G43" i="43"/>
  <c r="F43" i="43"/>
  <c r="E43" i="43"/>
  <c r="H42" i="43"/>
  <c r="G42" i="43"/>
  <c r="F42" i="43"/>
  <c r="E42" i="43"/>
  <c r="H41" i="43"/>
  <c r="G41" i="43"/>
  <c r="F41" i="43"/>
  <c r="E41" i="43"/>
  <c r="H40" i="43"/>
  <c r="G40" i="43"/>
  <c r="F40" i="43"/>
  <c r="E40" i="43"/>
  <c r="H39" i="43"/>
  <c r="G39" i="43"/>
  <c r="F39" i="43"/>
  <c r="E39" i="43"/>
  <c r="H38" i="43"/>
  <c r="G38" i="43"/>
  <c r="F38" i="43"/>
  <c r="E38" i="43"/>
  <c r="H37" i="43"/>
  <c r="G37" i="43"/>
  <c r="F37" i="43"/>
  <c r="E37" i="43"/>
  <c r="H36" i="43"/>
  <c r="G36" i="43"/>
  <c r="F36" i="43"/>
  <c r="E36" i="43"/>
  <c r="H35" i="43"/>
  <c r="G35" i="43"/>
  <c r="F35" i="43"/>
  <c r="E35" i="43"/>
  <c r="H34" i="43"/>
  <c r="G34" i="43"/>
  <c r="F34" i="43"/>
  <c r="E34" i="43"/>
  <c r="H33" i="43"/>
  <c r="G33" i="43"/>
  <c r="F33" i="43"/>
  <c r="E33" i="43"/>
  <c r="H32" i="43"/>
  <c r="G32" i="43"/>
  <c r="F32" i="43"/>
  <c r="E32" i="43"/>
  <c r="H31" i="43"/>
  <c r="G31" i="43"/>
  <c r="F31" i="43"/>
  <c r="E31" i="43"/>
  <c r="H30" i="43"/>
  <c r="G30" i="43"/>
  <c r="F30" i="43"/>
  <c r="E30" i="43"/>
  <c r="H29" i="43"/>
  <c r="G29" i="43"/>
  <c r="F29" i="43"/>
  <c r="E29" i="43"/>
  <c r="H28" i="43"/>
  <c r="G28" i="43"/>
  <c r="F28" i="43"/>
  <c r="E28" i="43"/>
  <c r="H27" i="43"/>
  <c r="G27" i="43"/>
  <c r="F27" i="43"/>
  <c r="E27" i="43"/>
  <c r="H26" i="43"/>
  <c r="G26" i="43"/>
  <c r="F26" i="43"/>
  <c r="E26" i="43"/>
  <c r="H25" i="43"/>
  <c r="G25" i="43"/>
  <c r="F25" i="43"/>
  <c r="E25" i="43"/>
  <c r="H24" i="43"/>
  <c r="G24" i="43"/>
  <c r="F24" i="43"/>
  <c r="E24" i="43"/>
  <c r="H23" i="43"/>
  <c r="G23" i="43"/>
  <c r="F23" i="43"/>
  <c r="E23" i="43"/>
  <c r="H22" i="43"/>
  <c r="G22" i="43"/>
  <c r="F22" i="43"/>
  <c r="E22" i="43"/>
  <c r="H21" i="43"/>
  <c r="G21" i="43"/>
  <c r="F21" i="43"/>
  <c r="E21" i="43"/>
  <c r="H20" i="43"/>
  <c r="G20" i="43"/>
  <c r="F20" i="43"/>
  <c r="E20" i="43"/>
  <c r="H19" i="43"/>
  <c r="G19" i="43"/>
  <c r="F19" i="43"/>
  <c r="E19" i="43"/>
  <c r="H18" i="43"/>
  <c r="G18" i="43"/>
  <c r="F18" i="43"/>
  <c r="E18" i="43"/>
  <c r="H17" i="43"/>
  <c r="G17" i="43"/>
  <c r="F17" i="43"/>
  <c r="E17" i="43"/>
  <c r="H16" i="43"/>
  <c r="G16" i="43"/>
  <c r="F16" i="43"/>
  <c r="E16" i="43"/>
  <c r="H15" i="43"/>
  <c r="G15" i="43"/>
  <c r="F15" i="43"/>
  <c r="E15" i="43"/>
  <c r="H14" i="43"/>
  <c r="G14" i="43"/>
  <c r="F14" i="43"/>
  <c r="E14" i="43"/>
  <c r="H13" i="43"/>
  <c r="G13" i="43"/>
  <c r="F13" i="43"/>
  <c r="E13" i="43"/>
  <c r="H12" i="43"/>
  <c r="G12" i="43"/>
  <c r="F12" i="43"/>
  <c r="E12" i="43"/>
  <c r="H11" i="43"/>
  <c r="G11" i="43"/>
  <c r="F11" i="43"/>
  <c r="E11" i="43"/>
  <c r="H10" i="43"/>
  <c r="G10" i="43"/>
  <c r="F10" i="43"/>
  <c r="E10" i="43"/>
  <c r="H9" i="43"/>
  <c r="G9" i="43"/>
  <c r="F9" i="43"/>
  <c r="E9" i="43"/>
  <c r="H8" i="43"/>
  <c r="G8" i="43"/>
  <c r="F8" i="43"/>
  <c r="E8" i="43"/>
  <c r="H7" i="43"/>
  <c r="G7" i="43"/>
  <c r="F7" i="43"/>
  <c r="E7" i="43"/>
  <c r="H6" i="43"/>
  <c r="G6" i="43"/>
  <c r="F6" i="43"/>
  <c r="E6" i="43"/>
  <c r="H5" i="43"/>
  <c r="G5" i="43"/>
  <c r="F5" i="43"/>
  <c r="E5" i="43"/>
  <c r="H4" i="43"/>
  <c r="G4" i="43"/>
  <c r="F4" i="43"/>
  <c r="E4" i="43"/>
  <c r="H3" i="43"/>
  <c r="G3" i="43"/>
  <c r="F3" i="43"/>
  <c r="E3" i="43"/>
  <c r="H2" i="43"/>
  <c r="G2" i="43"/>
  <c r="F2" i="43"/>
  <c r="E2" i="43"/>
  <c r="J305" i="24" l="1"/>
  <c r="C82" i="29" l="1"/>
  <c r="C76" i="29"/>
  <c r="C75" i="29"/>
  <c r="C70" i="29"/>
  <c r="C64" i="29"/>
  <c r="C63" i="29"/>
  <c r="E70" i="30" l="1"/>
  <c r="E68" i="30"/>
  <c r="E65" i="30"/>
  <c r="E64" i="30"/>
  <c r="D397" i="24" l="1"/>
  <c r="I3" i="42" l="1"/>
  <c r="G3" i="42"/>
  <c r="F3" i="42"/>
  <c r="J3" i="42" l="1"/>
  <c r="D8" i="42" s="1"/>
  <c r="M241" i="24"/>
  <c r="B277" i="37" l="1"/>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B218" i="37"/>
  <c r="B217" i="37"/>
  <c r="B216" i="37"/>
  <c r="B215" i="37"/>
  <c r="B214" i="37"/>
  <c r="B213" i="37"/>
  <c r="B212" i="37"/>
  <c r="B211" i="37"/>
  <c r="B210" i="37"/>
  <c r="B209" i="37"/>
  <c r="B208" i="37"/>
  <c r="B207" i="37"/>
  <c r="B206" i="37"/>
  <c r="B205" i="37"/>
  <c r="B204" i="37"/>
  <c r="B203" i="37"/>
  <c r="B202" i="37"/>
  <c r="B201" i="37"/>
  <c r="B200" i="37"/>
  <c r="B199" i="37"/>
  <c r="B198" i="37"/>
  <c r="B197" i="37"/>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G17" i="37" s="1"/>
  <c r="B48" i="37"/>
  <c r="G16" i="37" s="1"/>
  <c r="B47" i="37"/>
  <c r="G15" i="37" s="1"/>
  <c r="B46" i="37"/>
  <c r="G14" i="37" s="1"/>
  <c r="B45" i="37"/>
  <c r="G13" i="37" s="1"/>
  <c r="B44" i="37"/>
  <c r="G12" i="37" s="1"/>
  <c r="B43" i="37"/>
  <c r="G11" i="37" s="1"/>
  <c r="B42" i="37"/>
  <c r="G10" i="37" s="1"/>
  <c r="B41" i="37"/>
  <c r="G9" i="37" s="1"/>
  <c r="B40" i="37"/>
  <c r="G8" i="37" s="1"/>
  <c r="B39" i="37"/>
  <c r="G7" i="37" s="1"/>
  <c r="B38" i="37"/>
  <c r="G6" i="37" s="1"/>
  <c r="B37" i="37"/>
  <c r="F17" i="37" s="1"/>
  <c r="B36" i="37"/>
  <c r="F16" i="37" s="1"/>
  <c r="B35" i="37"/>
  <c r="F15" i="37" s="1"/>
  <c r="B34" i="37"/>
  <c r="F14" i="37" s="1"/>
  <c r="B33" i="37"/>
  <c r="F13" i="37" s="1"/>
  <c r="B32" i="37"/>
  <c r="F12" i="37" s="1"/>
  <c r="B31" i="37"/>
  <c r="F11" i="37" s="1"/>
  <c r="B30" i="37"/>
  <c r="F10" i="37" s="1"/>
  <c r="B29" i="37"/>
  <c r="F9" i="37" s="1"/>
  <c r="B28" i="37"/>
  <c r="F8" i="37" s="1"/>
  <c r="B27" i="37"/>
  <c r="F7" i="37" s="1"/>
  <c r="B26" i="37"/>
  <c r="F6" i="37" s="1"/>
  <c r="B25" i="37"/>
  <c r="E17" i="37" s="1"/>
  <c r="B24" i="37"/>
  <c r="E16" i="37" s="1"/>
  <c r="B23" i="37"/>
  <c r="E15" i="37" s="1"/>
  <c r="B22" i="37"/>
  <c r="E14" i="37" s="1"/>
  <c r="B21" i="37"/>
  <c r="E13" i="37" s="1"/>
  <c r="B20" i="37"/>
  <c r="E12" i="37" s="1"/>
  <c r="B19" i="37"/>
  <c r="E11" i="37" s="1"/>
  <c r="B18" i="37"/>
  <c r="E10" i="37" s="1"/>
  <c r="B17" i="37"/>
  <c r="E9" i="37" s="1"/>
  <c r="B16" i="37"/>
  <c r="E8" i="37" s="1"/>
  <c r="B15" i="37"/>
  <c r="E7" i="37" s="1"/>
  <c r="B14" i="37"/>
  <c r="E6" i="37" s="1"/>
  <c r="B13" i="37"/>
  <c r="D17" i="37" s="1"/>
  <c r="B12" i="37"/>
  <c r="D16" i="37" s="1"/>
  <c r="B11" i="37"/>
  <c r="D15" i="37" s="1"/>
  <c r="B10" i="37"/>
  <c r="D14" i="37" s="1"/>
  <c r="B9" i="37"/>
  <c r="D13" i="37" s="1"/>
  <c r="B8" i="37"/>
  <c r="D12" i="37" s="1"/>
  <c r="B7" i="37"/>
  <c r="D11" i="37" s="1"/>
  <c r="B6" i="37"/>
  <c r="D10" i="37" s="1"/>
  <c r="B5" i="37"/>
  <c r="D9" i="37" s="1"/>
  <c r="B4" i="37"/>
  <c r="D8" i="37" s="1"/>
  <c r="B3" i="37"/>
  <c r="D7" i="37" s="1"/>
  <c r="B2" i="37"/>
  <c r="D6" i="37" s="1"/>
  <c r="C15" i="30" l="1"/>
  <c r="E82" i="30" l="1"/>
  <c r="E80" i="30"/>
  <c r="E76" i="30"/>
  <c r="E77" i="30" s="1"/>
  <c r="E70" i="29"/>
  <c r="E68" i="29"/>
  <c r="E82" i="29"/>
  <c r="E80" i="29"/>
  <c r="E77" i="29"/>
  <c r="E76" i="29"/>
  <c r="E65" i="29"/>
  <c r="E64" i="29"/>
  <c r="F306" i="24" l="1"/>
  <c r="J306" i="24" s="1"/>
  <c r="N100" i="9" l="1"/>
  <c r="H62" i="19"/>
  <c r="H61" i="19"/>
  <c r="H60" i="19"/>
  <c r="H59" i="19"/>
  <c r="H58" i="19"/>
  <c r="H57" i="19"/>
  <c r="H56" i="19"/>
  <c r="H55" i="19"/>
  <c r="H54" i="19"/>
  <c r="H53" i="19"/>
  <c r="H52" i="19"/>
  <c r="H51" i="19"/>
  <c r="C22" i="30" l="1"/>
  <c r="C16" i="30" l="1"/>
  <c r="C17" i="30"/>
  <c r="C20" i="30"/>
  <c r="C22" i="29"/>
  <c r="C20" i="29"/>
  <c r="C17" i="29"/>
  <c r="C16" i="29"/>
  <c r="N96" i="9" l="1"/>
  <c r="S219" i="39" l="1"/>
  <c r="S199" i="39"/>
  <c r="S98" i="39"/>
  <c r="S78" i="39"/>
  <c r="S58" i="39"/>
  <c r="R239" i="39"/>
  <c r="R219" i="39"/>
  <c r="R199" i="39"/>
  <c r="R58" i="39"/>
  <c r="R98" i="39"/>
  <c r="R78" i="39"/>
  <c r="S75" i="39" l="1"/>
  <c r="S72" i="39"/>
  <c r="R75" i="39"/>
  <c r="S69" i="39"/>
  <c r="R69" i="39"/>
  <c r="R72" i="39"/>
  <c r="B274" i="24"/>
  <c r="P46" i="41" l="1"/>
  <c r="D276" i="24" l="1"/>
  <c r="G283" i="24"/>
  <c r="F283" i="24"/>
  <c r="E283" i="24"/>
  <c r="G282" i="24"/>
  <c r="F282" i="24"/>
  <c r="E282" i="24"/>
  <c r="D282" i="24"/>
  <c r="F269" i="24"/>
  <c r="E269" i="24"/>
  <c r="F268" i="24"/>
  <c r="E268" i="24"/>
  <c r="F267" i="24"/>
  <c r="E267" i="24"/>
  <c r="F266" i="24"/>
  <c r="E266" i="24"/>
  <c r="F265" i="24"/>
  <c r="E265" i="24"/>
  <c r="F264" i="24"/>
  <c r="E264" i="24"/>
  <c r="F263" i="24"/>
  <c r="E263" i="24"/>
  <c r="F262" i="24"/>
  <c r="E262" i="24"/>
  <c r="F261" i="24"/>
  <c r="E261" i="24"/>
  <c r="G115" i="24"/>
  <c r="F115" i="24"/>
  <c r="E115" i="24"/>
  <c r="H120" i="24"/>
  <c r="G120" i="24"/>
  <c r="F120" i="24"/>
  <c r="E120" i="24"/>
  <c r="D120" i="24"/>
  <c r="G118" i="24"/>
  <c r="F118" i="24"/>
  <c r="E118" i="24"/>
  <c r="D118" i="24"/>
  <c r="G113" i="24"/>
  <c r="F113" i="24"/>
  <c r="E113" i="24"/>
  <c r="D113" i="24"/>
  <c r="D110" i="24"/>
  <c r="H115" i="24" l="1"/>
  <c r="F270" i="24"/>
  <c r="G269" i="24"/>
  <c r="H269" i="24" s="1"/>
  <c r="E270" i="24"/>
  <c r="D392" i="24" l="1"/>
  <c r="V51" i="11" s="1"/>
  <c r="D387" i="24"/>
  <c r="D377" i="24"/>
  <c r="D371" i="24"/>
  <c r="D367" i="24"/>
  <c r="D363" i="24"/>
  <c r="D391" i="24" l="1"/>
  <c r="J84" i="9"/>
  <c r="V50" i="11" l="1"/>
  <c r="V8" i="11"/>
  <c r="I180" i="24"/>
  <c r="G180" i="24"/>
  <c r="F180" i="24"/>
  <c r="E180" i="24"/>
  <c r="D180" i="24"/>
  <c r="A180" i="24"/>
  <c r="A197" i="24" s="1"/>
  <c r="A221" i="24" s="1"/>
  <c r="A238" i="24" s="1"/>
  <c r="A326" i="24" s="1"/>
  <c r="A343" i="24" s="1"/>
  <c r="A86" i="24"/>
  <c r="A106" i="24" s="1"/>
  <c r="A44" i="24"/>
  <c r="A64" i="24" s="1"/>
  <c r="I70" i="24"/>
  <c r="G70" i="24"/>
  <c r="F70" i="24"/>
  <c r="E70" i="24"/>
  <c r="D70" i="24"/>
  <c r="I37" i="24"/>
  <c r="I35" i="24"/>
  <c r="I34" i="24"/>
  <c r="I33" i="24"/>
  <c r="J180" i="24" l="1"/>
  <c r="H16" i="17" l="1"/>
  <c r="H15" i="17"/>
  <c r="H14" i="17"/>
  <c r="H13" i="17"/>
  <c r="H12" i="17"/>
  <c r="H11" i="17"/>
  <c r="H10" i="17"/>
  <c r="H9" i="17"/>
  <c r="X241" i="39"/>
  <c r="W241" i="39"/>
  <c r="V241" i="39"/>
  <c r="T241" i="39"/>
  <c r="S241" i="39"/>
  <c r="R241" i="39"/>
  <c r="Q241" i="39"/>
  <c r="P241" i="39"/>
  <c r="O241" i="39"/>
  <c r="N241" i="39"/>
  <c r="M241" i="39"/>
  <c r="L241" i="39"/>
  <c r="K241" i="39"/>
  <c r="J241" i="39"/>
  <c r="I241" i="39"/>
  <c r="H241" i="39"/>
  <c r="G241" i="39"/>
  <c r="F241" i="39"/>
  <c r="E241" i="39"/>
  <c r="D241" i="39"/>
  <c r="C241" i="39"/>
  <c r="B241" i="39"/>
  <c r="U241" i="39"/>
  <c r="X4" i="40" l="1"/>
  <c r="W4" i="40"/>
  <c r="X6" i="41" l="1"/>
  <c r="W6" i="41"/>
  <c r="M18" i="9" l="1"/>
  <c r="M17" i="9"/>
  <c r="M16" i="9"/>
  <c r="M15" i="9"/>
  <c r="M14" i="9"/>
  <c r="Q126" i="41"/>
  <c r="L18" i="9" s="1"/>
  <c r="P126" i="41"/>
  <c r="L17" i="9" s="1"/>
  <c r="O126" i="41"/>
  <c r="L16" i="9" s="1"/>
  <c r="N126" i="41"/>
  <c r="L15" i="9" s="1"/>
  <c r="M126" i="41"/>
  <c r="L14" i="9" s="1"/>
  <c r="Q86" i="41"/>
  <c r="K18" i="9" s="1"/>
  <c r="P86" i="41"/>
  <c r="K17" i="9" s="1"/>
  <c r="O86" i="41"/>
  <c r="K16" i="9" s="1"/>
  <c r="N86" i="41"/>
  <c r="K15" i="9" s="1"/>
  <c r="M86" i="41"/>
  <c r="K14" i="9" s="1"/>
  <c r="Q66" i="41"/>
  <c r="J18" i="9" s="1"/>
  <c r="P66" i="41"/>
  <c r="J17" i="9" s="1"/>
  <c r="O66" i="41"/>
  <c r="J16" i="9" s="1"/>
  <c r="N66" i="41"/>
  <c r="J15" i="9" s="1"/>
  <c r="M66" i="41"/>
  <c r="J14" i="9" s="1"/>
  <c r="I17" i="9"/>
  <c r="Q46" i="41"/>
  <c r="I18" i="9" s="1"/>
  <c r="O46" i="41"/>
  <c r="I16" i="9" s="1"/>
  <c r="N46" i="41"/>
  <c r="I15" i="9" s="1"/>
  <c r="M46" i="41"/>
  <c r="I14" i="9" s="1"/>
  <c r="Q26" i="41"/>
  <c r="P26" i="41"/>
  <c r="O26" i="41"/>
  <c r="N26" i="41"/>
  <c r="M26" i="41"/>
  <c r="X106" i="41"/>
  <c r="X46" i="41"/>
  <c r="X26" i="41"/>
  <c r="W26" i="41"/>
  <c r="X86" i="41"/>
  <c r="X66" i="41"/>
  <c r="W66" i="41"/>
  <c r="H15" i="9" l="1"/>
  <c r="N6" i="41"/>
  <c r="H16" i="9"/>
  <c r="O6" i="41"/>
  <c r="H17" i="9"/>
  <c r="P6" i="41"/>
  <c r="H14" i="9"/>
  <c r="M6" i="41"/>
  <c r="H18" i="9"/>
  <c r="Q6" i="41"/>
  <c r="O45" i="40" l="1"/>
  <c r="P45" i="40"/>
  <c r="Q45" i="40"/>
  <c r="P25" i="40"/>
  <c r="N25" i="40"/>
  <c r="N45" i="40"/>
  <c r="N65" i="40" l="1"/>
  <c r="N4" i="40" s="1"/>
  <c r="P65" i="40"/>
  <c r="P4" i="40" s="1"/>
  <c r="O65" i="40"/>
  <c r="M45" i="40"/>
  <c r="Q25" i="40"/>
  <c r="M25" i="40" l="1"/>
  <c r="O25" i="40"/>
  <c r="O4" i="40" s="1"/>
  <c r="Q65" i="40"/>
  <c r="Q4" i="40" s="1"/>
  <c r="M65" i="40"/>
  <c r="M4" i="40" l="1"/>
  <c r="D10" i="18"/>
  <c r="D9" i="18"/>
  <c r="D8" i="18"/>
  <c r="D7" i="18"/>
  <c r="D6" i="18"/>
  <c r="C10" i="18"/>
  <c r="C9" i="18"/>
  <c r="C8" i="18"/>
  <c r="C7" i="18"/>
  <c r="C6" i="18"/>
  <c r="K10" i="18"/>
  <c r="B10" i="18" s="1"/>
  <c r="K9" i="18"/>
  <c r="B9" i="18" s="1"/>
  <c r="K8" i="18"/>
  <c r="B8" i="18" s="1"/>
  <c r="K7" i="18"/>
  <c r="B7" i="18" s="1"/>
  <c r="K6" i="18"/>
  <c r="B6" i="18" s="1"/>
  <c r="X45" i="40"/>
  <c r="X25" i="40"/>
  <c r="W25" i="40"/>
  <c r="A39" i="11" l="1"/>
  <c r="B40" i="11"/>
  <c r="C40" i="11"/>
  <c r="D40" i="11"/>
  <c r="E40" i="11"/>
  <c r="F40" i="11"/>
  <c r="G40" i="11"/>
  <c r="H40" i="11"/>
  <c r="I40" i="11"/>
  <c r="J40" i="11"/>
  <c r="K40" i="11"/>
  <c r="E381" i="24" s="1"/>
  <c r="L40" i="11"/>
  <c r="M40" i="11"/>
  <c r="N40" i="11"/>
  <c r="O40" i="11"/>
  <c r="P40" i="11"/>
  <c r="W40" i="11" s="1"/>
  <c r="B41" i="11"/>
  <c r="C41" i="11"/>
  <c r="D41" i="11"/>
  <c r="E41" i="11"/>
  <c r="H33" i="24" s="1"/>
  <c r="F41" i="11"/>
  <c r="H34" i="24" s="1"/>
  <c r="G41" i="11"/>
  <c r="H35" i="24" s="1"/>
  <c r="H41" i="11"/>
  <c r="H36" i="24" s="1"/>
  <c r="I41" i="11"/>
  <c r="H37" i="24" s="1"/>
  <c r="L41" i="11"/>
  <c r="M41" i="11"/>
  <c r="N41" i="11"/>
  <c r="B42" i="11"/>
  <c r="C42" i="11"/>
  <c r="D42" i="11"/>
  <c r="E42" i="11"/>
  <c r="F42" i="11"/>
  <c r="G42" i="11"/>
  <c r="H42" i="11"/>
  <c r="I42" i="11"/>
  <c r="L42" i="11"/>
  <c r="M42" i="11"/>
  <c r="N42" i="11"/>
  <c r="V73" i="38"/>
  <c r="S254" i="19" s="1"/>
  <c r="U73" i="38"/>
  <c r="S242" i="19" s="1"/>
  <c r="T73" i="38"/>
  <c r="S230" i="19" s="1"/>
  <c r="S73" i="38"/>
  <c r="S218" i="19" s="1"/>
  <c r="R73" i="38"/>
  <c r="S206" i="19" s="1"/>
  <c r="Q73" i="38"/>
  <c r="S194" i="19" s="1"/>
  <c r="P73" i="38"/>
  <c r="S182" i="19" s="1"/>
  <c r="O73" i="38"/>
  <c r="S170" i="19" s="1"/>
  <c r="N73" i="38"/>
  <c r="S158" i="19" s="1"/>
  <c r="M73" i="38"/>
  <c r="S146" i="19" s="1"/>
  <c r="L73" i="38"/>
  <c r="S134" i="19" s="1"/>
  <c r="K73" i="38"/>
  <c r="S122" i="19" s="1"/>
  <c r="J73" i="38"/>
  <c r="S110" i="19" s="1"/>
  <c r="I73" i="38"/>
  <c r="S98" i="19" s="1"/>
  <c r="H73" i="38"/>
  <c r="S86" i="19" s="1"/>
  <c r="G73" i="38"/>
  <c r="S74" i="19" s="1"/>
  <c r="F73" i="38"/>
  <c r="S62" i="19" s="1"/>
  <c r="V72" i="38"/>
  <c r="S253" i="19" s="1"/>
  <c r="U72" i="38"/>
  <c r="S241" i="19" s="1"/>
  <c r="T72" i="38"/>
  <c r="S229" i="19" s="1"/>
  <c r="S72" i="38"/>
  <c r="S217" i="19" s="1"/>
  <c r="R72" i="38"/>
  <c r="S205" i="19" s="1"/>
  <c r="Q72" i="38"/>
  <c r="S193" i="19" s="1"/>
  <c r="P72" i="38"/>
  <c r="S181" i="19" s="1"/>
  <c r="O72" i="38"/>
  <c r="S169" i="19" s="1"/>
  <c r="N72" i="38"/>
  <c r="S157" i="19" s="1"/>
  <c r="M72" i="38"/>
  <c r="S145" i="19" s="1"/>
  <c r="L72" i="38"/>
  <c r="S133" i="19" s="1"/>
  <c r="K72" i="38"/>
  <c r="S121" i="19" s="1"/>
  <c r="J72" i="38"/>
  <c r="S109" i="19" s="1"/>
  <c r="I72" i="38"/>
  <c r="S97" i="19" s="1"/>
  <c r="H72" i="38"/>
  <c r="S85" i="19" s="1"/>
  <c r="G72" i="38"/>
  <c r="S73" i="19" s="1"/>
  <c r="F72" i="38"/>
  <c r="S61" i="19" s="1"/>
  <c r="V71" i="38"/>
  <c r="S252" i="19" s="1"/>
  <c r="U71" i="38"/>
  <c r="S240" i="19" s="1"/>
  <c r="T71" i="38"/>
  <c r="S228" i="19" s="1"/>
  <c r="S71" i="38"/>
  <c r="S216" i="19" s="1"/>
  <c r="R71" i="38"/>
  <c r="S204" i="19" s="1"/>
  <c r="Q71" i="38"/>
  <c r="S192" i="19" s="1"/>
  <c r="P71" i="38"/>
  <c r="S180" i="19" s="1"/>
  <c r="O71" i="38"/>
  <c r="S168" i="19" s="1"/>
  <c r="N71" i="38"/>
  <c r="S156" i="19" s="1"/>
  <c r="M71" i="38"/>
  <c r="S144" i="19" s="1"/>
  <c r="L71" i="38"/>
  <c r="S132" i="19" s="1"/>
  <c r="K71" i="38"/>
  <c r="S120" i="19" s="1"/>
  <c r="J71" i="38"/>
  <c r="S108" i="19" s="1"/>
  <c r="I71" i="38"/>
  <c r="S96" i="19" s="1"/>
  <c r="H71" i="38"/>
  <c r="S84" i="19" s="1"/>
  <c r="G71" i="38"/>
  <c r="S72" i="19" s="1"/>
  <c r="F71" i="38"/>
  <c r="S60" i="19" s="1"/>
  <c r="V70" i="38"/>
  <c r="S251" i="19" s="1"/>
  <c r="U70" i="38"/>
  <c r="S239" i="19" s="1"/>
  <c r="T70" i="38"/>
  <c r="S227" i="19" s="1"/>
  <c r="S70" i="38"/>
  <c r="S215" i="19" s="1"/>
  <c r="R70" i="38"/>
  <c r="S203" i="19" s="1"/>
  <c r="Q70" i="38"/>
  <c r="S191" i="19" s="1"/>
  <c r="P70" i="38"/>
  <c r="S179" i="19" s="1"/>
  <c r="O70" i="38"/>
  <c r="S167" i="19" s="1"/>
  <c r="N70" i="38"/>
  <c r="S155" i="19" s="1"/>
  <c r="M70" i="38"/>
  <c r="S143" i="19" s="1"/>
  <c r="L70" i="38"/>
  <c r="S131" i="19" s="1"/>
  <c r="K70" i="38"/>
  <c r="S119" i="19" s="1"/>
  <c r="J70" i="38"/>
  <c r="S107" i="19" s="1"/>
  <c r="I70" i="38"/>
  <c r="S95" i="19" s="1"/>
  <c r="H70" i="38"/>
  <c r="S83" i="19" s="1"/>
  <c r="G70" i="38"/>
  <c r="S71" i="19" s="1"/>
  <c r="F70" i="38"/>
  <c r="S59" i="19" s="1"/>
  <c r="V69" i="38"/>
  <c r="S250" i="19" s="1"/>
  <c r="U69" i="38"/>
  <c r="S238" i="19" s="1"/>
  <c r="T69" i="38"/>
  <c r="S226" i="19" s="1"/>
  <c r="S69" i="38"/>
  <c r="S214" i="19" s="1"/>
  <c r="R69" i="38"/>
  <c r="S202" i="19" s="1"/>
  <c r="Q69" i="38"/>
  <c r="S190" i="19" s="1"/>
  <c r="P69" i="38"/>
  <c r="S178" i="19" s="1"/>
  <c r="O69" i="38"/>
  <c r="S166" i="19" s="1"/>
  <c r="N69" i="38"/>
  <c r="S154" i="19" s="1"/>
  <c r="M69" i="38"/>
  <c r="S142" i="19" s="1"/>
  <c r="L69" i="38"/>
  <c r="S130" i="19" s="1"/>
  <c r="K69" i="38"/>
  <c r="S118" i="19" s="1"/>
  <c r="J69" i="38"/>
  <c r="S106" i="19" s="1"/>
  <c r="I69" i="38"/>
  <c r="S94" i="19" s="1"/>
  <c r="H69" i="38"/>
  <c r="S82" i="19" s="1"/>
  <c r="G69" i="38"/>
  <c r="S70" i="19" s="1"/>
  <c r="F69" i="38"/>
  <c r="S58" i="19" s="1"/>
  <c r="V68" i="38"/>
  <c r="S249" i="19" s="1"/>
  <c r="U68" i="38"/>
  <c r="S237" i="19" s="1"/>
  <c r="T68" i="38"/>
  <c r="S225" i="19" s="1"/>
  <c r="S68" i="38"/>
  <c r="S213" i="19" s="1"/>
  <c r="R68" i="38"/>
  <c r="S201" i="19" s="1"/>
  <c r="Q68" i="38"/>
  <c r="S189" i="19" s="1"/>
  <c r="P68" i="38"/>
  <c r="S177" i="19" s="1"/>
  <c r="O68" i="38"/>
  <c r="S165" i="19" s="1"/>
  <c r="N68" i="38"/>
  <c r="S153" i="19" s="1"/>
  <c r="M68" i="38"/>
  <c r="S141" i="19" s="1"/>
  <c r="L68" i="38"/>
  <c r="S129" i="19" s="1"/>
  <c r="K68" i="38"/>
  <c r="S117" i="19" s="1"/>
  <c r="J68" i="38"/>
  <c r="S105" i="19" s="1"/>
  <c r="I68" i="38"/>
  <c r="S93" i="19" s="1"/>
  <c r="H68" i="38"/>
  <c r="S81" i="19" s="1"/>
  <c r="G68" i="38"/>
  <c r="S69" i="19" s="1"/>
  <c r="F68" i="38"/>
  <c r="S57" i="19" s="1"/>
  <c r="V67" i="38"/>
  <c r="S248" i="19" s="1"/>
  <c r="U67" i="38"/>
  <c r="S236" i="19" s="1"/>
  <c r="T67" i="38"/>
  <c r="S224" i="19" s="1"/>
  <c r="S67" i="38"/>
  <c r="S212" i="19" s="1"/>
  <c r="R67" i="38"/>
  <c r="S200" i="19" s="1"/>
  <c r="Q67" i="38"/>
  <c r="S188" i="19" s="1"/>
  <c r="P67" i="38"/>
  <c r="S176" i="19" s="1"/>
  <c r="O67" i="38"/>
  <c r="S164" i="19" s="1"/>
  <c r="N67" i="38"/>
  <c r="S152" i="19" s="1"/>
  <c r="M67" i="38"/>
  <c r="S140" i="19" s="1"/>
  <c r="L67" i="38"/>
  <c r="S128" i="19" s="1"/>
  <c r="K67" i="38"/>
  <c r="S116" i="19" s="1"/>
  <c r="J67" i="38"/>
  <c r="S104" i="19" s="1"/>
  <c r="I67" i="38"/>
  <c r="S92" i="19" s="1"/>
  <c r="H67" i="38"/>
  <c r="S80" i="19" s="1"/>
  <c r="G67" i="38"/>
  <c r="S68" i="19" s="1"/>
  <c r="F67" i="38"/>
  <c r="S56" i="19" s="1"/>
  <c r="V66" i="38"/>
  <c r="S247" i="19" s="1"/>
  <c r="U66" i="38"/>
  <c r="S235" i="19" s="1"/>
  <c r="T66" i="38"/>
  <c r="S223" i="19" s="1"/>
  <c r="S66" i="38"/>
  <c r="S211" i="19" s="1"/>
  <c r="R66" i="38"/>
  <c r="S199" i="19" s="1"/>
  <c r="Q66" i="38"/>
  <c r="S187" i="19" s="1"/>
  <c r="P66" i="38"/>
  <c r="S175" i="19" s="1"/>
  <c r="O66" i="38"/>
  <c r="S163" i="19" s="1"/>
  <c r="N66" i="38"/>
  <c r="S151" i="19" s="1"/>
  <c r="M66" i="38"/>
  <c r="S139" i="19" s="1"/>
  <c r="L66" i="38"/>
  <c r="S127" i="19" s="1"/>
  <c r="K66" i="38"/>
  <c r="S115" i="19" s="1"/>
  <c r="J66" i="38"/>
  <c r="S103" i="19" s="1"/>
  <c r="I66" i="38"/>
  <c r="S91" i="19" s="1"/>
  <c r="H66" i="38"/>
  <c r="S79" i="19" s="1"/>
  <c r="G66" i="38"/>
  <c r="S67" i="19" s="1"/>
  <c r="F66" i="38"/>
  <c r="S55" i="19" s="1"/>
  <c r="V65" i="38"/>
  <c r="S246" i="19" s="1"/>
  <c r="U65" i="38"/>
  <c r="S234" i="19" s="1"/>
  <c r="T65" i="38"/>
  <c r="S222" i="19" s="1"/>
  <c r="S65" i="38"/>
  <c r="S210" i="19" s="1"/>
  <c r="R65" i="38"/>
  <c r="S198" i="19" s="1"/>
  <c r="Q65" i="38"/>
  <c r="S186" i="19" s="1"/>
  <c r="P65" i="38"/>
  <c r="S174" i="19" s="1"/>
  <c r="O65" i="38"/>
  <c r="S162" i="19" s="1"/>
  <c r="N65" i="38"/>
  <c r="S150" i="19" s="1"/>
  <c r="M65" i="38"/>
  <c r="S138" i="19" s="1"/>
  <c r="L65" i="38"/>
  <c r="S126" i="19" s="1"/>
  <c r="K65" i="38"/>
  <c r="S114" i="19" s="1"/>
  <c r="J65" i="38"/>
  <c r="S102" i="19" s="1"/>
  <c r="I65" i="38"/>
  <c r="S90" i="19" s="1"/>
  <c r="H65" i="38"/>
  <c r="S78" i="19" s="1"/>
  <c r="G65" i="38"/>
  <c r="S66" i="19" s="1"/>
  <c r="F65" i="38"/>
  <c r="S54" i="19" s="1"/>
  <c r="V64" i="38"/>
  <c r="S245" i="19" s="1"/>
  <c r="U64" i="38"/>
  <c r="S233" i="19" s="1"/>
  <c r="T64" i="38"/>
  <c r="S221" i="19" s="1"/>
  <c r="S64" i="38"/>
  <c r="S209" i="19" s="1"/>
  <c r="R64" i="38"/>
  <c r="S197" i="19" s="1"/>
  <c r="Q64" i="38"/>
  <c r="S185" i="19" s="1"/>
  <c r="P64" i="38"/>
  <c r="S173" i="19" s="1"/>
  <c r="O64" i="38"/>
  <c r="S161" i="19" s="1"/>
  <c r="N64" i="38"/>
  <c r="S149" i="19" s="1"/>
  <c r="M64" i="38"/>
  <c r="S137" i="19" s="1"/>
  <c r="L64" i="38"/>
  <c r="S125" i="19" s="1"/>
  <c r="K64" i="38"/>
  <c r="S113" i="19" s="1"/>
  <c r="J64" i="38"/>
  <c r="S101" i="19" s="1"/>
  <c r="I64" i="38"/>
  <c r="S89" i="19" s="1"/>
  <c r="H64" i="38"/>
  <c r="S77" i="19" s="1"/>
  <c r="G64" i="38"/>
  <c r="S65" i="19" s="1"/>
  <c r="F64" i="38"/>
  <c r="S53" i="19" s="1"/>
  <c r="V63" i="38"/>
  <c r="S244" i="19" s="1"/>
  <c r="U63" i="38"/>
  <c r="S232" i="19" s="1"/>
  <c r="T63" i="38"/>
  <c r="S220" i="19" s="1"/>
  <c r="S63" i="38"/>
  <c r="S208" i="19" s="1"/>
  <c r="R63" i="38"/>
  <c r="S196" i="19" s="1"/>
  <c r="Q63" i="38"/>
  <c r="S184" i="19" s="1"/>
  <c r="P63" i="38"/>
  <c r="S172" i="19" s="1"/>
  <c r="O63" i="38"/>
  <c r="S160" i="19" s="1"/>
  <c r="N63" i="38"/>
  <c r="S148" i="19" s="1"/>
  <c r="M63" i="38"/>
  <c r="S136" i="19" s="1"/>
  <c r="L63" i="38"/>
  <c r="S124" i="19" s="1"/>
  <c r="K63" i="38"/>
  <c r="S112" i="19" s="1"/>
  <c r="J63" i="38"/>
  <c r="S100" i="19" s="1"/>
  <c r="I63" i="38"/>
  <c r="S88" i="19" s="1"/>
  <c r="H63" i="38"/>
  <c r="S76" i="19" s="1"/>
  <c r="G63" i="38"/>
  <c r="S64" i="19" s="1"/>
  <c r="V62" i="38"/>
  <c r="S243" i="19" s="1"/>
  <c r="U62" i="38"/>
  <c r="S231" i="19" s="1"/>
  <c r="T62" i="38"/>
  <c r="S219" i="19" s="1"/>
  <c r="S62" i="38"/>
  <c r="S207" i="19" s="1"/>
  <c r="R62" i="38"/>
  <c r="S195" i="19" s="1"/>
  <c r="Q62" i="38"/>
  <c r="S183" i="19" s="1"/>
  <c r="P62" i="38"/>
  <c r="S171" i="19" s="1"/>
  <c r="O62" i="38"/>
  <c r="S159" i="19" s="1"/>
  <c r="N62" i="38"/>
  <c r="S147" i="19" s="1"/>
  <c r="M62" i="38"/>
  <c r="S135" i="19" s="1"/>
  <c r="L62" i="38"/>
  <c r="S123" i="19" s="1"/>
  <c r="K62" i="38"/>
  <c r="S111" i="19" s="1"/>
  <c r="J62" i="38"/>
  <c r="S99" i="19" s="1"/>
  <c r="I62" i="38"/>
  <c r="S87" i="19" s="1"/>
  <c r="H62" i="38"/>
  <c r="S75" i="19" s="1"/>
  <c r="G62" i="38"/>
  <c r="S63" i="19" s="1"/>
  <c r="V55" i="38"/>
  <c r="R254" i="19" s="1"/>
  <c r="U55" i="38"/>
  <c r="R242" i="19" s="1"/>
  <c r="T55" i="38"/>
  <c r="R230" i="19" s="1"/>
  <c r="S55" i="38"/>
  <c r="R218" i="19" s="1"/>
  <c r="R55" i="38"/>
  <c r="R206" i="19" s="1"/>
  <c r="Q55" i="38"/>
  <c r="R194" i="19" s="1"/>
  <c r="P55" i="38"/>
  <c r="R182" i="19" s="1"/>
  <c r="O55" i="38"/>
  <c r="R170" i="19" s="1"/>
  <c r="N55" i="38"/>
  <c r="R158" i="19" s="1"/>
  <c r="M55" i="38"/>
  <c r="R146" i="19" s="1"/>
  <c r="L55" i="38"/>
  <c r="R134" i="19" s="1"/>
  <c r="K55" i="38"/>
  <c r="R122" i="19" s="1"/>
  <c r="J55" i="38"/>
  <c r="R110" i="19" s="1"/>
  <c r="I55" i="38"/>
  <c r="R98" i="19" s="1"/>
  <c r="H55" i="38"/>
  <c r="R86" i="19" s="1"/>
  <c r="G55" i="38"/>
  <c r="R74" i="19" s="1"/>
  <c r="F55" i="38"/>
  <c r="R62" i="19" s="1"/>
  <c r="V54" i="38"/>
  <c r="R253" i="19" s="1"/>
  <c r="U54" i="38"/>
  <c r="R241" i="19" s="1"/>
  <c r="T54" i="38"/>
  <c r="R229" i="19" s="1"/>
  <c r="S54" i="38"/>
  <c r="R217" i="19" s="1"/>
  <c r="R54" i="38"/>
  <c r="R205" i="19" s="1"/>
  <c r="Q54" i="38"/>
  <c r="R193" i="19" s="1"/>
  <c r="P54" i="38"/>
  <c r="R181" i="19" s="1"/>
  <c r="O54" i="38"/>
  <c r="R169" i="19" s="1"/>
  <c r="N54" i="38"/>
  <c r="R157" i="19" s="1"/>
  <c r="M54" i="38"/>
  <c r="R145" i="19" s="1"/>
  <c r="L54" i="38"/>
  <c r="R133" i="19" s="1"/>
  <c r="K54" i="38"/>
  <c r="R121" i="19" s="1"/>
  <c r="J54" i="38"/>
  <c r="R109" i="19" s="1"/>
  <c r="I54" i="38"/>
  <c r="R97" i="19" s="1"/>
  <c r="H54" i="38"/>
  <c r="R85" i="19" s="1"/>
  <c r="G54" i="38"/>
  <c r="R73" i="19" s="1"/>
  <c r="F54" i="38"/>
  <c r="R61" i="19" s="1"/>
  <c r="V53" i="38"/>
  <c r="R252" i="19" s="1"/>
  <c r="U53" i="38"/>
  <c r="R240" i="19" s="1"/>
  <c r="T53" i="38"/>
  <c r="R228" i="19" s="1"/>
  <c r="S53" i="38"/>
  <c r="R216" i="19" s="1"/>
  <c r="R53" i="38"/>
  <c r="R204" i="19" s="1"/>
  <c r="Q53" i="38"/>
  <c r="R192" i="19" s="1"/>
  <c r="P53" i="38"/>
  <c r="R180" i="19" s="1"/>
  <c r="O53" i="38"/>
  <c r="R168" i="19" s="1"/>
  <c r="N53" i="38"/>
  <c r="R156" i="19" s="1"/>
  <c r="M53" i="38"/>
  <c r="R144" i="19" s="1"/>
  <c r="L53" i="38"/>
  <c r="R132" i="19" s="1"/>
  <c r="K53" i="38"/>
  <c r="R120" i="19" s="1"/>
  <c r="J53" i="38"/>
  <c r="R108" i="19" s="1"/>
  <c r="I53" i="38"/>
  <c r="R96" i="19" s="1"/>
  <c r="H53" i="38"/>
  <c r="R84" i="19" s="1"/>
  <c r="G53" i="38"/>
  <c r="R72" i="19" s="1"/>
  <c r="F53" i="38"/>
  <c r="R60" i="19" s="1"/>
  <c r="V52" i="38"/>
  <c r="R251" i="19" s="1"/>
  <c r="U52" i="38"/>
  <c r="R239" i="19" s="1"/>
  <c r="T52" i="38"/>
  <c r="R227" i="19" s="1"/>
  <c r="S52" i="38"/>
  <c r="R215" i="19" s="1"/>
  <c r="R52" i="38"/>
  <c r="R203" i="19" s="1"/>
  <c r="Q52" i="38"/>
  <c r="R191" i="19" s="1"/>
  <c r="P52" i="38"/>
  <c r="R179" i="19" s="1"/>
  <c r="O52" i="38"/>
  <c r="R167" i="19" s="1"/>
  <c r="N52" i="38"/>
  <c r="R155" i="19" s="1"/>
  <c r="M52" i="38"/>
  <c r="R143" i="19" s="1"/>
  <c r="L52" i="38"/>
  <c r="R131" i="19" s="1"/>
  <c r="K52" i="38"/>
  <c r="R119" i="19" s="1"/>
  <c r="J52" i="38"/>
  <c r="R107" i="19" s="1"/>
  <c r="I52" i="38"/>
  <c r="R95" i="19" s="1"/>
  <c r="H52" i="38"/>
  <c r="R83" i="19" s="1"/>
  <c r="G52" i="38"/>
  <c r="R71" i="19" s="1"/>
  <c r="F52" i="38"/>
  <c r="R59" i="19" s="1"/>
  <c r="V51" i="38"/>
  <c r="R250" i="19" s="1"/>
  <c r="U51" i="38"/>
  <c r="R238" i="19" s="1"/>
  <c r="T51" i="38"/>
  <c r="R226" i="19" s="1"/>
  <c r="S51" i="38"/>
  <c r="R214" i="19" s="1"/>
  <c r="R51" i="38"/>
  <c r="R202" i="19" s="1"/>
  <c r="Q51" i="38"/>
  <c r="R190" i="19" s="1"/>
  <c r="P51" i="38"/>
  <c r="R178" i="19" s="1"/>
  <c r="O51" i="38"/>
  <c r="R166" i="19" s="1"/>
  <c r="N51" i="38"/>
  <c r="R154" i="19" s="1"/>
  <c r="M51" i="38"/>
  <c r="R142" i="19" s="1"/>
  <c r="L51" i="38"/>
  <c r="R130" i="19" s="1"/>
  <c r="K51" i="38"/>
  <c r="R118" i="19" s="1"/>
  <c r="J51" i="38"/>
  <c r="R106" i="19" s="1"/>
  <c r="I51" i="38"/>
  <c r="R94" i="19" s="1"/>
  <c r="H51" i="38"/>
  <c r="R82" i="19" s="1"/>
  <c r="G51" i="38"/>
  <c r="R70" i="19" s="1"/>
  <c r="F51" i="38"/>
  <c r="R58" i="19" s="1"/>
  <c r="V50" i="38"/>
  <c r="R249" i="19" s="1"/>
  <c r="U50" i="38"/>
  <c r="R237" i="19" s="1"/>
  <c r="T50" i="38"/>
  <c r="R225" i="19" s="1"/>
  <c r="S50" i="38"/>
  <c r="R213" i="19" s="1"/>
  <c r="R50" i="38"/>
  <c r="R201" i="19" s="1"/>
  <c r="Q50" i="38"/>
  <c r="R189" i="19" s="1"/>
  <c r="P50" i="38"/>
  <c r="R177" i="19" s="1"/>
  <c r="O50" i="38"/>
  <c r="R165" i="19" s="1"/>
  <c r="N50" i="38"/>
  <c r="R153" i="19" s="1"/>
  <c r="M50" i="38"/>
  <c r="R141" i="19" s="1"/>
  <c r="L50" i="38"/>
  <c r="R129" i="19" s="1"/>
  <c r="K50" i="38"/>
  <c r="R117" i="19" s="1"/>
  <c r="J50" i="38"/>
  <c r="R105" i="19" s="1"/>
  <c r="I50" i="38"/>
  <c r="R93" i="19" s="1"/>
  <c r="H50" i="38"/>
  <c r="R81" i="19" s="1"/>
  <c r="G50" i="38"/>
  <c r="R69" i="19" s="1"/>
  <c r="F50" i="38"/>
  <c r="R57" i="19" s="1"/>
  <c r="V49" i="38"/>
  <c r="R248" i="19" s="1"/>
  <c r="U49" i="38"/>
  <c r="R236" i="19" s="1"/>
  <c r="T49" i="38"/>
  <c r="R224" i="19" s="1"/>
  <c r="S49" i="38"/>
  <c r="R212" i="19" s="1"/>
  <c r="R49" i="38"/>
  <c r="R200" i="19" s="1"/>
  <c r="Q49" i="38"/>
  <c r="R188" i="19" s="1"/>
  <c r="P49" i="38"/>
  <c r="R176" i="19" s="1"/>
  <c r="O49" i="38"/>
  <c r="R164" i="19" s="1"/>
  <c r="N49" i="38"/>
  <c r="R152" i="19" s="1"/>
  <c r="M49" i="38"/>
  <c r="R140" i="19" s="1"/>
  <c r="L49" i="38"/>
  <c r="R128" i="19" s="1"/>
  <c r="K49" i="38"/>
  <c r="R116" i="19" s="1"/>
  <c r="J49" i="38"/>
  <c r="R104" i="19" s="1"/>
  <c r="I49" i="38"/>
  <c r="R92" i="19" s="1"/>
  <c r="H49" i="38"/>
  <c r="R80" i="19" s="1"/>
  <c r="G49" i="38"/>
  <c r="R68" i="19" s="1"/>
  <c r="F49" i="38"/>
  <c r="R56" i="19" s="1"/>
  <c r="V48" i="38"/>
  <c r="R247" i="19" s="1"/>
  <c r="U48" i="38"/>
  <c r="R235" i="19" s="1"/>
  <c r="T48" i="38"/>
  <c r="R223" i="19" s="1"/>
  <c r="S48" i="38"/>
  <c r="R211" i="19" s="1"/>
  <c r="R48" i="38"/>
  <c r="R199" i="19" s="1"/>
  <c r="Q48" i="38"/>
  <c r="R187" i="19" s="1"/>
  <c r="P48" i="38"/>
  <c r="R175" i="19" s="1"/>
  <c r="O48" i="38"/>
  <c r="R163" i="19" s="1"/>
  <c r="N48" i="38"/>
  <c r="R151" i="19" s="1"/>
  <c r="M48" i="38"/>
  <c r="R139" i="19" s="1"/>
  <c r="L48" i="38"/>
  <c r="R127" i="19" s="1"/>
  <c r="K48" i="38"/>
  <c r="R115" i="19" s="1"/>
  <c r="J48" i="38"/>
  <c r="R103" i="19" s="1"/>
  <c r="I48" i="38"/>
  <c r="R91" i="19" s="1"/>
  <c r="H48" i="38"/>
  <c r="R79" i="19" s="1"/>
  <c r="G48" i="38"/>
  <c r="R67" i="19" s="1"/>
  <c r="F48" i="38"/>
  <c r="R55" i="19" s="1"/>
  <c r="V47" i="38"/>
  <c r="R246" i="19" s="1"/>
  <c r="U47" i="38"/>
  <c r="R234" i="19" s="1"/>
  <c r="T47" i="38"/>
  <c r="R222" i="19" s="1"/>
  <c r="S47" i="38"/>
  <c r="R210" i="19" s="1"/>
  <c r="R47" i="38"/>
  <c r="R198" i="19" s="1"/>
  <c r="Q47" i="38"/>
  <c r="R186" i="19" s="1"/>
  <c r="P47" i="38"/>
  <c r="R174" i="19" s="1"/>
  <c r="O47" i="38"/>
  <c r="R162" i="19" s="1"/>
  <c r="N47" i="38"/>
  <c r="R150" i="19" s="1"/>
  <c r="M47" i="38"/>
  <c r="R138" i="19" s="1"/>
  <c r="L47" i="38"/>
  <c r="R126" i="19" s="1"/>
  <c r="K47" i="38"/>
  <c r="R114" i="19" s="1"/>
  <c r="J47" i="38"/>
  <c r="R102" i="19" s="1"/>
  <c r="I47" i="38"/>
  <c r="R90" i="19" s="1"/>
  <c r="H47" i="38"/>
  <c r="R78" i="19" s="1"/>
  <c r="G47" i="38"/>
  <c r="R66" i="19" s="1"/>
  <c r="F47" i="38"/>
  <c r="R54" i="19" s="1"/>
  <c r="V46" i="38"/>
  <c r="R245" i="19" s="1"/>
  <c r="U46" i="38"/>
  <c r="R233" i="19" s="1"/>
  <c r="T46" i="38"/>
  <c r="R221" i="19" s="1"/>
  <c r="S46" i="38"/>
  <c r="R209" i="19" s="1"/>
  <c r="R46" i="38"/>
  <c r="R197" i="19" s="1"/>
  <c r="Q46" i="38"/>
  <c r="R185" i="19" s="1"/>
  <c r="P46" i="38"/>
  <c r="R173" i="19" s="1"/>
  <c r="O46" i="38"/>
  <c r="R161" i="19" s="1"/>
  <c r="N46" i="38"/>
  <c r="R149" i="19" s="1"/>
  <c r="M46" i="38"/>
  <c r="R137" i="19" s="1"/>
  <c r="L46" i="38"/>
  <c r="R125" i="19" s="1"/>
  <c r="K46" i="38"/>
  <c r="R113" i="19" s="1"/>
  <c r="J46" i="38"/>
  <c r="R101" i="19" s="1"/>
  <c r="I46" i="38"/>
  <c r="R89" i="19" s="1"/>
  <c r="H46" i="38"/>
  <c r="R77" i="19" s="1"/>
  <c r="G46" i="38"/>
  <c r="R65" i="19" s="1"/>
  <c r="F46" i="38"/>
  <c r="R53" i="19" s="1"/>
  <c r="V45" i="38"/>
  <c r="R244" i="19" s="1"/>
  <c r="U45" i="38"/>
  <c r="R232" i="19" s="1"/>
  <c r="T45" i="38"/>
  <c r="R220" i="19" s="1"/>
  <c r="S45" i="38"/>
  <c r="R208" i="19" s="1"/>
  <c r="R45" i="38"/>
  <c r="R196" i="19" s="1"/>
  <c r="Q45" i="38"/>
  <c r="R184" i="19" s="1"/>
  <c r="P45" i="38"/>
  <c r="R172" i="19" s="1"/>
  <c r="O45" i="38"/>
  <c r="R160" i="19" s="1"/>
  <c r="N45" i="38"/>
  <c r="R148" i="19" s="1"/>
  <c r="M45" i="38"/>
  <c r="R136" i="19" s="1"/>
  <c r="L45" i="38"/>
  <c r="R124" i="19" s="1"/>
  <c r="K45" i="38"/>
  <c r="R112" i="19" s="1"/>
  <c r="J45" i="38"/>
  <c r="R100" i="19" s="1"/>
  <c r="I45" i="38"/>
  <c r="R88" i="19" s="1"/>
  <c r="H45" i="38"/>
  <c r="R76" i="19" s="1"/>
  <c r="G45" i="38"/>
  <c r="R64" i="19" s="1"/>
  <c r="V44" i="38"/>
  <c r="R243" i="19" s="1"/>
  <c r="U44" i="38"/>
  <c r="R231" i="19" s="1"/>
  <c r="T44" i="38"/>
  <c r="R219" i="19" s="1"/>
  <c r="S44" i="38"/>
  <c r="R207" i="19" s="1"/>
  <c r="R44" i="38"/>
  <c r="R195" i="19" s="1"/>
  <c r="Q44" i="38"/>
  <c r="R183" i="19" s="1"/>
  <c r="P44" i="38"/>
  <c r="R171" i="19" s="1"/>
  <c r="O44" i="38"/>
  <c r="R159" i="19" s="1"/>
  <c r="N44" i="38"/>
  <c r="R147" i="19" s="1"/>
  <c r="M44" i="38"/>
  <c r="R135" i="19" s="1"/>
  <c r="L44" i="38"/>
  <c r="R123" i="19" s="1"/>
  <c r="K44" i="38"/>
  <c r="R111" i="19" s="1"/>
  <c r="J44" i="38"/>
  <c r="R99" i="19" s="1"/>
  <c r="I44" i="38"/>
  <c r="R87" i="19" s="1"/>
  <c r="H44" i="38"/>
  <c r="R75" i="19" s="1"/>
  <c r="G44" i="38"/>
  <c r="R63" i="19" s="1"/>
  <c r="V37" i="38"/>
  <c r="Q254" i="19" s="1"/>
  <c r="U37" i="38"/>
  <c r="Q242" i="19" s="1"/>
  <c r="T37" i="38"/>
  <c r="Q230" i="19" s="1"/>
  <c r="S37" i="38"/>
  <c r="Q218" i="19" s="1"/>
  <c r="R37" i="38"/>
  <c r="Q206" i="19" s="1"/>
  <c r="Q37" i="38"/>
  <c r="Q194" i="19" s="1"/>
  <c r="P37" i="38"/>
  <c r="Q182" i="19" s="1"/>
  <c r="O37" i="38"/>
  <c r="Q170" i="19" s="1"/>
  <c r="N37" i="38"/>
  <c r="Q158" i="19" s="1"/>
  <c r="M37" i="38"/>
  <c r="Q146" i="19" s="1"/>
  <c r="L37" i="38"/>
  <c r="Q134" i="19" s="1"/>
  <c r="K37" i="38"/>
  <c r="Q122" i="19" s="1"/>
  <c r="J37" i="38"/>
  <c r="Q110" i="19" s="1"/>
  <c r="I37" i="38"/>
  <c r="Q98" i="19" s="1"/>
  <c r="H37" i="38"/>
  <c r="Q86" i="19" s="1"/>
  <c r="G37" i="38"/>
  <c r="Q74" i="19" s="1"/>
  <c r="F37" i="38"/>
  <c r="Q62" i="19" s="1"/>
  <c r="V36" i="38"/>
  <c r="Q253" i="19" s="1"/>
  <c r="U36" i="38"/>
  <c r="Q241" i="19" s="1"/>
  <c r="T36" i="38"/>
  <c r="Q229" i="19" s="1"/>
  <c r="S36" i="38"/>
  <c r="Q217" i="19" s="1"/>
  <c r="R36" i="38"/>
  <c r="Q205" i="19" s="1"/>
  <c r="Q36" i="38"/>
  <c r="Q193" i="19" s="1"/>
  <c r="P36" i="38"/>
  <c r="Q181" i="19" s="1"/>
  <c r="O36" i="38"/>
  <c r="Q169" i="19" s="1"/>
  <c r="N36" i="38"/>
  <c r="Q157" i="19" s="1"/>
  <c r="M36" i="38"/>
  <c r="Q145" i="19" s="1"/>
  <c r="L36" i="38"/>
  <c r="Q133" i="19" s="1"/>
  <c r="K36" i="38"/>
  <c r="Q121" i="19" s="1"/>
  <c r="J36" i="38"/>
  <c r="Q109" i="19" s="1"/>
  <c r="I36" i="38"/>
  <c r="Q97" i="19" s="1"/>
  <c r="H36" i="38"/>
  <c r="Q85" i="19" s="1"/>
  <c r="G36" i="38"/>
  <c r="Q73" i="19" s="1"/>
  <c r="F36" i="38"/>
  <c r="Q61" i="19" s="1"/>
  <c r="V35" i="38"/>
  <c r="Q252" i="19" s="1"/>
  <c r="U35" i="38"/>
  <c r="Q240" i="19" s="1"/>
  <c r="T35" i="38"/>
  <c r="Q228" i="19" s="1"/>
  <c r="S35" i="38"/>
  <c r="Q216" i="19" s="1"/>
  <c r="R35" i="38"/>
  <c r="Q204" i="19" s="1"/>
  <c r="Q35" i="38"/>
  <c r="Q192" i="19" s="1"/>
  <c r="P35" i="38"/>
  <c r="Q180" i="19" s="1"/>
  <c r="O35" i="38"/>
  <c r="Q168" i="19" s="1"/>
  <c r="N35" i="38"/>
  <c r="Q156" i="19" s="1"/>
  <c r="M35" i="38"/>
  <c r="Q144" i="19" s="1"/>
  <c r="L35" i="38"/>
  <c r="Q132" i="19" s="1"/>
  <c r="K35" i="38"/>
  <c r="Q120" i="19" s="1"/>
  <c r="J35" i="38"/>
  <c r="Q108" i="19" s="1"/>
  <c r="I35" i="38"/>
  <c r="Q96" i="19" s="1"/>
  <c r="H35" i="38"/>
  <c r="Q84" i="19" s="1"/>
  <c r="G35" i="38"/>
  <c r="Q72" i="19" s="1"/>
  <c r="F35" i="38"/>
  <c r="Q60" i="19" s="1"/>
  <c r="V34" i="38"/>
  <c r="Q251" i="19" s="1"/>
  <c r="U34" i="38"/>
  <c r="Q239" i="19" s="1"/>
  <c r="T34" i="38"/>
  <c r="Q227" i="19" s="1"/>
  <c r="S34" i="38"/>
  <c r="Q215" i="19" s="1"/>
  <c r="R34" i="38"/>
  <c r="Q203" i="19" s="1"/>
  <c r="Q34" i="38"/>
  <c r="Q191" i="19" s="1"/>
  <c r="P34" i="38"/>
  <c r="Q179" i="19" s="1"/>
  <c r="O34" i="38"/>
  <c r="Q167" i="19" s="1"/>
  <c r="N34" i="38"/>
  <c r="Q155" i="19" s="1"/>
  <c r="M34" i="38"/>
  <c r="Q143" i="19" s="1"/>
  <c r="L34" i="38"/>
  <c r="Q131" i="19" s="1"/>
  <c r="K34" i="38"/>
  <c r="Q119" i="19" s="1"/>
  <c r="J34" i="38"/>
  <c r="Q107" i="19" s="1"/>
  <c r="I34" i="38"/>
  <c r="Q95" i="19" s="1"/>
  <c r="H34" i="38"/>
  <c r="Q83" i="19" s="1"/>
  <c r="G34" i="38"/>
  <c r="Q71" i="19" s="1"/>
  <c r="F34" i="38"/>
  <c r="Q59" i="19" s="1"/>
  <c r="V33" i="38"/>
  <c r="Q250" i="19" s="1"/>
  <c r="U33" i="38"/>
  <c r="Q238" i="19" s="1"/>
  <c r="T33" i="38"/>
  <c r="Q226" i="19" s="1"/>
  <c r="S33" i="38"/>
  <c r="Q214" i="19" s="1"/>
  <c r="R33" i="38"/>
  <c r="Q202" i="19" s="1"/>
  <c r="Q33" i="38"/>
  <c r="Q190" i="19" s="1"/>
  <c r="P33" i="38"/>
  <c r="Q178" i="19" s="1"/>
  <c r="O33" i="38"/>
  <c r="Q166" i="19" s="1"/>
  <c r="N33" i="38"/>
  <c r="Q154" i="19" s="1"/>
  <c r="M33" i="38"/>
  <c r="Q142" i="19" s="1"/>
  <c r="L33" i="38"/>
  <c r="Q130" i="19" s="1"/>
  <c r="K33" i="38"/>
  <c r="Q118" i="19" s="1"/>
  <c r="J33" i="38"/>
  <c r="Q106" i="19" s="1"/>
  <c r="I33" i="38"/>
  <c r="Q94" i="19" s="1"/>
  <c r="H33" i="38"/>
  <c r="Q82" i="19" s="1"/>
  <c r="G33" i="38"/>
  <c r="Q70" i="19" s="1"/>
  <c r="F33" i="38"/>
  <c r="Q58" i="19" s="1"/>
  <c r="V32" i="38"/>
  <c r="Q249" i="19" s="1"/>
  <c r="U32" i="38"/>
  <c r="Q237" i="19" s="1"/>
  <c r="T32" i="38"/>
  <c r="Q225" i="19" s="1"/>
  <c r="S32" i="38"/>
  <c r="Q213" i="19" s="1"/>
  <c r="R32" i="38"/>
  <c r="Q201" i="19" s="1"/>
  <c r="Q32" i="38"/>
  <c r="Q189" i="19" s="1"/>
  <c r="P32" i="38"/>
  <c r="Q177" i="19" s="1"/>
  <c r="O32" i="38"/>
  <c r="Q165" i="19" s="1"/>
  <c r="N32" i="38"/>
  <c r="Q153" i="19" s="1"/>
  <c r="M32" i="38"/>
  <c r="Q141" i="19" s="1"/>
  <c r="L32" i="38"/>
  <c r="Q129" i="19" s="1"/>
  <c r="K32" i="38"/>
  <c r="Q117" i="19" s="1"/>
  <c r="J32" i="38"/>
  <c r="Q105" i="19" s="1"/>
  <c r="I32" i="38"/>
  <c r="Q93" i="19" s="1"/>
  <c r="H32" i="38"/>
  <c r="Q81" i="19" s="1"/>
  <c r="G32" i="38"/>
  <c r="Q69" i="19" s="1"/>
  <c r="F32" i="38"/>
  <c r="Q57" i="19" s="1"/>
  <c r="V31" i="38"/>
  <c r="Q248" i="19" s="1"/>
  <c r="U31" i="38"/>
  <c r="Q236" i="19" s="1"/>
  <c r="T31" i="38"/>
  <c r="Q224" i="19" s="1"/>
  <c r="S31" i="38"/>
  <c r="Q212" i="19" s="1"/>
  <c r="R31" i="38"/>
  <c r="Q200" i="19" s="1"/>
  <c r="Q31" i="38"/>
  <c r="Q188" i="19" s="1"/>
  <c r="P31" i="38"/>
  <c r="Q176" i="19" s="1"/>
  <c r="O31" i="38"/>
  <c r="Q164" i="19" s="1"/>
  <c r="N31" i="38"/>
  <c r="Q152" i="19" s="1"/>
  <c r="M31" i="38"/>
  <c r="Q140" i="19" s="1"/>
  <c r="L31" i="38"/>
  <c r="Q128" i="19" s="1"/>
  <c r="K31" i="38"/>
  <c r="Q116" i="19" s="1"/>
  <c r="J31" i="38"/>
  <c r="Q104" i="19" s="1"/>
  <c r="I31" i="38"/>
  <c r="Q92" i="19" s="1"/>
  <c r="H31" i="38"/>
  <c r="Q80" i="19" s="1"/>
  <c r="G31" i="38"/>
  <c r="Q68" i="19" s="1"/>
  <c r="F31" i="38"/>
  <c r="Q56" i="19" s="1"/>
  <c r="V30" i="38"/>
  <c r="Q247" i="19" s="1"/>
  <c r="U30" i="38"/>
  <c r="Q235" i="19" s="1"/>
  <c r="T30" i="38"/>
  <c r="Q223" i="19" s="1"/>
  <c r="S30" i="38"/>
  <c r="Q211" i="19" s="1"/>
  <c r="R30" i="38"/>
  <c r="Q199" i="19" s="1"/>
  <c r="Q30" i="38"/>
  <c r="Q187" i="19" s="1"/>
  <c r="P30" i="38"/>
  <c r="Q175" i="19" s="1"/>
  <c r="O30" i="38"/>
  <c r="Q163" i="19" s="1"/>
  <c r="N30" i="38"/>
  <c r="Q151" i="19" s="1"/>
  <c r="M30" i="38"/>
  <c r="Q139" i="19" s="1"/>
  <c r="L30" i="38"/>
  <c r="Q127" i="19" s="1"/>
  <c r="K30" i="38"/>
  <c r="Q115" i="19" s="1"/>
  <c r="J30" i="38"/>
  <c r="Q103" i="19" s="1"/>
  <c r="I30" i="38"/>
  <c r="Q91" i="19" s="1"/>
  <c r="H30" i="38"/>
  <c r="Q79" i="19" s="1"/>
  <c r="G30" i="38"/>
  <c r="Q67" i="19" s="1"/>
  <c r="F30" i="38"/>
  <c r="Q55" i="19" s="1"/>
  <c r="V29" i="38"/>
  <c r="Q246" i="19" s="1"/>
  <c r="U29" i="38"/>
  <c r="Q234" i="19" s="1"/>
  <c r="T29" i="38"/>
  <c r="Q222" i="19" s="1"/>
  <c r="S29" i="38"/>
  <c r="Q210" i="19" s="1"/>
  <c r="R29" i="38"/>
  <c r="Q198" i="19" s="1"/>
  <c r="Q29" i="38"/>
  <c r="Q186" i="19" s="1"/>
  <c r="P29" i="38"/>
  <c r="Q174" i="19" s="1"/>
  <c r="O29" i="38"/>
  <c r="Q162" i="19" s="1"/>
  <c r="N29" i="38"/>
  <c r="Q150" i="19" s="1"/>
  <c r="M29" i="38"/>
  <c r="Q138" i="19" s="1"/>
  <c r="L29" i="38"/>
  <c r="Q126" i="19" s="1"/>
  <c r="K29" i="38"/>
  <c r="Q114" i="19" s="1"/>
  <c r="J29" i="38"/>
  <c r="Q102" i="19" s="1"/>
  <c r="I29" i="38"/>
  <c r="Q90" i="19" s="1"/>
  <c r="H29" i="38"/>
  <c r="Q78" i="19" s="1"/>
  <c r="G29" i="38"/>
  <c r="Q66" i="19" s="1"/>
  <c r="F29" i="38"/>
  <c r="Q54" i="19" s="1"/>
  <c r="V28" i="38"/>
  <c r="Q245" i="19" s="1"/>
  <c r="U28" i="38"/>
  <c r="Q233" i="19" s="1"/>
  <c r="T28" i="38"/>
  <c r="Q221" i="19" s="1"/>
  <c r="S28" i="38"/>
  <c r="Q209" i="19" s="1"/>
  <c r="R28" i="38"/>
  <c r="Q197" i="19" s="1"/>
  <c r="Q28" i="38"/>
  <c r="Q185" i="19" s="1"/>
  <c r="P28" i="38"/>
  <c r="Q173" i="19" s="1"/>
  <c r="O28" i="38"/>
  <c r="Q161" i="19" s="1"/>
  <c r="N28" i="38"/>
  <c r="Q149" i="19" s="1"/>
  <c r="M28" i="38"/>
  <c r="Q137" i="19" s="1"/>
  <c r="L28" i="38"/>
  <c r="Q125" i="19" s="1"/>
  <c r="K28" i="38"/>
  <c r="Q113" i="19" s="1"/>
  <c r="J28" i="38"/>
  <c r="Q101" i="19" s="1"/>
  <c r="I28" i="38"/>
  <c r="Q89" i="19" s="1"/>
  <c r="H28" i="38"/>
  <c r="Q77" i="19" s="1"/>
  <c r="G28" i="38"/>
  <c r="Q65" i="19" s="1"/>
  <c r="F28" i="38"/>
  <c r="Q53" i="19" s="1"/>
  <c r="V27" i="38"/>
  <c r="Q244" i="19" s="1"/>
  <c r="U27" i="38"/>
  <c r="Q232" i="19" s="1"/>
  <c r="T27" i="38"/>
  <c r="Q220" i="19" s="1"/>
  <c r="S27" i="38"/>
  <c r="Q208" i="19" s="1"/>
  <c r="R27" i="38"/>
  <c r="Q196" i="19" s="1"/>
  <c r="Q27" i="38"/>
  <c r="Q184" i="19" s="1"/>
  <c r="P27" i="38"/>
  <c r="Q172" i="19" s="1"/>
  <c r="O27" i="38"/>
  <c r="Q160" i="19" s="1"/>
  <c r="N27" i="38"/>
  <c r="Q148" i="19" s="1"/>
  <c r="M27" i="38"/>
  <c r="Q136" i="19" s="1"/>
  <c r="L27" i="38"/>
  <c r="Q124" i="19" s="1"/>
  <c r="K27" i="38"/>
  <c r="Q112" i="19" s="1"/>
  <c r="J27" i="38"/>
  <c r="Q100" i="19" s="1"/>
  <c r="I27" i="38"/>
  <c r="Q88" i="19" s="1"/>
  <c r="H27" i="38"/>
  <c r="Q76" i="19" s="1"/>
  <c r="G27" i="38"/>
  <c r="Q64" i="19" s="1"/>
  <c r="V26" i="38"/>
  <c r="Q243" i="19" s="1"/>
  <c r="U26" i="38"/>
  <c r="Q231" i="19" s="1"/>
  <c r="T26" i="38"/>
  <c r="Q219" i="19" s="1"/>
  <c r="S26" i="38"/>
  <c r="Q207" i="19" s="1"/>
  <c r="R26" i="38"/>
  <c r="Q195" i="19" s="1"/>
  <c r="Q26" i="38"/>
  <c r="Q183" i="19" s="1"/>
  <c r="P26" i="38"/>
  <c r="Q171" i="19" s="1"/>
  <c r="O26" i="38"/>
  <c r="Q159" i="19" s="1"/>
  <c r="N26" i="38"/>
  <c r="Q147" i="19" s="1"/>
  <c r="M26" i="38"/>
  <c r="Q135" i="19" s="1"/>
  <c r="L26" i="38"/>
  <c r="Q123" i="19" s="1"/>
  <c r="K26" i="38"/>
  <c r="Q111" i="19" s="1"/>
  <c r="J26" i="38"/>
  <c r="Q99" i="19" s="1"/>
  <c r="I26" i="38"/>
  <c r="Q87" i="19" s="1"/>
  <c r="H26" i="38"/>
  <c r="Q75" i="19" s="1"/>
  <c r="G26" i="38"/>
  <c r="Q63" i="19" s="1"/>
  <c r="V19" i="38"/>
  <c r="P254" i="19" s="1"/>
  <c r="U19" i="38"/>
  <c r="P242" i="19" s="1"/>
  <c r="T19" i="38"/>
  <c r="P230" i="19" s="1"/>
  <c r="S19" i="38"/>
  <c r="P218" i="19" s="1"/>
  <c r="R19" i="38"/>
  <c r="P206" i="19" s="1"/>
  <c r="Q19" i="38"/>
  <c r="P194" i="19" s="1"/>
  <c r="P19" i="38"/>
  <c r="P182" i="19" s="1"/>
  <c r="O19" i="38"/>
  <c r="P170" i="19" s="1"/>
  <c r="N19" i="38"/>
  <c r="P158" i="19" s="1"/>
  <c r="M19" i="38"/>
  <c r="P146" i="19" s="1"/>
  <c r="L19" i="38"/>
  <c r="P134" i="19" s="1"/>
  <c r="K19" i="38"/>
  <c r="P122" i="19" s="1"/>
  <c r="J19" i="38"/>
  <c r="P110" i="19" s="1"/>
  <c r="I19" i="38"/>
  <c r="P98" i="19" s="1"/>
  <c r="H19" i="38"/>
  <c r="P86" i="19" s="1"/>
  <c r="G19" i="38"/>
  <c r="P74" i="19" s="1"/>
  <c r="F19" i="38"/>
  <c r="P62" i="19" s="1"/>
  <c r="V18" i="38"/>
  <c r="P253" i="19" s="1"/>
  <c r="U18" i="38"/>
  <c r="P241" i="19" s="1"/>
  <c r="T18" i="38"/>
  <c r="P229" i="19" s="1"/>
  <c r="S18" i="38"/>
  <c r="P217" i="19" s="1"/>
  <c r="R18" i="38"/>
  <c r="P205" i="19" s="1"/>
  <c r="Q18" i="38"/>
  <c r="P193" i="19" s="1"/>
  <c r="P18" i="38"/>
  <c r="P181" i="19" s="1"/>
  <c r="O18" i="38"/>
  <c r="P169" i="19" s="1"/>
  <c r="N18" i="38"/>
  <c r="P157" i="19" s="1"/>
  <c r="M18" i="38"/>
  <c r="P145" i="19" s="1"/>
  <c r="L18" i="38"/>
  <c r="P133" i="19" s="1"/>
  <c r="K18" i="38"/>
  <c r="P121" i="19" s="1"/>
  <c r="J18" i="38"/>
  <c r="P109" i="19" s="1"/>
  <c r="I18" i="38"/>
  <c r="P97" i="19" s="1"/>
  <c r="H18" i="38"/>
  <c r="P85" i="19" s="1"/>
  <c r="G18" i="38"/>
  <c r="P73" i="19" s="1"/>
  <c r="F18" i="38"/>
  <c r="P61" i="19" s="1"/>
  <c r="V17" i="38"/>
  <c r="P252" i="19" s="1"/>
  <c r="U17" i="38"/>
  <c r="P240" i="19" s="1"/>
  <c r="T17" i="38"/>
  <c r="P228" i="19" s="1"/>
  <c r="S17" i="38"/>
  <c r="P216" i="19" s="1"/>
  <c r="R17" i="38"/>
  <c r="P204" i="19" s="1"/>
  <c r="Q17" i="38"/>
  <c r="P192" i="19" s="1"/>
  <c r="P17" i="38"/>
  <c r="P180" i="19" s="1"/>
  <c r="O17" i="38"/>
  <c r="P168" i="19" s="1"/>
  <c r="N17" i="38"/>
  <c r="P156" i="19" s="1"/>
  <c r="M17" i="38"/>
  <c r="P144" i="19" s="1"/>
  <c r="L17" i="38"/>
  <c r="P132" i="19" s="1"/>
  <c r="K17" i="38"/>
  <c r="P120" i="19" s="1"/>
  <c r="J17" i="38"/>
  <c r="P108" i="19" s="1"/>
  <c r="I17" i="38"/>
  <c r="P96" i="19" s="1"/>
  <c r="H17" i="38"/>
  <c r="P84" i="19" s="1"/>
  <c r="G17" i="38"/>
  <c r="P72" i="19" s="1"/>
  <c r="F17" i="38"/>
  <c r="P60" i="19" s="1"/>
  <c r="V16" i="38"/>
  <c r="P251" i="19" s="1"/>
  <c r="U16" i="38"/>
  <c r="P239" i="19" s="1"/>
  <c r="T16" i="38"/>
  <c r="P227" i="19" s="1"/>
  <c r="S16" i="38"/>
  <c r="P215" i="19" s="1"/>
  <c r="R16" i="38"/>
  <c r="P203" i="19" s="1"/>
  <c r="Q16" i="38"/>
  <c r="P191" i="19" s="1"/>
  <c r="P16" i="38"/>
  <c r="P179" i="19" s="1"/>
  <c r="O16" i="38"/>
  <c r="P167" i="19" s="1"/>
  <c r="N16" i="38"/>
  <c r="P155" i="19" s="1"/>
  <c r="M16" i="38"/>
  <c r="P143" i="19" s="1"/>
  <c r="L16" i="38"/>
  <c r="P131" i="19" s="1"/>
  <c r="K16" i="38"/>
  <c r="P119" i="19" s="1"/>
  <c r="J16" i="38"/>
  <c r="P107" i="19" s="1"/>
  <c r="I16" i="38"/>
  <c r="P95" i="19" s="1"/>
  <c r="H16" i="38"/>
  <c r="P83" i="19" s="1"/>
  <c r="G16" i="38"/>
  <c r="P71" i="19" s="1"/>
  <c r="F16" i="38"/>
  <c r="P59" i="19" s="1"/>
  <c r="V15" i="38"/>
  <c r="P250" i="19" s="1"/>
  <c r="U15" i="38"/>
  <c r="P238" i="19" s="1"/>
  <c r="T15" i="38"/>
  <c r="P226" i="19" s="1"/>
  <c r="S15" i="38"/>
  <c r="P214" i="19" s="1"/>
  <c r="R15" i="38"/>
  <c r="P202" i="19" s="1"/>
  <c r="Q15" i="38"/>
  <c r="P190" i="19" s="1"/>
  <c r="P15" i="38"/>
  <c r="P178" i="19" s="1"/>
  <c r="O15" i="38"/>
  <c r="P166" i="19" s="1"/>
  <c r="N15" i="38"/>
  <c r="P154" i="19" s="1"/>
  <c r="M15" i="38"/>
  <c r="P142" i="19" s="1"/>
  <c r="L15" i="38"/>
  <c r="P130" i="19" s="1"/>
  <c r="K15" i="38"/>
  <c r="P118" i="19" s="1"/>
  <c r="J15" i="38"/>
  <c r="P106" i="19" s="1"/>
  <c r="I15" i="38"/>
  <c r="P94" i="19" s="1"/>
  <c r="H15" i="38"/>
  <c r="P82" i="19" s="1"/>
  <c r="G15" i="38"/>
  <c r="P70" i="19" s="1"/>
  <c r="F15" i="38"/>
  <c r="P58" i="19" s="1"/>
  <c r="V14" i="38"/>
  <c r="P249" i="19" s="1"/>
  <c r="U14" i="38"/>
  <c r="P237" i="19" s="1"/>
  <c r="T14" i="38"/>
  <c r="P225" i="19" s="1"/>
  <c r="S14" i="38"/>
  <c r="P213" i="19" s="1"/>
  <c r="R14" i="38"/>
  <c r="P201" i="19" s="1"/>
  <c r="Q14" i="38"/>
  <c r="P189" i="19" s="1"/>
  <c r="P14" i="38"/>
  <c r="P177" i="19" s="1"/>
  <c r="O14" i="38"/>
  <c r="P165" i="19" s="1"/>
  <c r="N14" i="38"/>
  <c r="P153" i="19" s="1"/>
  <c r="M14" i="38"/>
  <c r="P141" i="19" s="1"/>
  <c r="L14" i="38"/>
  <c r="P129" i="19" s="1"/>
  <c r="K14" i="38"/>
  <c r="P117" i="19" s="1"/>
  <c r="J14" i="38"/>
  <c r="P105" i="19" s="1"/>
  <c r="I14" i="38"/>
  <c r="P93" i="19" s="1"/>
  <c r="H14" i="38"/>
  <c r="P81" i="19" s="1"/>
  <c r="G14" i="38"/>
  <c r="P69" i="19" s="1"/>
  <c r="F14" i="38"/>
  <c r="P57" i="19" s="1"/>
  <c r="V13" i="38"/>
  <c r="P248" i="19" s="1"/>
  <c r="U13" i="38"/>
  <c r="P236" i="19" s="1"/>
  <c r="T13" i="38"/>
  <c r="P224" i="19" s="1"/>
  <c r="S13" i="38"/>
  <c r="P212" i="19" s="1"/>
  <c r="R13" i="38"/>
  <c r="P200" i="19" s="1"/>
  <c r="Q13" i="38"/>
  <c r="P188" i="19" s="1"/>
  <c r="P13" i="38"/>
  <c r="P176" i="19" s="1"/>
  <c r="O13" i="38"/>
  <c r="P164" i="19" s="1"/>
  <c r="N13" i="38"/>
  <c r="P152" i="19" s="1"/>
  <c r="M13" i="38"/>
  <c r="P140" i="19" s="1"/>
  <c r="L13" i="38"/>
  <c r="P128" i="19" s="1"/>
  <c r="K13" i="38"/>
  <c r="P116" i="19" s="1"/>
  <c r="J13" i="38"/>
  <c r="P104" i="19" s="1"/>
  <c r="I13" i="38"/>
  <c r="P92" i="19" s="1"/>
  <c r="H13" i="38"/>
  <c r="P80" i="19" s="1"/>
  <c r="G13" i="38"/>
  <c r="P68" i="19" s="1"/>
  <c r="F13" i="38"/>
  <c r="P56" i="19" s="1"/>
  <c r="V12" i="38"/>
  <c r="P247" i="19" s="1"/>
  <c r="U12" i="38"/>
  <c r="P235" i="19" s="1"/>
  <c r="T12" i="38"/>
  <c r="P223" i="19" s="1"/>
  <c r="S12" i="38"/>
  <c r="P211" i="19" s="1"/>
  <c r="R12" i="38"/>
  <c r="P199" i="19" s="1"/>
  <c r="Q12" i="38"/>
  <c r="P187" i="19" s="1"/>
  <c r="P12" i="38"/>
  <c r="P175" i="19" s="1"/>
  <c r="O12" i="38"/>
  <c r="P163" i="19" s="1"/>
  <c r="N12" i="38"/>
  <c r="P151" i="19" s="1"/>
  <c r="M12" i="38"/>
  <c r="P139" i="19" s="1"/>
  <c r="L12" i="38"/>
  <c r="P127" i="19" s="1"/>
  <c r="K12" i="38"/>
  <c r="P115" i="19" s="1"/>
  <c r="J12" i="38"/>
  <c r="P103" i="19" s="1"/>
  <c r="I12" i="38"/>
  <c r="P91" i="19" s="1"/>
  <c r="H12" i="38"/>
  <c r="P79" i="19" s="1"/>
  <c r="G12" i="38"/>
  <c r="P67" i="19" s="1"/>
  <c r="F12" i="38"/>
  <c r="P55" i="19" s="1"/>
  <c r="V11" i="38"/>
  <c r="P246" i="19" s="1"/>
  <c r="U11" i="38"/>
  <c r="P234" i="19" s="1"/>
  <c r="T11" i="38"/>
  <c r="P222" i="19" s="1"/>
  <c r="S11" i="38"/>
  <c r="P210" i="19" s="1"/>
  <c r="R11" i="38"/>
  <c r="P198" i="19" s="1"/>
  <c r="Q11" i="38"/>
  <c r="P186" i="19" s="1"/>
  <c r="P11" i="38"/>
  <c r="P174" i="19" s="1"/>
  <c r="O11" i="38"/>
  <c r="P162" i="19" s="1"/>
  <c r="N11" i="38"/>
  <c r="P150" i="19" s="1"/>
  <c r="M11" i="38"/>
  <c r="P138" i="19" s="1"/>
  <c r="L11" i="38"/>
  <c r="P126" i="19" s="1"/>
  <c r="K11" i="38"/>
  <c r="P114" i="19" s="1"/>
  <c r="J11" i="38"/>
  <c r="P102" i="19" s="1"/>
  <c r="I11" i="38"/>
  <c r="P90" i="19" s="1"/>
  <c r="H11" i="38"/>
  <c r="P78" i="19" s="1"/>
  <c r="G11" i="38"/>
  <c r="P66" i="19" s="1"/>
  <c r="F11" i="38"/>
  <c r="P54" i="19" s="1"/>
  <c r="V10" i="38"/>
  <c r="P245" i="19" s="1"/>
  <c r="U10" i="38"/>
  <c r="P233" i="19" s="1"/>
  <c r="T10" i="38"/>
  <c r="P221" i="19" s="1"/>
  <c r="S10" i="38"/>
  <c r="P209" i="19" s="1"/>
  <c r="R10" i="38"/>
  <c r="P197" i="19" s="1"/>
  <c r="Q10" i="38"/>
  <c r="P185" i="19" s="1"/>
  <c r="P10" i="38"/>
  <c r="P173" i="19" s="1"/>
  <c r="O10" i="38"/>
  <c r="P161" i="19" s="1"/>
  <c r="N10" i="38"/>
  <c r="P149" i="19" s="1"/>
  <c r="M10" i="38"/>
  <c r="P137" i="19" s="1"/>
  <c r="L10" i="38"/>
  <c r="P125" i="19" s="1"/>
  <c r="K10" i="38"/>
  <c r="P113" i="19" s="1"/>
  <c r="J10" i="38"/>
  <c r="P101" i="19" s="1"/>
  <c r="I10" i="38"/>
  <c r="P89" i="19" s="1"/>
  <c r="H10" i="38"/>
  <c r="P77" i="19" s="1"/>
  <c r="G10" i="38"/>
  <c r="P65" i="19" s="1"/>
  <c r="F10" i="38"/>
  <c r="P53" i="19" s="1"/>
  <c r="V9" i="38"/>
  <c r="P244" i="19" s="1"/>
  <c r="U9" i="38"/>
  <c r="P232" i="19" s="1"/>
  <c r="T9" i="38"/>
  <c r="P220" i="19" s="1"/>
  <c r="S9" i="38"/>
  <c r="P208" i="19" s="1"/>
  <c r="R9" i="38"/>
  <c r="P196" i="19" s="1"/>
  <c r="Q9" i="38"/>
  <c r="P184" i="19" s="1"/>
  <c r="P9" i="38"/>
  <c r="P172" i="19" s="1"/>
  <c r="O9" i="38"/>
  <c r="P160" i="19" s="1"/>
  <c r="N9" i="38"/>
  <c r="P148" i="19" s="1"/>
  <c r="M9" i="38"/>
  <c r="P136" i="19" s="1"/>
  <c r="L9" i="38"/>
  <c r="P124" i="19" s="1"/>
  <c r="K9" i="38"/>
  <c r="P112" i="19" s="1"/>
  <c r="J9" i="38"/>
  <c r="P100" i="19" s="1"/>
  <c r="I9" i="38"/>
  <c r="P88" i="19" s="1"/>
  <c r="H9" i="38"/>
  <c r="P76" i="19" s="1"/>
  <c r="G9" i="38"/>
  <c r="P64" i="19" s="1"/>
  <c r="V8" i="38"/>
  <c r="P243" i="19" s="1"/>
  <c r="U8" i="38"/>
  <c r="P231" i="19" s="1"/>
  <c r="T8" i="38"/>
  <c r="P219" i="19" s="1"/>
  <c r="S8" i="38"/>
  <c r="P207" i="19" s="1"/>
  <c r="R8" i="38"/>
  <c r="P195" i="19" s="1"/>
  <c r="Q8" i="38"/>
  <c r="P183" i="19" s="1"/>
  <c r="P8" i="38"/>
  <c r="P171" i="19" s="1"/>
  <c r="O8" i="38"/>
  <c r="P159" i="19" s="1"/>
  <c r="N8" i="38"/>
  <c r="P147" i="19" s="1"/>
  <c r="M8" i="38"/>
  <c r="P135" i="19" s="1"/>
  <c r="L8" i="38"/>
  <c r="P123" i="19" s="1"/>
  <c r="K8" i="38"/>
  <c r="P111" i="19" s="1"/>
  <c r="J8" i="38"/>
  <c r="P99" i="19" s="1"/>
  <c r="I8" i="38"/>
  <c r="P87" i="19" s="1"/>
  <c r="H8" i="38"/>
  <c r="P75" i="19" s="1"/>
  <c r="G8" i="38"/>
  <c r="P63" i="19" s="1"/>
  <c r="N78" i="39"/>
  <c r="Q78" i="39"/>
  <c r="P78" i="39"/>
  <c r="O78" i="39"/>
  <c r="M78" i="39"/>
  <c r="L78" i="39"/>
  <c r="K78" i="39"/>
  <c r="I78" i="39"/>
  <c r="I19" i="17" l="1"/>
  <c r="I18" i="17"/>
  <c r="I17" i="17"/>
  <c r="I16" i="17"/>
  <c r="I15" i="17"/>
  <c r="I14" i="17"/>
  <c r="I13" i="17"/>
  <c r="I12" i="17"/>
  <c r="I11" i="17"/>
  <c r="I10" i="17"/>
  <c r="I9" i="17"/>
  <c r="Q15" i="17" s="1"/>
  <c r="G19" i="17"/>
  <c r="G18" i="17"/>
  <c r="G17" i="17"/>
  <c r="G16" i="17"/>
  <c r="G15" i="17"/>
  <c r="G14" i="17"/>
  <c r="G13" i="17"/>
  <c r="G12" i="17"/>
  <c r="G11" i="17"/>
  <c r="G10" i="17"/>
  <c r="G9" i="17"/>
  <c r="P15" i="17" s="1"/>
  <c r="D19" i="17"/>
  <c r="D18" i="17"/>
  <c r="D17" i="17"/>
  <c r="D16" i="17"/>
  <c r="D15" i="17"/>
  <c r="D14" i="17"/>
  <c r="D13" i="17"/>
  <c r="D12" i="17"/>
  <c r="D11" i="17"/>
  <c r="D10" i="17"/>
  <c r="D9" i="17"/>
  <c r="O15" i="17" s="1"/>
  <c r="C19" i="17"/>
  <c r="C18" i="17"/>
  <c r="C17" i="17"/>
  <c r="C16" i="17"/>
  <c r="C15" i="17"/>
  <c r="C14" i="17"/>
  <c r="C13" i="17"/>
  <c r="C12" i="17"/>
  <c r="C11" i="17"/>
  <c r="C10" i="17"/>
  <c r="U216" i="39"/>
  <c r="U210" i="39"/>
  <c r="V34" i="39"/>
  <c r="V35" i="39" s="1"/>
  <c r="V98" i="39"/>
  <c r="V95" i="39"/>
  <c r="V92" i="39"/>
  <c r="V89" i="39"/>
  <c r="U98" i="39"/>
  <c r="U95" i="39"/>
  <c r="U92" i="39"/>
  <c r="U89" i="39"/>
  <c r="T98" i="39"/>
  <c r="T78" i="39"/>
  <c r="T95" i="39"/>
  <c r="T92" i="39"/>
  <c r="T75" i="39"/>
  <c r="T89" i="39"/>
  <c r="V221" i="39" l="1"/>
  <c r="U221" i="39"/>
  <c r="T221" i="39"/>
  <c r="S221" i="39"/>
  <c r="R221" i="39"/>
  <c r="Q221" i="39"/>
  <c r="P221" i="39"/>
  <c r="O221" i="39"/>
  <c r="N221" i="39"/>
  <c r="M221" i="39"/>
  <c r="L221" i="39"/>
  <c r="K221" i="39"/>
  <c r="J221" i="39"/>
  <c r="I221" i="39"/>
  <c r="H221" i="39"/>
  <c r="G221" i="39"/>
  <c r="F221" i="39"/>
  <c r="E221" i="39"/>
  <c r="D221" i="39"/>
  <c r="C221" i="39"/>
  <c r="B221" i="39"/>
  <c r="T201" i="39"/>
  <c r="Q201" i="39"/>
  <c r="P201" i="39"/>
  <c r="O201" i="39"/>
  <c r="N201" i="39"/>
  <c r="M201" i="39"/>
  <c r="L201" i="39"/>
  <c r="K201" i="39"/>
  <c r="J201" i="39"/>
  <c r="I201" i="39"/>
  <c r="H201" i="39"/>
  <c r="G201" i="39"/>
  <c r="F201" i="39"/>
  <c r="E201" i="39"/>
  <c r="D201" i="39"/>
  <c r="C201" i="39"/>
  <c r="B201" i="39"/>
  <c r="U201" i="39"/>
  <c r="V201" i="39"/>
  <c r="S201" i="39"/>
  <c r="R201" i="39"/>
  <c r="C9" i="17"/>
  <c r="N15" i="17" s="1"/>
  <c r="B19" i="17"/>
  <c r="B17" i="17"/>
  <c r="B16" i="17"/>
  <c r="B15" i="17"/>
  <c r="B14" i="17"/>
  <c r="B13" i="17"/>
  <c r="B12" i="17"/>
  <c r="B11" i="17"/>
  <c r="B18" i="17"/>
  <c r="B10" i="17"/>
  <c r="B9" i="17"/>
  <c r="L278" i="19"/>
  <c r="L320" i="19" s="1"/>
  <c r="L336" i="19" s="1"/>
  <c r="L277" i="19"/>
  <c r="L319" i="19" s="1"/>
  <c r="L335" i="19" s="1"/>
  <c r="L276" i="19"/>
  <c r="L318" i="19" s="1"/>
  <c r="L334" i="19" s="1"/>
  <c r="L275" i="19"/>
  <c r="L317" i="19" s="1"/>
  <c r="L333" i="19" s="1"/>
  <c r="L274" i="19"/>
  <c r="L316" i="19" s="1"/>
  <c r="L332" i="19" s="1"/>
  <c r="L273" i="19"/>
  <c r="L315" i="19" s="1"/>
  <c r="L331" i="19" s="1"/>
  <c r="L272" i="19"/>
  <c r="L314" i="19" s="1"/>
  <c r="L330" i="19" s="1"/>
  <c r="L271" i="19"/>
  <c r="L313" i="19" s="1"/>
  <c r="L329" i="19" s="1"/>
  <c r="L270" i="19"/>
  <c r="L312" i="19" s="1"/>
  <c r="L328" i="19" s="1"/>
  <c r="L269" i="19"/>
  <c r="L311" i="19" s="1"/>
  <c r="L327" i="19" s="1"/>
  <c r="L268" i="19"/>
  <c r="L310" i="19" s="1"/>
  <c r="L326" i="19" s="1"/>
  <c r="L267" i="19"/>
  <c r="L309" i="19" s="1"/>
  <c r="L325" i="19" s="1"/>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K253" i="19"/>
  <c r="K252" i="19"/>
  <c r="K191" i="19"/>
  <c r="K190" i="19"/>
  <c r="K189" i="19"/>
  <c r="K188" i="19"/>
  <c r="K187" i="19"/>
  <c r="K186" i="19"/>
  <c r="K185" i="19"/>
  <c r="K179" i="19"/>
  <c r="K178" i="19"/>
  <c r="K177" i="19"/>
  <c r="K176" i="19"/>
  <c r="K175" i="19"/>
  <c r="K174" i="19"/>
  <c r="K173" i="19"/>
  <c r="K167" i="19"/>
  <c r="K166" i="19"/>
  <c r="K165" i="19"/>
  <c r="K164" i="19"/>
  <c r="K163" i="19"/>
  <c r="K162" i="19"/>
  <c r="K161" i="19"/>
  <c r="K155" i="19"/>
  <c r="K154" i="19"/>
  <c r="K153" i="19"/>
  <c r="K152" i="19"/>
  <c r="K151" i="19"/>
  <c r="K150" i="19"/>
  <c r="K149" i="19"/>
  <c r="K143" i="19"/>
  <c r="K142" i="19"/>
  <c r="K141" i="19"/>
  <c r="K140"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J278" i="19"/>
  <c r="J320" i="19" s="1"/>
  <c r="J336" i="19" s="1"/>
  <c r="I278" i="19"/>
  <c r="I320" i="19" s="1"/>
  <c r="I336" i="19" s="1"/>
  <c r="H278" i="19"/>
  <c r="H320" i="19" s="1"/>
  <c r="H336" i="19" s="1"/>
  <c r="G278" i="19"/>
  <c r="F278" i="19"/>
  <c r="E278" i="19"/>
  <c r="J277" i="19"/>
  <c r="J319" i="19" s="1"/>
  <c r="J335" i="19" s="1"/>
  <c r="I277" i="19"/>
  <c r="I319" i="19" s="1"/>
  <c r="I335" i="19" s="1"/>
  <c r="H277" i="19"/>
  <c r="H319" i="19" s="1"/>
  <c r="H335" i="19" s="1"/>
  <c r="G277" i="19"/>
  <c r="F277" i="19"/>
  <c r="E277" i="19"/>
  <c r="J276" i="19"/>
  <c r="J318" i="19" s="1"/>
  <c r="J334" i="19" s="1"/>
  <c r="I276" i="19"/>
  <c r="I318" i="19" s="1"/>
  <c r="I334" i="19" s="1"/>
  <c r="H276" i="19"/>
  <c r="H318" i="19" s="1"/>
  <c r="H334" i="19" s="1"/>
  <c r="G276" i="19"/>
  <c r="F276" i="19"/>
  <c r="E276" i="19"/>
  <c r="J275" i="19"/>
  <c r="J317" i="19" s="1"/>
  <c r="J333" i="19" s="1"/>
  <c r="I275" i="19"/>
  <c r="I317" i="19" s="1"/>
  <c r="I333" i="19" s="1"/>
  <c r="H275" i="19"/>
  <c r="H317" i="19" s="1"/>
  <c r="H333" i="19" s="1"/>
  <c r="G275" i="19"/>
  <c r="F275" i="19"/>
  <c r="E275" i="19"/>
  <c r="J274" i="19"/>
  <c r="J316" i="19" s="1"/>
  <c r="J332" i="19" s="1"/>
  <c r="I274" i="19"/>
  <c r="I316" i="19" s="1"/>
  <c r="I332" i="19" s="1"/>
  <c r="H274" i="19"/>
  <c r="H316" i="19" s="1"/>
  <c r="H332" i="19" s="1"/>
  <c r="G274" i="19"/>
  <c r="F274" i="19"/>
  <c r="E274" i="19"/>
  <c r="J273" i="19"/>
  <c r="J315" i="19" s="1"/>
  <c r="J331" i="19" s="1"/>
  <c r="I273" i="19"/>
  <c r="I315" i="19" s="1"/>
  <c r="I331" i="19" s="1"/>
  <c r="H273" i="19"/>
  <c r="H315" i="19" s="1"/>
  <c r="H331" i="19" s="1"/>
  <c r="G273" i="19"/>
  <c r="F273" i="19"/>
  <c r="E273" i="19"/>
  <c r="J272" i="19"/>
  <c r="J314" i="19" s="1"/>
  <c r="J330" i="19" s="1"/>
  <c r="I272" i="19"/>
  <c r="I314" i="19" s="1"/>
  <c r="I330" i="19" s="1"/>
  <c r="H272" i="19"/>
  <c r="H314" i="19" s="1"/>
  <c r="H330" i="19" s="1"/>
  <c r="G272" i="19"/>
  <c r="F272" i="19"/>
  <c r="E272" i="19"/>
  <c r="J271" i="19"/>
  <c r="J313" i="19" s="1"/>
  <c r="J329" i="19" s="1"/>
  <c r="I271" i="19"/>
  <c r="I313" i="19" s="1"/>
  <c r="I329" i="19" s="1"/>
  <c r="H271" i="19"/>
  <c r="H313" i="19" s="1"/>
  <c r="H329" i="19" s="1"/>
  <c r="G271" i="19"/>
  <c r="F271" i="19"/>
  <c r="E271" i="19"/>
  <c r="J270" i="19"/>
  <c r="J312" i="19" s="1"/>
  <c r="J328" i="19" s="1"/>
  <c r="I270" i="19"/>
  <c r="I312" i="19" s="1"/>
  <c r="I328" i="19" s="1"/>
  <c r="H270" i="19"/>
  <c r="H312" i="19" s="1"/>
  <c r="H328" i="19" s="1"/>
  <c r="G270" i="19"/>
  <c r="F270" i="19"/>
  <c r="E270" i="19"/>
  <c r="J269" i="19"/>
  <c r="J311" i="19" s="1"/>
  <c r="J327" i="19" s="1"/>
  <c r="I269" i="19"/>
  <c r="I311" i="19" s="1"/>
  <c r="I327" i="19" s="1"/>
  <c r="H269" i="19"/>
  <c r="H311" i="19" s="1"/>
  <c r="H327" i="19" s="1"/>
  <c r="G269" i="19"/>
  <c r="F269" i="19"/>
  <c r="E269" i="19"/>
  <c r="J268" i="19"/>
  <c r="J310" i="19" s="1"/>
  <c r="J326" i="19" s="1"/>
  <c r="I268" i="19"/>
  <c r="I310" i="19" s="1"/>
  <c r="I326" i="19" s="1"/>
  <c r="H268" i="19"/>
  <c r="H310" i="19" s="1"/>
  <c r="H326" i="19" s="1"/>
  <c r="G268" i="19"/>
  <c r="F268" i="19"/>
  <c r="E268" i="19"/>
  <c r="J267" i="19"/>
  <c r="J309" i="19" s="1"/>
  <c r="J325" i="19" s="1"/>
  <c r="I267" i="19"/>
  <c r="I309" i="19" s="1"/>
  <c r="I325" i="19" s="1"/>
  <c r="H267" i="19"/>
  <c r="H309" i="19" s="1"/>
  <c r="H325" i="19" s="1"/>
  <c r="G267" i="19"/>
  <c r="F267" i="19"/>
  <c r="E267" i="19"/>
  <c r="J266" i="19"/>
  <c r="I266" i="19"/>
  <c r="H266" i="19"/>
  <c r="G266" i="19"/>
  <c r="F266" i="19"/>
  <c r="E266" i="19"/>
  <c r="J265" i="19"/>
  <c r="I265" i="19"/>
  <c r="H265" i="19"/>
  <c r="G265" i="19"/>
  <c r="F265" i="19"/>
  <c r="E265" i="19"/>
  <c r="J264" i="19"/>
  <c r="I264" i="19"/>
  <c r="H264" i="19"/>
  <c r="G264" i="19"/>
  <c r="F264" i="19"/>
  <c r="E264" i="19"/>
  <c r="J263" i="19"/>
  <c r="I263" i="19"/>
  <c r="H263" i="19"/>
  <c r="G263" i="19"/>
  <c r="F263" i="19"/>
  <c r="E263" i="19"/>
  <c r="J262" i="19"/>
  <c r="I262" i="19"/>
  <c r="H262" i="19"/>
  <c r="G262" i="19"/>
  <c r="F262" i="19"/>
  <c r="E262" i="19"/>
  <c r="J261" i="19"/>
  <c r="I261" i="19"/>
  <c r="H261" i="19"/>
  <c r="G261" i="19"/>
  <c r="F261" i="19"/>
  <c r="E261" i="19"/>
  <c r="J260" i="19"/>
  <c r="I260" i="19"/>
  <c r="H260" i="19"/>
  <c r="G260" i="19"/>
  <c r="F260" i="19"/>
  <c r="E260" i="19"/>
  <c r="J259" i="19"/>
  <c r="I259" i="19"/>
  <c r="H259" i="19"/>
  <c r="G259" i="19"/>
  <c r="F259" i="19"/>
  <c r="E259" i="19"/>
  <c r="J258" i="19"/>
  <c r="I258" i="19"/>
  <c r="H258" i="19"/>
  <c r="G258" i="19"/>
  <c r="F258" i="19"/>
  <c r="E258" i="19"/>
  <c r="J257" i="19"/>
  <c r="I257" i="19"/>
  <c r="H257" i="19"/>
  <c r="G257" i="19"/>
  <c r="F257" i="19"/>
  <c r="E257" i="19"/>
  <c r="J256" i="19"/>
  <c r="I256" i="19"/>
  <c r="H256" i="19"/>
  <c r="G256" i="19"/>
  <c r="F256" i="19"/>
  <c r="E256" i="19"/>
  <c r="J255" i="19"/>
  <c r="I255" i="19"/>
  <c r="H255" i="19"/>
  <c r="G255" i="19"/>
  <c r="F255" i="19"/>
  <c r="E255" i="19"/>
  <c r="J254" i="19"/>
  <c r="I254" i="19"/>
  <c r="H254" i="19"/>
  <c r="G254" i="19"/>
  <c r="F254" i="19"/>
  <c r="E254" i="19"/>
  <c r="J253" i="19"/>
  <c r="I253" i="19"/>
  <c r="H253" i="19"/>
  <c r="G253" i="19"/>
  <c r="F253" i="19"/>
  <c r="E253" i="19"/>
  <c r="J252" i="19"/>
  <c r="I252" i="19"/>
  <c r="H252" i="19"/>
  <c r="G252" i="19"/>
  <c r="F252" i="19"/>
  <c r="E252" i="19"/>
  <c r="J251" i="19"/>
  <c r="I251" i="19"/>
  <c r="H251" i="19"/>
  <c r="G251" i="19"/>
  <c r="F251" i="19"/>
  <c r="E251" i="19"/>
  <c r="J250" i="19"/>
  <c r="I250" i="19"/>
  <c r="H250" i="19"/>
  <c r="G250" i="19"/>
  <c r="F250" i="19"/>
  <c r="E250" i="19"/>
  <c r="J249" i="19"/>
  <c r="I249" i="19"/>
  <c r="H249" i="19"/>
  <c r="G249" i="19"/>
  <c r="F249" i="19"/>
  <c r="E249" i="19"/>
  <c r="J248" i="19"/>
  <c r="I248" i="19"/>
  <c r="H248" i="19"/>
  <c r="G248" i="19"/>
  <c r="F248" i="19"/>
  <c r="E248" i="19"/>
  <c r="J247" i="19"/>
  <c r="I247" i="19"/>
  <c r="H247" i="19"/>
  <c r="G247" i="19"/>
  <c r="F247" i="19"/>
  <c r="E247" i="19"/>
  <c r="J246" i="19"/>
  <c r="I246" i="19"/>
  <c r="H246" i="19"/>
  <c r="G246" i="19"/>
  <c r="F246" i="19"/>
  <c r="E246" i="19"/>
  <c r="J245" i="19"/>
  <c r="I245" i="19"/>
  <c r="H245" i="19"/>
  <c r="G245" i="19"/>
  <c r="F245" i="19"/>
  <c r="E245" i="19"/>
  <c r="J244" i="19"/>
  <c r="I244" i="19"/>
  <c r="H244" i="19"/>
  <c r="G244" i="19"/>
  <c r="F244" i="19"/>
  <c r="E244" i="19"/>
  <c r="J243" i="19"/>
  <c r="I243" i="19"/>
  <c r="H243" i="19"/>
  <c r="G243" i="19"/>
  <c r="F243" i="19"/>
  <c r="E243" i="19"/>
  <c r="J242" i="19"/>
  <c r="I242" i="19"/>
  <c r="H242" i="19"/>
  <c r="G242" i="19"/>
  <c r="F242" i="19"/>
  <c r="E242" i="19"/>
  <c r="J241" i="19"/>
  <c r="I241" i="19"/>
  <c r="H241" i="19"/>
  <c r="G241" i="19"/>
  <c r="F241" i="19"/>
  <c r="E241" i="19"/>
  <c r="J240" i="19"/>
  <c r="I240" i="19"/>
  <c r="H240" i="19"/>
  <c r="G240" i="19"/>
  <c r="F240" i="19"/>
  <c r="E240" i="19"/>
  <c r="J239" i="19"/>
  <c r="I239" i="19"/>
  <c r="H239" i="19"/>
  <c r="G239" i="19"/>
  <c r="F239" i="19"/>
  <c r="E239" i="19"/>
  <c r="J238" i="19"/>
  <c r="I238" i="19"/>
  <c r="H238" i="19"/>
  <c r="G238" i="19"/>
  <c r="F238" i="19"/>
  <c r="E238" i="19"/>
  <c r="J237" i="19"/>
  <c r="I237" i="19"/>
  <c r="H237" i="19"/>
  <c r="G237" i="19"/>
  <c r="F237" i="19"/>
  <c r="E237" i="19"/>
  <c r="J236" i="19"/>
  <c r="I236" i="19"/>
  <c r="H236" i="19"/>
  <c r="G236" i="19"/>
  <c r="F236" i="19"/>
  <c r="E236" i="19"/>
  <c r="J235" i="19"/>
  <c r="I235" i="19"/>
  <c r="H235" i="19"/>
  <c r="G235" i="19"/>
  <c r="F235" i="19"/>
  <c r="E235" i="19"/>
  <c r="J234" i="19"/>
  <c r="I234" i="19"/>
  <c r="H234" i="19"/>
  <c r="G234" i="19"/>
  <c r="F234" i="19"/>
  <c r="E234" i="19"/>
  <c r="J233" i="19"/>
  <c r="I233" i="19"/>
  <c r="H233" i="19"/>
  <c r="G233" i="19"/>
  <c r="F233" i="19"/>
  <c r="E233" i="19"/>
  <c r="J232" i="19"/>
  <c r="I232" i="19"/>
  <c r="H232" i="19"/>
  <c r="G232" i="19"/>
  <c r="F232" i="19"/>
  <c r="E232" i="19"/>
  <c r="J231" i="19"/>
  <c r="I231" i="19"/>
  <c r="H231" i="19"/>
  <c r="G231" i="19"/>
  <c r="F231" i="19"/>
  <c r="E231" i="19"/>
  <c r="J230" i="19"/>
  <c r="I230" i="19"/>
  <c r="H230" i="19"/>
  <c r="G230" i="19"/>
  <c r="F230" i="19"/>
  <c r="E230" i="19"/>
  <c r="J229" i="19"/>
  <c r="I229" i="19"/>
  <c r="H229" i="19"/>
  <c r="G229" i="19"/>
  <c r="F229" i="19"/>
  <c r="E229" i="19"/>
  <c r="J228" i="19"/>
  <c r="I228" i="19"/>
  <c r="H228" i="19"/>
  <c r="G228" i="19"/>
  <c r="F228" i="19"/>
  <c r="E228" i="19"/>
  <c r="J227" i="19"/>
  <c r="I227" i="19"/>
  <c r="H227" i="19"/>
  <c r="G227" i="19"/>
  <c r="F227" i="19"/>
  <c r="E227" i="19"/>
  <c r="J226" i="19"/>
  <c r="I226" i="19"/>
  <c r="H226" i="19"/>
  <c r="G226" i="19"/>
  <c r="F226" i="19"/>
  <c r="E226" i="19"/>
  <c r="J225" i="19"/>
  <c r="I225" i="19"/>
  <c r="H225" i="19"/>
  <c r="G225" i="19"/>
  <c r="F225" i="19"/>
  <c r="E225" i="19"/>
  <c r="J224" i="19"/>
  <c r="I224" i="19"/>
  <c r="H224" i="19"/>
  <c r="G224" i="19"/>
  <c r="F224" i="19"/>
  <c r="E224" i="19"/>
  <c r="J223" i="19"/>
  <c r="I223" i="19"/>
  <c r="H223" i="19"/>
  <c r="G223" i="19"/>
  <c r="F223" i="19"/>
  <c r="E223" i="19"/>
  <c r="J222" i="19"/>
  <c r="I222" i="19"/>
  <c r="H222" i="19"/>
  <c r="G222" i="19"/>
  <c r="F222" i="19"/>
  <c r="E222" i="19"/>
  <c r="J221" i="19"/>
  <c r="I221" i="19"/>
  <c r="H221" i="19"/>
  <c r="G221" i="19"/>
  <c r="F221" i="19"/>
  <c r="E221" i="19"/>
  <c r="J220" i="19"/>
  <c r="I220" i="19"/>
  <c r="H220" i="19"/>
  <c r="G220" i="19"/>
  <c r="F220" i="19"/>
  <c r="E220" i="19"/>
  <c r="J219" i="19"/>
  <c r="I219" i="19"/>
  <c r="H219" i="19"/>
  <c r="G219" i="19"/>
  <c r="F219" i="19"/>
  <c r="E219" i="19"/>
  <c r="J218" i="19"/>
  <c r="I218" i="19"/>
  <c r="H218" i="19"/>
  <c r="G218" i="19"/>
  <c r="F218" i="19"/>
  <c r="E218" i="19"/>
  <c r="J217" i="19"/>
  <c r="I217" i="19"/>
  <c r="H217" i="19"/>
  <c r="G217" i="19"/>
  <c r="F217" i="19"/>
  <c r="E217" i="19"/>
  <c r="J216" i="19"/>
  <c r="I216" i="19"/>
  <c r="H216" i="19"/>
  <c r="G216" i="19"/>
  <c r="F216" i="19"/>
  <c r="E216" i="19"/>
  <c r="J215" i="19"/>
  <c r="I215" i="19"/>
  <c r="H215" i="19"/>
  <c r="G215" i="19"/>
  <c r="F215" i="19"/>
  <c r="E215" i="19"/>
  <c r="J214" i="19"/>
  <c r="I214" i="19"/>
  <c r="H214" i="19"/>
  <c r="G214" i="19"/>
  <c r="F214" i="19"/>
  <c r="E214" i="19"/>
  <c r="J213" i="19"/>
  <c r="I213" i="19"/>
  <c r="H213" i="19"/>
  <c r="G213" i="19"/>
  <c r="F213" i="19"/>
  <c r="E213" i="19"/>
  <c r="J212" i="19"/>
  <c r="I212" i="19"/>
  <c r="H212" i="19"/>
  <c r="G212" i="19"/>
  <c r="F212" i="19"/>
  <c r="E212" i="19"/>
  <c r="J211" i="19"/>
  <c r="I211" i="19"/>
  <c r="H211" i="19"/>
  <c r="G211" i="19"/>
  <c r="F211" i="19"/>
  <c r="E211" i="19"/>
  <c r="J210" i="19"/>
  <c r="I210" i="19"/>
  <c r="H210" i="19"/>
  <c r="G210" i="19"/>
  <c r="F210" i="19"/>
  <c r="E210" i="19"/>
  <c r="J209" i="19"/>
  <c r="I209" i="19"/>
  <c r="H209" i="19"/>
  <c r="G209" i="19"/>
  <c r="F209" i="19"/>
  <c r="E209" i="19"/>
  <c r="J208" i="19"/>
  <c r="I208" i="19"/>
  <c r="H208" i="19"/>
  <c r="G208" i="19"/>
  <c r="F208" i="19"/>
  <c r="E208" i="19"/>
  <c r="J207" i="19"/>
  <c r="I207" i="19"/>
  <c r="H207" i="19"/>
  <c r="G207" i="19"/>
  <c r="F207" i="19"/>
  <c r="E207" i="19"/>
  <c r="J206" i="19"/>
  <c r="I206" i="19"/>
  <c r="H206" i="19"/>
  <c r="G206" i="19"/>
  <c r="F206" i="19"/>
  <c r="E206" i="19"/>
  <c r="J205" i="19"/>
  <c r="I205" i="19"/>
  <c r="H205" i="19"/>
  <c r="G205" i="19"/>
  <c r="F205" i="19"/>
  <c r="E205" i="19"/>
  <c r="J204" i="19"/>
  <c r="I204" i="19"/>
  <c r="H204" i="19"/>
  <c r="G204" i="19"/>
  <c r="F204" i="19"/>
  <c r="E204" i="19"/>
  <c r="J203" i="19"/>
  <c r="I203" i="19"/>
  <c r="H203" i="19"/>
  <c r="G203" i="19"/>
  <c r="F203" i="19"/>
  <c r="E203" i="19"/>
  <c r="J202" i="19"/>
  <c r="I202" i="19"/>
  <c r="H202" i="19"/>
  <c r="G202" i="19"/>
  <c r="F202" i="19"/>
  <c r="E202" i="19"/>
  <c r="J201" i="19"/>
  <c r="I201" i="19"/>
  <c r="H201" i="19"/>
  <c r="G201" i="19"/>
  <c r="F201" i="19"/>
  <c r="E201" i="19"/>
  <c r="J200" i="19"/>
  <c r="I200" i="19"/>
  <c r="H200" i="19"/>
  <c r="G200" i="19"/>
  <c r="F200" i="19"/>
  <c r="E200" i="19"/>
  <c r="J199" i="19"/>
  <c r="I199" i="19"/>
  <c r="H199" i="19"/>
  <c r="G199" i="19"/>
  <c r="F199" i="19"/>
  <c r="E199" i="19"/>
  <c r="J198" i="19"/>
  <c r="I198" i="19"/>
  <c r="H198" i="19"/>
  <c r="G198" i="19"/>
  <c r="F198" i="19"/>
  <c r="E198" i="19"/>
  <c r="J197" i="19"/>
  <c r="I197" i="19"/>
  <c r="H197" i="19"/>
  <c r="G197" i="19"/>
  <c r="F197" i="19"/>
  <c r="E197" i="19"/>
  <c r="J196" i="19"/>
  <c r="I196" i="19"/>
  <c r="H196" i="19"/>
  <c r="G196" i="19"/>
  <c r="F196" i="19"/>
  <c r="E196" i="19"/>
  <c r="J195" i="19"/>
  <c r="I195" i="19"/>
  <c r="H195" i="19"/>
  <c r="G195" i="19"/>
  <c r="F195" i="19"/>
  <c r="E195" i="19"/>
  <c r="J194" i="19"/>
  <c r="I194" i="19"/>
  <c r="H194" i="19"/>
  <c r="G194" i="19"/>
  <c r="F194" i="19"/>
  <c r="E194" i="19"/>
  <c r="J193" i="19"/>
  <c r="I193" i="19"/>
  <c r="H193" i="19"/>
  <c r="G193" i="19"/>
  <c r="F193" i="19"/>
  <c r="E193" i="19"/>
  <c r="J192" i="19"/>
  <c r="I192" i="19"/>
  <c r="H192" i="19"/>
  <c r="G192" i="19"/>
  <c r="F192" i="19"/>
  <c r="E192" i="19"/>
  <c r="J191" i="19"/>
  <c r="I191" i="19"/>
  <c r="H191" i="19"/>
  <c r="G191" i="19"/>
  <c r="F191" i="19"/>
  <c r="E191" i="19"/>
  <c r="J190" i="19"/>
  <c r="I190" i="19"/>
  <c r="H190" i="19"/>
  <c r="G190" i="19"/>
  <c r="F190" i="19"/>
  <c r="E190" i="19"/>
  <c r="J189" i="19"/>
  <c r="I189" i="19"/>
  <c r="H189" i="19"/>
  <c r="G189" i="19"/>
  <c r="F189" i="19"/>
  <c r="E189" i="19"/>
  <c r="J188" i="19"/>
  <c r="I188" i="19"/>
  <c r="H188" i="19"/>
  <c r="G188" i="19"/>
  <c r="F188" i="19"/>
  <c r="E188" i="19"/>
  <c r="J187" i="19"/>
  <c r="I187" i="19"/>
  <c r="H187" i="19"/>
  <c r="G187" i="19"/>
  <c r="F187" i="19"/>
  <c r="E187" i="19"/>
  <c r="J186" i="19"/>
  <c r="I186" i="19"/>
  <c r="H186" i="19"/>
  <c r="G186" i="19"/>
  <c r="F186" i="19"/>
  <c r="E186" i="19"/>
  <c r="J185" i="19"/>
  <c r="I185" i="19"/>
  <c r="H185" i="19"/>
  <c r="G185" i="19"/>
  <c r="F185" i="19"/>
  <c r="E185" i="19"/>
  <c r="J184" i="19"/>
  <c r="I184" i="19"/>
  <c r="H184" i="19"/>
  <c r="G184" i="19"/>
  <c r="F184" i="19"/>
  <c r="E184" i="19"/>
  <c r="J183" i="19"/>
  <c r="I183" i="19"/>
  <c r="H183" i="19"/>
  <c r="G183" i="19"/>
  <c r="F183" i="19"/>
  <c r="E183" i="19"/>
  <c r="J182" i="19"/>
  <c r="I182" i="19"/>
  <c r="H182" i="19"/>
  <c r="G182" i="19"/>
  <c r="F182" i="19"/>
  <c r="E182" i="19"/>
  <c r="J181" i="19"/>
  <c r="I181" i="19"/>
  <c r="H181" i="19"/>
  <c r="G181" i="19"/>
  <c r="F181" i="19"/>
  <c r="E181" i="19"/>
  <c r="J180" i="19"/>
  <c r="I180" i="19"/>
  <c r="H180" i="19"/>
  <c r="G180" i="19"/>
  <c r="F180" i="19"/>
  <c r="E180" i="19"/>
  <c r="J179" i="19"/>
  <c r="I179" i="19"/>
  <c r="H179" i="19"/>
  <c r="G179" i="19"/>
  <c r="F179" i="19"/>
  <c r="E179" i="19"/>
  <c r="J178" i="19"/>
  <c r="I178" i="19"/>
  <c r="H178" i="19"/>
  <c r="G178" i="19"/>
  <c r="F178" i="19"/>
  <c r="E178" i="19"/>
  <c r="J177" i="19"/>
  <c r="I177" i="19"/>
  <c r="H177" i="19"/>
  <c r="G177" i="19"/>
  <c r="F177" i="19"/>
  <c r="E177" i="19"/>
  <c r="J176" i="19"/>
  <c r="I176" i="19"/>
  <c r="H176" i="19"/>
  <c r="G176" i="19"/>
  <c r="F176" i="19"/>
  <c r="E176" i="19"/>
  <c r="J175" i="19"/>
  <c r="I175" i="19"/>
  <c r="H175" i="19"/>
  <c r="G175" i="19"/>
  <c r="F175" i="19"/>
  <c r="E175" i="19"/>
  <c r="J174" i="19"/>
  <c r="I174" i="19"/>
  <c r="H174" i="19"/>
  <c r="G174" i="19"/>
  <c r="F174" i="19"/>
  <c r="E174" i="19"/>
  <c r="J173" i="19"/>
  <c r="I173" i="19"/>
  <c r="H173" i="19"/>
  <c r="G173" i="19"/>
  <c r="F173" i="19"/>
  <c r="E173" i="19"/>
  <c r="J172" i="19"/>
  <c r="I172" i="19"/>
  <c r="H172" i="19"/>
  <c r="G172" i="19"/>
  <c r="F172" i="19"/>
  <c r="E172" i="19"/>
  <c r="J171" i="19"/>
  <c r="I171" i="19"/>
  <c r="H171" i="19"/>
  <c r="G171" i="19"/>
  <c r="F171" i="19"/>
  <c r="E171" i="19"/>
  <c r="J170" i="19"/>
  <c r="I170" i="19"/>
  <c r="H170" i="19"/>
  <c r="G170" i="19"/>
  <c r="F170" i="19"/>
  <c r="E170" i="19"/>
  <c r="J169" i="19"/>
  <c r="I169" i="19"/>
  <c r="H169" i="19"/>
  <c r="G169" i="19"/>
  <c r="F169" i="19"/>
  <c r="E169" i="19"/>
  <c r="J168" i="19"/>
  <c r="I168" i="19"/>
  <c r="H168" i="19"/>
  <c r="G168" i="19"/>
  <c r="F168" i="19"/>
  <c r="E168" i="19"/>
  <c r="J167" i="19"/>
  <c r="I167" i="19"/>
  <c r="H167" i="19"/>
  <c r="G167" i="19"/>
  <c r="F167" i="19"/>
  <c r="E167" i="19"/>
  <c r="J166" i="19"/>
  <c r="I166" i="19"/>
  <c r="H166" i="19"/>
  <c r="G166" i="19"/>
  <c r="F166" i="19"/>
  <c r="E166" i="19"/>
  <c r="J165" i="19"/>
  <c r="I165" i="19"/>
  <c r="H165" i="19"/>
  <c r="G165" i="19"/>
  <c r="F165" i="19"/>
  <c r="E165" i="19"/>
  <c r="J164" i="19"/>
  <c r="I164" i="19"/>
  <c r="H164" i="19"/>
  <c r="G164" i="19"/>
  <c r="F164" i="19"/>
  <c r="E164" i="19"/>
  <c r="J163" i="19"/>
  <c r="I163" i="19"/>
  <c r="H163" i="19"/>
  <c r="G163" i="19"/>
  <c r="F163" i="19"/>
  <c r="E163" i="19"/>
  <c r="J162" i="19"/>
  <c r="I162" i="19"/>
  <c r="H162" i="19"/>
  <c r="G162" i="19"/>
  <c r="F162" i="19"/>
  <c r="E162" i="19"/>
  <c r="J161" i="19"/>
  <c r="I161" i="19"/>
  <c r="H161" i="19"/>
  <c r="G161" i="19"/>
  <c r="F161" i="19"/>
  <c r="E161" i="19"/>
  <c r="J160" i="19"/>
  <c r="I160" i="19"/>
  <c r="H160" i="19"/>
  <c r="G160" i="19"/>
  <c r="F160" i="19"/>
  <c r="E160" i="19"/>
  <c r="J159" i="19"/>
  <c r="I159" i="19"/>
  <c r="H159" i="19"/>
  <c r="G159" i="19"/>
  <c r="F159" i="19"/>
  <c r="E159" i="19"/>
  <c r="J158" i="19"/>
  <c r="I158" i="19"/>
  <c r="H158" i="19"/>
  <c r="G158" i="19"/>
  <c r="F158" i="19"/>
  <c r="E158" i="19"/>
  <c r="J157" i="19"/>
  <c r="I157" i="19"/>
  <c r="H157" i="19"/>
  <c r="G157" i="19"/>
  <c r="F157" i="19"/>
  <c r="E157" i="19"/>
  <c r="J156" i="19"/>
  <c r="I156" i="19"/>
  <c r="H156" i="19"/>
  <c r="G156" i="19"/>
  <c r="F156" i="19"/>
  <c r="E156" i="19"/>
  <c r="J155" i="19"/>
  <c r="I155" i="19"/>
  <c r="H155" i="19"/>
  <c r="G155" i="19"/>
  <c r="F155" i="19"/>
  <c r="E155" i="19"/>
  <c r="J154" i="19"/>
  <c r="I154" i="19"/>
  <c r="H154" i="19"/>
  <c r="G154" i="19"/>
  <c r="F154" i="19"/>
  <c r="E154" i="19"/>
  <c r="J153" i="19"/>
  <c r="I153" i="19"/>
  <c r="H153" i="19"/>
  <c r="G153" i="19"/>
  <c r="F153" i="19"/>
  <c r="E153" i="19"/>
  <c r="J152" i="19"/>
  <c r="I152" i="19"/>
  <c r="H152" i="19"/>
  <c r="G152" i="19"/>
  <c r="F152" i="19"/>
  <c r="E152" i="19"/>
  <c r="J151" i="19"/>
  <c r="I151" i="19"/>
  <c r="H151" i="19"/>
  <c r="G151" i="19"/>
  <c r="F151" i="19"/>
  <c r="E151" i="19"/>
  <c r="J150" i="19"/>
  <c r="I150" i="19"/>
  <c r="H150" i="19"/>
  <c r="G150" i="19"/>
  <c r="F150" i="19"/>
  <c r="E150" i="19"/>
  <c r="J149" i="19"/>
  <c r="I149" i="19"/>
  <c r="H149" i="19"/>
  <c r="G149" i="19"/>
  <c r="F149" i="19"/>
  <c r="E149" i="19"/>
  <c r="J148" i="19"/>
  <c r="I148" i="19"/>
  <c r="H148" i="19"/>
  <c r="G148" i="19"/>
  <c r="F148" i="19"/>
  <c r="E148" i="19"/>
  <c r="J147" i="19"/>
  <c r="I147" i="19"/>
  <c r="H147" i="19"/>
  <c r="G147" i="19"/>
  <c r="F147" i="19"/>
  <c r="E147" i="19"/>
  <c r="J146" i="19"/>
  <c r="I146" i="19"/>
  <c r="H146" i="19"/>
  <c r="G146" i="19"/>
  <c r="F146" i="19"/>
  <c r="E146" i="19"/>
  <c r="J145" i="19"/>
  <c r="I145" i="19"/>
  <c r="H145" i="19"/>
  <c r="G145" i="19"/>
  <c r="F145" i="19"/>
  <c r="E145" i="19"/>
  <c r="J144" i="19"/>
  <c r="I144" i="19"/>
  <c r="H144" i="19"/>
  <c r="G144" i="19"/>
  <c r="F144" i="19"/>
  <c r="E144" i="19"/>
  <c r="J143" i="19"/>
  <c r="I143" i="19"/>
  <c r="H143" i="19"/>
  <c r="G143" i="19"/>
  <c r="F143" i="19"/>
  <c r="E143" i="19"/>
  <c r="J142" i="19"/>
  <c r="I142" i="19"/>
  <c r="H142" i="19"/>
  <c r="G142" i="19"/>
  <c r="F142" i="19"/>
  <c r="E142" i="19"/>
  <c r="J141" i="19"/>
  <c r="I141" i="19"/>
  <c r="H141" i="19"/>
  <c r="G141" i="19"/>
  <c r="F141" i="19"/>
  <c r="E141" i="19"/>
  <c r="J140" i="19"/>
  <c r="I140" i="19"/>
  <c r="H140" i="19"/>
  <c r="G140" i="19"/>
  <c r="F140" i="19"/>
  <c r="E140" i="19"/>
  <c r="J139" i="19"/>
  <c r="I139" i="19"/>
  <c r="H139" i="19"/>
  <c r="G139" i="19"/>
  <c r="F139" i="19"/>
  <c r="E139" i="19"/>
  <c r="J138" i="19"/>
  <c r="I138" i="19"/>
  <c r="H138" i="19"/>
  <c r="G138" i="19"/>
  <c r="F138" i="19"/>
  <c r="E138" i="19"/>
  <c r="J137" i="19"/>
  <c r="I137" i="19"/>
  <c r="H137" i="19"/>
  <c r="G137" i="19"/>
  <c r="F137" i="19"/>
  <c r="E137" i="19"/>
  <c r="J136" i="19"/>
  <c r="I136" i="19"/>
  <c r="H136" i="19"/>
  <c r="G136" i="19"/>
  <c r="F136" i="19"/>
  <c r="E136" i="19"/>
  <c r="J135" i="19"/>
  <c r="I135" i="19"/>
  <c r="H135" i="19"/>
  <c r="G135" i="19"/>
  <c r="F135" i="19"/>
  <c r="E135" i="19"/>
  <c r="J134" i="19"/>
  <c r="I134" i="19"/>
  <c r="H134" i="19"/>
  <c r="G134" i="19"/>
  <c r="F134" i="19"/>
  <c r="E134" i="19"/>
  <c r="J133" i="19"/>
  <c r="I133" i="19"/>
  <c r="H133" i="19"/>
  <c r="G133" i="19"/>
  <c r="F133" i="19"/>
  <c r="E133" i="19"/>
  <c r="J132" i="19"/>
  <c r="I132" i="19"/>
  <c r="H132" i="19"/>
  <c r="G132" i="19"/>
  <c r="F132" i="19"/>
  <c r="E132" i="19"/>
  <c r="J131" i="19"/>
  <c r="I131" i="19"/>
  <c r="H131" i="19"/>
  <c r="G131" i="19"/>
  <c r="F131" i="19"/>
  <c r="E131" i="19"/>
  <c r="J130" i="19"/>
  <c r="I130" i="19"/>
  <c r="H130" i="19"/>
  <c r="G130" i="19"/>
  <c r="F130" i="19"/>
  <c r="E130" i="19"/>
  <c r="J129" i="19"/>
  <c r="I129" i="19"/>
  <c r="H129" i="19"/>
  <c r="G129" i="19"/>
  <c r="F129" i="19"/>
  <c r="E129" i="19"/>
  <c r="J128" i="19"/>
  <c r="I128" i="19"/>
  <c r="H128" i="19"/>
  <c r="G128" i="19"/>
  <c r="F128" i="19"/>
  <c r="E128" i="19"/>
  <c r="J127" i="19"/>
  <c r="I127" i="19"/>
  <c r="H127" i="19"/>
  <c r="G127" i="19"/>
  <c r="F127" i="19"/>
  <c r="E127" i="19"/>
  <c r="J126" i="19"/>
  <c r="I126" i="19"/>
  <c r="H126" i="19"/>
  <c r="G126" i="19"/>
  <c r="F126" i="19"/>
  <c r="E126" i="19"/>
  <c r="J125" i="19"/>
  <c r="I125" i="19"/>
  <c r="H125" i="19"/>
  <c r="G125" i="19"/>
  <c r="F125" i="19"/>
  <c r="E125" i="19"/>
  <c r="J124" i="19"/>
  <c r="I124" i="19"/>
  <c r="H124" i="19"/>
  <c r="G124" i="19"/>
  <c r="F124" i="19"/>
  <c r="E124" i="19"/>
  <c r="J123" i="19"/>
  <c r="I123" i="19"/>
  <c r="H123" i="19"/>
  <c r="G123" i="19"/>
  <c r="F123" i="19"/>
  <c r="E123" i="19"/>
  <c r="J122" i="19"/>
  <c r="I122" i="19"/>
  <c r="H122" i="19"/>
  <c r="G122" i="19"/>
  <c r="F122" i="19"/>
  <c r="E122" i="19"/>
  <c r="J121" i="19"/>
  <c r="I121" i="19"/>
  <c r="H121" i="19"/>
  <c r="G121" i="19"/>
  <c r="F121" i="19"/>
  <c r="E121" i="19"/>
  <c r="J120" i="19"/>
  <c r="I120" i="19"/>
  <c r="H120" i="19"/>
  <c r="G120" i="19"/>
  <c r="F120" i="19"/>
  <c r="E120" i="19"/>
  <c r="J119" i="19"/>
  <c r="I119" i="19"/>
  <c r="H119" i="19"/>
  <c r="G119" i="19"/>
  <c r="F119" i="19"/>
  <c r="E119" i="19"/>
  <c r="J118" i="19"/>
  <c r="I118" i="19"/>
  <c r="H118" i="19"/>
  <c r="G118" i="19"/>
  <c r="F118" i="19"/>
  <c r="E118" i="19"/>
  <c r="J117" i="19"/>
  <c r="I117" i="19"/>
  <c r="H117" i="19"/>
  <c r="G117" i="19"/>
  <c r="F117" i="19"/>
  <c r="E117" i="19"/>
  <c r="J116" i="19"/>
  <c r="I116" i="19"/>
  <c r="H116" i="19"/>
  <c r="G116" i="19"/>
  <c r="F116" i="19"/>
  <c r="E116" i="19"/>
  <c r="J115" i="19"/>
  <c r="I115" i="19"/>
  <c r="H115" i="19"/>
  <c r="G115" i="19"/>
  <c r="F115" i="19"/>
  <c r="E115" i="19"/>
  <c r="J114" i="19"/>
  <c r="I114" i="19"/>
  <c r="H114" i="19"/>
  <c r="G114" i="19"/>
  <c r="F114" i="19"/>
  <c r="E114" i="19"/>
  <c r="J113" i="19"/>
  <c r="I113" i="19"/>
  <c r="H113" i="19"/>
  <c r="G113" i="19"/>
  <c r="F113" i="19"/>
  <c r="E113" i="19"/>
  <c r="J112" i="19"/>
  <c r="I112" i="19"/>
  <c r="H112" i="19"/>
  <c r="G112" i="19"/>
  <c r="F112" i="19"/>
  <c r="E112" i="19"/>
  <c r="J111" i="19"/>
  <c r="I111" i="19"/>
  <c r="H111" i="19"/>
  <c r="G111" i="19"/>
  <c r="F111" i="19"/>
  <c r="E111" i="19"/>
  <c r="J110" i="19"/>
  <c r="I110" i="19"/>
  <c r="H110" i="19"/>
  <c r="G110" i="19"/>
  <c r="F110" i="19"/>
  <c r="E110" i="19"/>
  <c r="J109" i="19"/>
  <c r="I109" i="19"/>
  <c r="H109" i="19"/>
  <c r="G109" i="19"/>
  <c r="F109" i="19"/>
  <c r="E109" i="19"/>
  <c r="J108" i="19"/>
  <c r="I108" i="19"/>
  <c r="H108" i="19"/>
  <c r="G108" i="19"/>
  <c r="F108" i="19"/>
  <c r="E108" i="19"/>
  <c r="J107" i="19"/>
  <c r="I107" i="19"/>
  <c r="H107" i="19"/>
  <c r="G107" i="19"/>
  <c r="F107" i="19"/>
  <c r="E107" i="19"/>
  <c r="J106" i="19"/>
  <c r="I106" i="19"/>
  <c r="H106" i="19"/>
  <c r="G106" i="19"/>
  <c r="F106" i="19"/>
  <c r="E106" i="19"/>
  <c r="J105" i="19"/>
  <c r="I105" i="19"/>
  <c r="H105" i="19"/>
  <c r="G105" i="19"/>
  <c r="F105" i="19"/>
  <c r="E105" i="19"/>
  <c r="J104" i="19"/>
  <c r="I104" i="19"/>
  <c r="H104" i="19"/>
  <c r="G104" i="19"/>
  <c r="F104" i="19"/>
  <c r="E104" i="19"/>
  <c r="J103" i="19"/>
  <c r="I103" i="19"/>
  <c r="H103" i="19"/>
  <c r="G103" i="19"/>
  <c r="F103" i="19"/>
  <c r="E103" i="19"/>
  <c r="J102" i="19"/>
  <c r="I102" i="19"/>
  <c r="H102" i="19"/>
  <c r="G102" i="19"/>
  <c r="F102" i="19"/>
  <c r="E102" i="19"/>
  <c r="J101" i="19"/>
  <c r="I101" i="19"/>
  <c r="H101" i="19"/>
  <c r="G101" i="19"/>
  <c r="F101" i="19"/>
  <c r="E101" i="19"/>
  <c r="J100" i="19"/>
  <c r="I100" i="19"/>
  <c r="H100" i="19"/>
  <c r="G100" i="19"/>
  <c r="F100" i="19"/>
  <c r="E100" i="19"/>
  <c r="J99" i="19"/>
  <c r="I99" i="19"/>
  <c r="H99" i="19"/>
  <c r="G99" i="19"/>
  <c r="F99" i="19"/>
  <c r="E99" i="19"/>
  <c r="J98" i="19"/>
  <c r="I98" i="19"/>
  <c r="H98" i="19"/>
  <c r="G98" i="19"/>
  <c r="F98" i="19"/>
  <c r="E98" i="19"/>
  <c r="J97" i="19"/>
  <c r="I97" i="19"/>
  <c r="H97" i="19"/>
  <c r="G97" i="19"/>
  <c r="F97" i="19"/>
  <c r="E97" i="19"/>
  <c r="J96" i="19"/>
  <c r="I96" i="19"/>
  <c r="H96" i="19"/>
  <c r="G96" i="19"/>
  <c r="F96" i="19"/>
  <c r="E96" i="19"/>
  <c r="J95" i="19"/>
  <c r="I95" i="19"/>
  <c r="H95" i="19"/>
  <c r="G95" i="19"/>
  <c r="F95" i="19"/>
  <c r="E95" i="19"/>
  <c r="J94" i="19"/>
  <c r="I94" i="19"/>
  <c r="H94" i="19"/>
  <c r="G94" i="19"/>
  <c r="F94" i="19"/>
  <c r="E94" i="19"/>
  <c r="J93" i="19"/>
  <c r="I93" i="19"/>
  <c r="H93" i="19"/>
  <c r="G93" i="19"/>
  <c r="F93" i="19"/>
  <c r="E93" i="19"/>
  <c r="J92" i="19"/>
  <c r="I92" i="19"/>
  <c r="H92" i="19"/>
  <c r="G92" i="19"/>
  <c r="F92" i="19"/>
  <c r="E92" i="19"/>
  <c r="J91" i="19"/>
  <c r="I91" i="19"/>
  <c r="H91" i="19"/>
  <c r="G91" i="19"/>
  <c r="F91" i="19"/>
  <c r="E91" i="19"/>
  <c r="J90" i="19"/>
  <c r="I90" i="19"/>
  <c r="H90" i="19"/>
  <c r="G90" i="19"/>
  <c r="F90" i="19"/>
  <c r="E90" i="19"/>
  <c r="J89" i="19"/>
  <c r="I89" i="19"/>
  <c r="H89" i="19"/>
  <c r="G89" i="19"/>
  <c r="F89" i="19"/>
  <c r="E89" i="19"/>
  <c r="J88" i="19"/>
  <c r="I88" i="19"/>
  <c r="H88" i="19"/>
  <c r="G88" i="19"/>
  <c r="F88" i="19"/>
  <c r="E88" i="19"/>
  <c r="J87" i="19"/>
  <c r="I87" i="19"/>
  <c r="H87" i="19"/>
  <c r="G87" i="19"/>
  <c r="F87" i="19"/>
  <c r="E87" i="19"/>
  <c r="J86" i="19"/>
  <c r="I86" i="19"/>
  <c r="H86" i="19"/>
  <c r="G86" i="19"/>
  <c r="F86" i="19"/>
  <c r="E86" i="19"/>
  <c r="J85" i="19"/>
  <c r="I85" i="19"/>
  <c r="H85" i="19"/>
  <c r="G85" i="19"/>
  <c r="F85" i="19"/>
  <c r="E85" i="19"/>
  <c r="J84" i="19"/>
  <c r="I84" i="19"/>
  <c r="H84" i="19"/>
  <c r="G84" i="19"/>
  <c r="F84" i="19"/>
  <c r="E84" i="19"/>
  <c r="J83" i="19"/>
  <c r="I83" i="19"/>
  <c r="H83" i="19"/>
  <c r="G83" i="19"/>
  <c r="F83" i="19"/>
  <c r="E83" i="19"/>
  <c r="J82" i="19"/>
  <c r="I82" i="19"/>
  <c r="H82" i="19"/>
  <c r="G82" i="19"/>
  <c r="F82" i="19"/>
  <c r="E82" i="19"/>
  <c r="J81" i="19"/>
  <c r="I81" i="19"/>
  <c r="H81" i="19"/>
  <c r="G81" i="19"/>
  <c r="F81" i="19"/>
  <c r="E81" i="19"/>
  <c r="J80" i="19"/>
  <c r="I80" i="19"/>
  <c r="H80" i="19"/>
  <c r="G80" i="19"/>
  <c r="F80" i="19"/>
  <c r="E80" i="19"/>
  <c r="J79" i="19"/>
  <c r="I79" i="19"/>
  <c r="H79" i="19"/>
  <c r="G79" i="19"/>
  <c r="F79" i="19"/>
  <c r="E79" i="19"/>
  <c r="J78" i="19"/>
  <c r="I78" i="19"/>
  <c r="H78" i="19"/>
  <c r="G78" i="19"/>
  <c r="F78" i="19"/>
  <c r="E78" i="19"/>
  <c r="J77" i="19"/>
  <c r="I77" i="19"/>
  <c r="H77" i="19"/>
  <c r="G77" i="19"/>
  <c r="F77" i="19"/>
  <c r="E77" i="19"/>
  <c r="J76" i="19"/>
  <c r="I76" i="19"/>
  <c r="H76" i="19"/>
  <c r="G76" i="19"/>
  <c r="F76" i="19"/>
  <c r="E76" i="19"/>
  <c r="J75" i="19"/>
  <c r="I75" i="19"/>
  <c r="H75" i="19"/>
  <c r="G75" i="19"/>
  <c r="F75" i="19"/>
  <c r="E75" i="19"/>
  <c r="J74" i="19"/>
  <c r="I74" i="19"/>
  <c r="H74" i="19"/>
  <c r="G74" i="19"/>
  <c r="F74" i="19"/>
  <c r="E74" i="19"/>
  <c r="J73" i="19"/>
  <c r="I73" i="19"/>
  <c r="H73" i="19"/>
  <c r="G73" i="19"/>
  <c r="F73" i="19"/>
  <c r="E73" i="19"/>
  <c r="J72" i="19"/>
  <c r="I72" i="19"/>
  <c r="H72" i="19"/>
  <c r="G72" i="19"/>
  <c r="F72" i="19"/>
  <c r="E72" i="19"/>
  <c r="J71" i="19"/>
  <c r="I71" i="19"/>
  <c r="H71" i="19"/>
  <c r="G71" i="19"/>
  <c r="F71" i="19"/>
  <c r="E71" i="19"/>
  <c r="J70" i="19"/>
  <c r="I70" i="19"/>
  <c r="H70" i="19"/>
  <c r="G70" i="19"/>
  <c r="F70" i="19"/>
  <c r="E70" i="19"/>
  <c r="J69" i="19"/>
  <c r="I69" i="19"/>
  <c r="H69" i="19"/>
  <c r="G69" i="19"/>
  <c r="F69" i="19"/>
  <c r="E69" i="19"/>
  <c r="J68" i="19"/>
  <c r="I68" i="19"/>
  <c r="H68" i="19"/>
  <c r="G68" i="19"/>
  <c r="F68" i="19"/>
  <c r="E68" i="19"/>
  <c r="J67" i="19"/>
  <c r="I67" i="19"/>
  <c r="H67" i="19"/>
  <c r="G67" i="19"/>
  <c r="F67" i="19"/>
  <c r="E67" i="19"/>
  <c r="J66" i="19"/>
  <c r="I66" i="19"/>
  <c r="H66" i="19"/>
  <c r="G66" i="19"/>
  <c r="F66" i="19"/>
  <c r="E66" i="19"/>
  <c r="J65" i="19"/>
  <c r="I65" i="19"/>
  <c r="H65" i="19"/>
  <c r="G65" i="19"/>
  <c r="F65" i="19"/>
  <c r="E65" i="19"/>
  <c r="J64" i="19"/>
  <c r="I64" i="19"/>
  <c r="H64" i="19"/>
  <c r="G64" i="19"/>
  <c r="F64" i="19"/>
  <c r="E64" i="19"/>
  <c r="J63" i="19"/>
  <c r="I63" i="19"/>
  <c r="H63" i="19"/>
  <c r="G63" i="19"/>
  <c r="F63" i="19"/>
  <c r="E63" i="19"/>
  <c r="J62" i="19"/>
  <c r="I62" i="19"/>
  <c r="G62" i="19"/>
  <c r="F62" i="19"/>
  <c r="E62" i="19"/>
  <c r="J61" i="19"/>
  <c r="I61" i="19"/>
  <c r="G61" i="19"/>
  <c r="F61" i="19"/>
  <c r="E61" i="19"/>
  <c r="J60" i="19"/>
  <c r="I60" i="19"/>
  <c r="G60" i="19"/>
  <c r="F60" i="19"/>
  <c r="E60" i="19"/>
  <c r="J59" i="19"/>
  <c r="I59" i="19"/>
  <c r="G59" i="19"/>
  <c r="F59" i="19"/>
  <c r="E59" i="19"/>
  <c r="J58" i="19"/>
  <c r="I58" i="19"/>
  <c r="G58" i="19"/>
  <c r="F58" i="19"/>
  <c r="E58" i="19"/>
  <c r="J57" i="19"/>
  <c r="I57" i="19"/>
  <c r="G57" i="19"/>
  <c r="F57" i="19"/>
  <c r="E57" i="19"/>
  <c r="J56" i="19"/>
  <c r="I56" i="19"/>
  <c r="G56" i="19"/>
  <c r="F56" i="19"/>
  <c r="E56" i="19"/>
  <c r="J55" i="19"/>
  <c r="I55" i="19"/>
  <c r="G55" i="19"/>
  <c r="F55" i="19"/>
  <c r="E55" i="19"/>
  <c r="J54" i="19"/>
  <c r="I54" i="19"/>
  <c r="G54" i="19"/>
  <c r="F54" i="19"/>
  <c r="E54" i="19"/>
  <c r="J53" i="19"/>
  <c r="I53" i="19"/>
  <c r="G53" i="19"/>
  <c r="F53" i="19"/>
  <c r="E53" i="19"/>
  <c r="J52" i="19"/>
  <c r="I52" i="19"/>
  <c r="G52" i="19"/>
  <c r="F52" i="19"/>
  <c r="E52" i="19"/>
  <c r="J51" i="19"/>
  <c r="I51" i="19"/>
  <c r="G51" i="19"/>
  <c r="F51" i="19"/>
  <c r="J50" i="19"/>
  <c r="I50" i="19"/>
  <c r="H50" i="19"/>
  <c r="G50" i="19"/>
  <c r="F50" i="19"/>
  <c r="E50" i="19"/>
  <c r="J49" i="19"/>
  <c r="I49" i="19"/>
  <c r="H49" i="19"/>
  <c r="G49" i="19"/>
  <c r="F49" i="19"/>
  <c r="E49" i="19"/>
  <c r="J48" i="19"/>
  <c r="I48" i="19"/>
  <c r="H48" i="19"/>
  <c r="G48" i="19"/>
  <c r="F48" i="19"/>
  <c r="E48" i="19"/>
  <c r="J47" i="19"/>
  <c r="I47" i="19"/>
  <c r="H47" i="19"/>
  <c r="G47" i="19"/>
  <c r="F47" i="19"/>
  <c r="E47" i="19"/>
  <c r="J46" i="19"/>
  <c r="I46" i="19"/>
  <c r="H46" i="19"/>
  <c r="G46" i="19"/>
  <c r="F46" i="19"/>
  <c r="E46" i="19"/>
  <c r="J45" i="19"/>
  <c r="I45" i="19"/>
  <c r="H45" i="19"/>
  <c r="G45" i="19"/>
  <c r="F45" i="19"/>
  <c r="E45" i="19"/>
  <c r="J44" i="19"/>
  <c r="I44" i="19"/>
  <c r="H44" i="19"/>
  <c r="G44" i="19"/>
  <c r="F44" i="19"/>
  <c r="E44" i="19"/>
  <c r="J43" i="19"/>
  <c r="I43" i="19"/>
  <c r="H43" i="19"/>
  <c r="G43" i="19"/>
  <c r="F43" i="19"/>
  <c r="E43" i="19"/>
  <c r="J42" i="19"/>
  <c r="I42" i="19"/>
  <c r="H42" i="19"/>
  <c r="G42" i="19"/>
  <c r="F42" i="19"/>
  <c r="E42" i="19"/>
  <c r="J41" i="19"/>
  <c r="I41" i="19"/>
  <c r="H41" i="19"/>
  <c r="G41" i="19"/>
  <c r="F41" i="19"/>
  <c r="E41" i="19"/>
  <c r="J40" i="19"/>
  <c r="I40" i="19"/>
  <c r="H40" i="19"/>
  <c r="G40" i="19"/>
  <c r="F40" i="19"/>
  <c r="E40" i="19"/>
  <c r="J39" i="19"/>
  <c r="I39" i="19"/>
  <c r="H39" i="19"/>
  <c r="G39" i="19"/>
  <c r="F39" i="19"/>
  <c r="E39" i="19"/>
  <c r="J38" i="19"/>
  <c r="I38" i="19"/>
  <c r="H38" i="19"/>
  <c r="G38" i="19"/>
  <c r="F38" i="19"/>
  <c r="E38" i="19"/>
  <c r="J37" i="19"/>
  <c r="I37" i="19"/>
  <c r="H37" i="19"/>
  <c r="G37" i="19"/>
  <c r="F37" i="19"/>
  <c r="E37" i="19"/>
  <c r="J36" i="19"/>
  <c r="I36" i="19"/>
  <c r="H36" i="19"/>
  <c r="G36" i="19"/>
  <c r="F36" i="19"/>
  <c r="E36" i="19"/>
  <c r="J35" i="19"/>
  <c r="I35" i="19"/>
  <c r="H35" i="19"/>
  <c r="G35" i="19"/>
  <c r="F35" i="19"/>
  <c r="E35" i="19"/>
  <c r="J34" i="19"/>
  <c r="I34" i="19"/>
  <c r="H34" i="19"/>
  <c r="G34" i="19"/>
  <c r="F34" i="19"/>
  <c r="E34" i="19"/>
  <c r="J33" i="19"/>
  <c r="I33" i="19"/>
  <c r="H33" i="19"/>
  <c r="G33" i="19"/>
  <c r="F33" i="19"/>
  <c r="E33" i="19"/>
  <c r="J32" i="19"/>
  <c r="I32" i="19"/>
  <c r="H32" i="19"/>
  <c r="G32" i="19"/>
  <c r="F32" i="19"/>
  <c r="E32" i="19"/>
  <c r="J31" i="19"/>
  <c r="I31" i="19"/>
  <c r="H31" i="19"/>
  <c r="G31" i="19"/>
  <c r="F31" i="19"/>
  <c r="E31" i="19"/>
  <c r="J30" i="19"/>
  <c r="I30" i="19"/>
  <c r="H30" i="19"/>
  <c r="G30" i="19"/>
  <c r="F30" i="19"/>
  <c r="E30" i="19"/>
  <c r="J29" i="19"/>
  <c r="I29" i="19"/>
  <c r="H29" i="19"/>
  <c r="G29" i="19"/>
  <c r="F29" i="19"/>
  <c r="E29" i="19"/>
  <c r="J28" i="19"/>
  <c r="I28" i="19"/>
  <c r="H28" i="19"/>
  <c r="G28" i="19"/>
  <c r="F28" i="19"/>
  <c r="E28" i="19"/>
  <c r="J27" i="19"/>
  <c r="I27" i="19"/>
  <c r="H27" i="19"/>
  <c r="G27" i="19"/>
  <c r="F27" i="19"/>
  <c r="E27" i="19"/>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4" i="19"/>
  <c r="I14" i="19"/>
  <c r="H14" i="19"/>
  <c r="G14" i="19"/>
  <c r="F14" i="19"/>
  <c r="E14" i="19"/>
  <c r="J13" i="19"/>
  <c r="I13" i="19"/>
  <c r="H13" i="19"/>
  <c r="G13" i="19"/>
  <c r="F13" i="19"/>
  <c r="E13" i="19"/>
  <c r="J12" i="19"/>
  <c r="I12" i="19"/>
  <c r="H12" i="19"/>
  <c r="G12" i="19"/>
  <c r="F12" i="19"/>
  <c r="E12" i="19"/>
  <c r="J11" i="19"/>
  <c r="I11" i="19"/>
  <c r="H11" i="19"/>
  <c r="G11" i="19"/>
  <c r="F11" i="19"/>
  <c r="E11" i="19"/>
  <c r="J10" i="19"/>
  <c r="I10" i="19"/>
  <c r="H10" i="19"/>
  <c r="G10" i="19"/>
  <c r="F10" i="19"/>
  <c r="E10" i="19"/>
  <c r="J9" i="19"/>
  <c r="I9" i="19"/>
  <c r="H9" i="19"/>
  <c r="G9" i="19"/>
  <c r="F9" i="19"/>
  <c r="E9" i="19"/>
  <c r="J8" i="19"/>
  <c r="I8" i="19"/>
  <c r="H8" i="19"/>
  <c r="G8" i="19"/>
  <c r="F8" i="19"/>
  <c r="E8" i="19"/>
  <c r="J7" i="19"/>
  <c r="I7" i="19"/>
  <c r="H7" i="19"/>
  <c r="G7" i="19"/>
  <c r="F7" i="19"/>
  <c r="E7" i="19"/>
  <c r="J6" i="19"/>
  <c r="I6" i="19"/>
  <c r="H6" i="19"/>
  <c r="G6" i="19"/>
  <c r="F6" i="19"/>
  <c r="E6" i="19"/>
  <c r="J5" i="19"/>
  <c r="I5" i="19"/>
  <c r="H5" i="19"/>
  <c r="G5" i="19"/>
  <c r="F5" i="19"/>
  <c r="E5" i="19"/>
  <c r="J4" i="19"/>
  <c r="I4" i="19"/>
  <c r="H4" i="19"/>
  <c r="G4" i="19"/>
  <c r="F4" i="19"/>
  <c r="E4" i="19"/>
  <c r="M15" i="17" l="1"/>
  <c r="V20" i="36"/>
  <c r="U20" i="36"/>
  <c r="T20" i="36"/>
  <c r="S20" i="36"/>
  <c r="R20" i="36"/>
  <c r="Q20" i="36"/>
  <c r="P20" i="36"/>
  <c r="O20" i="36"/>
  <c r="N20" i="36"/>
  <c r="M20" i="36"/>
  <c r="L20" i="36"/>
  <c r="K20" i="36"/>
  <c r="J20" i="36"/>
  <c r="I20" i="36"/>
  <c r="H20" i="36"/>
  <c r="G20" i="36"/>
  <c r="F20" i="36"/>
  <c r="E20" i="36"/>
  <c r="D20" i="36"/>
  <c r="C20" i="36"/>
  <c r="B20" i="36"/>
  <c r="V16" i="36"/>
  <c r="U16" i="36"/>
  <c r="T16" i="36"/>
  <c r="S16" i="36"/>
  <c r="R16" i="36"/>
  <c r="Q16" i="36"/>
  <c r="P16" i="36"/>
  <c r="O16" i="36"/>
  <c r="N16" i="36"/>
  <c r="M16" i="36"/>
  <c r="L16" i="36"/>
  <c r="K16" i="36"/>
  <c r="J16" i="36"/>
  <c r="I16" i="36"/>
  <c r="H16" i="36"/>
  <c r="G16" i="36"/>
  <c r="F16" i="36"/>
  <c r="E16" i="36"/>
  <c r="D16" i="36"/>
  <c r="C16" i="36"/>
  <c r="B16" i="36"/>
  <c r="V13" i="36"/>
  <c r="U13" i="36"/>
  <c r="T13" i="36"/>
  <c r="S13" i="36"/>
  <c r="R13" i="36"/>
  <c r="Q13" i="36"/>
  <c r="P13" i="36"/>
  <c r="O13" i="36"/>
  <c r="N13" i="36"/>
  <c r="M13" i="36"/>
  <c r="L13" i="36"/>
  <c r="K13" i="36"/>
  <c r="J13" i="36"/>
  <c r="I13" i="36"/>
  <c r="H13" i="36"/>
  <c r="G13" i="36"/>
  <c r="F13" i="36"/>
  <c r="E13" i="36"/>
  <c r="D13" i="36"/>
  <c r="C13" i="36"/>
  <c r="W10" i="36"/>
  <c r="V10" i="36"/>
  <c r="U10" i="36"/>
  <c r="T10" i="36"/>
  <c r="S10" i="36"/>
  <c r="R10" i="36"/>
  <c r="Q10" i="36"/>
  <c r="P10" i="36"/>
  <c r="O10" i="36"/>
  <c r="N10" i="36"/>
  <c r="M10" i="36"/>
  <c r="L10" i="36"/>
  <c r="K10" i="36"/>
  <c r="J10" i="36"/>
  <c r="I10" i="36"/>
  <c r="H10" i="36"/>
  <c r="G10" i="36"/>
  <c r="F10" i="36"/>
  <c r="E10" i="36"/>
  <c r="D10" i="36"/>
  <c r="C10" i="36"/>
  <c r="W7" i="36"/>
  <c r="V7" i="36"/>
  <c r="U7" i="36"/>
  <c r="T7" i="36"/>
  <c r="S7" i="36"/>
  <c r="R7" i="36"/>
  <c r="Q7" i="36"/>
  <c r="P7" i="36"/>
  <c r="O7" i="36"/>
  <c r="N7" i="36"/>
  <c r="M7" i="36"/>
  <c r="L7" i="36"/>
  <c r="K7" i="36"/>
  <c r="J7" i="36"/>
  <c r="I7" i="36"/>
  <c r="H7" i="36"/>
  <c r="G7" i="36"/>
  <c r="F7" i="36"/>
  <c r="E7" i="36"/>
  <c r="D7" i="36"/>
  <c r="C7" i="36"/>
  <c r="L3" i="19"/>
  <c r="K3" i="19"/>
  <c r="J3" i="19"/>
  <c r="I3" i="19"/>
  <c r="H3" i="19"/>
  <c r="G3" i="19"/>
  <c r="F3" i="19"/>
  <c r="E3" i="19"/>
  <c r="E51" i="19"/>
  <c r="E320" i="19"/>
  <c r="E336" i="19" s="1"/>
  <c r="G320" i="19"/>
  <c r="G336" i="19" s="1"/>
  <c r="E319" i="19"/>
  <c r="E335" i="19" s="1"/>
  <c r="G319" i="19"/>
  <c r="G335" i="19" s="1"/>
  <c r="E318" i="19"/>
  <c r="E334" i="19" s="1"/>
  <c r="G318" i="19"/>
  <c r="G334" i="19" s="1"/>
  <c r="E317" i="19"/>
  <c r="E333" i="19" s="1"/>
  <c r="G317" i="19"/>
  <c r="G333" i="19" s="1"/>
  <c r="E316" i="19"/>
  <c r="E332" i="19" s="1"/>
  <c r="G316" i="19"/>
  <c r="G332" i="19" s="1"/>
  <c r="E315" i="19"/>
  <c r="E331" i="19" s="1"/>
  <c r="G315" i="19"/>
  <c r="G331" i="19" s="1"/>
  <c r="E314" i="19"/>
  <c r="E330" i="19" s="1"/>
  <c r="G314" i="19"/>
  <c r="G330" i="19" s="1"/>
  <c r="E313" i="19"/>
  <c r="E329" i="19" s="1"/>
  <c r="G313" i="19"/>
  <c r="G329" i="19" s="1"/>
  <c r="E312" i="19"/>
  <c r="E328" i="19" s="1"/>
  <c r="G312" i="19"/>
  <c r="G328" i="19" s="1"/>
  <c r="E311" i="19"/>
  <c r="E327" i="19" s="1"/>
  <c r="G311" i="19"/>
  <c r="G327" i="19" s="1"/>
  <c r="E310" i="19"/>
  <c r="E326" i="19" s="1"/>
  <c r="G310" i="19"/>
  <c r="G326" i="19" s="1"/>
  <c r="E309" i="19"/>
  <c r="E325" i="19" s="1"/>
  <c r="G309" i="19"/>
  <c r="G325" i="19" s="1"/>
  <c r="F320" i="19"/>
  <c r="F336" i="19" s="1"/>
  <c r="F319" i="19"/>
  <c r="F335" i="19" s="1"/>
  <c r="F318" i="19"/>
  <c r="F334" i="19" s="1"/>
  <c r="F317" i="19"/>
  <c r="F333" i="19" s="1"/>
  <c r="F316" i="19"/>
  <c r="F332" i="19" s="1"/>
  <c r="F315" i="19"/>
  <c r="F331" i="19" s="1"/>
  <c r="F314" i="19"/>
  <c r="F330" i="19" s="1"/>
  <c r="F313" i="19"/>
  <c r="F329" i="19" s="1"/>
  <c r="F312" i="19"/>
  <c r="F328" i="19" s="1"/>
  <c r="F311" i="19"/>
  <c r="F327" i="19" s="1"/>
  <c r="F310" i="19"/>
  <c r="F326" i="19" s="1"/>
  <c r="F309" i="19"/>
  <c r="F325" i="19" s="1"/>
  <c r="B320" i="19"/>
  <c r="B336" i="19" s="1"/>
  <c r="B319" i="19"/>
  <c r="B335" i="19" s="1"/>
  <c r="B318" i="19"/>
  <c r="B334" i="19" s="1"/>
  <c r="B317" i="19"/>
  <c r="B333" i="19" s="1"/>
  <c r="B316" i="19"/>
  <c r="B332" i="19" s="1"/>
  <c r="B315" i="19"/>
  <c r="B331" i="19" s="1"/>
  <c r="B314" i="19"/>
  <c r="B330" i="19" s="1"/>
  <c r="B313" i="19"/>
  <c r="B329" i="19" s="1"/>
  <c r="B312" i="19"/>
  <c r="B328" i="19" s="1"/>
  <c r="B311" i="19"/>
  <c r="B327" i="19" s="1"/>
  <c r="B310" i="19"/>
  <c r="B326" i="19" s="1"/>
  <c r="B309" i="19"/>
  <c r="B325" i="19" s="1"/>
  <c r="W6" i="36" l="1"/>
  <c r="O14" i="19"/>
  <c r="O26" i="19"/>
  <c r="O38" i="19"/>
  <c r="O50" i="19"/>
  <c r="Z17" i="37" l="1"/>
  <c r="O278" i="19" s="1"/>
  <c r="Y17" i="37"/>
  <c r="O266" i="19" s="1"/>
  <c r="I217" i="43" s="1"/>
  <c r="X17" i="37"/>
  <c r="O254" i="19" s="1"/>
  <c r="I205" i="43" s="1"/>
  <c r="W17" i="37"/>
  <c r="O242" i="19" s="1"/>
  <c r="I193" i="43" s="1"/>
  <c r="V17" i="37"/>
  <c r="O230" i="19" s="1"/>
  <c r="I181" i="43" s="1"/>
  <c r="U17" i="37"/>
  <c r="O218" i="19" s="1"/>
  <c r="I169" i="43" s="1"/>
  <c r="T17" i="37"/>
  <c r="O206" i="19" s="1"/>
  <c r="I157" i="43" s="1"/>
  <c r="S17" i="37"/>
  <c r="O194" i="19" s="1"/>
  <c r="I145" i="43" s="1"/>
  <c r="R17" i="37"/>
  <c r="O182" i="19" s="1"/>
  <c r="I133" i="43" s="1"/>
  <c r="Q17" i="37"/>
  <c r="O170" i="19" s="1"/>
  <c r="I121" i="43" s="1"/>
  <c r="P17" i="37"/>
  <c r="O158" i="19" s="1"/>
  <c r="I109" i="43" s="1"/>
  <c r="O17" i="37"/>
  <c r="O146" i="19" s="1"/>
  <c r="I97" i="43" s="1"/>
  <c r="N17" i="37"/>
  <c r="O134" i="19" s="1"/>
  <c r="I85" i="43" s="1"/>
  <c r="M17" i="37"/>
  <c r="O122" i="19" s="1"/>
  <c r="I73" i="43" s="1"/>
  <c r="L17" i="37"/>
  <c r="O110" i="19" s="1"/>
  <c r="I61" i="43" s="1"/>
  <c r="K17" i="37"/>
  <c r="O98" i="19" s="1"/>
  <c r="I49" i="43" s="1"/>
  <c r="J17" i="37"/>
  <c r="O86" i="19" s="1"/>
  <c r="I37" i="43" s="1"/>
  <c r="I17" i="37"/>
  <c r="O74" i="19" s="1"/>
  <c r="I25" i="43" s="1"/>
  <c r="H17" i="37"/>
  <c r="O62" i="19" s="1"/>
  <c r="I13" i="43" s="1"/>
  <c r="Z16" i="37"/>
  <c r="O277" i="19" s="1"/>
  <c r="Y16" i="37"/>
  <c r="O265" i="19" s="1"/>
  <c r="I216" i="43" s="1"/>
  <c r="X16" i="37"/>
  <c r="O253" i="19" s="1"/>
  <c r="I204" i="43" s="1"/>
  <c r="W16" i="37"/>
  <c r="O241" i="19" s="1"/>
  <c r="I192" i="43" s="1"/>
  <c r="V16" i="37"/>
  <c r="O229" i="19" s="1"/>
  <c r="I180" i="43" s="1"/>
  <c r="U16" i="37"/>
  <c r="O217" i="19" s="1"/>
  <c r="I168" i="43" s="1"/>
  <c r="T16" i="37"/>
  <c r="O205" i="19" s="1"/>
  <c r="I156" i="43" s="1"/>
  <c r="S16" i="37"/>
  <c r="O193" i="19" s="1"/>
  <c r="I144" i="43" s="1"/>
  <c r="R16" i="37"/>
  <c r="O181" i="19" s="1"/>
  <c r="I132" i="43" s="1"/>
  <c r="Q16" i="37"/>
  <c r="O169" i="19" s="1"/>
  <c r="I120" i="43" s="1"/>
  <c r="P16" i="37"/>
  <c r="O157" i="19" s="1"/>
  <c r="I108" i="43" s="1"/>
  <c r="O16" i="37"/>
  <c r="O145" i="19" s="1"/>
  <c r="I96" i="43" s="1"/>
  <c r="N16" i="37"/>
  <c r="O133" i="19" s="1"/>
  <c r="I84" i="43" s="1"/>
  <c r="M16" i="37"/>
  <c r="O121" i="19" s="1"/>
  <c r="I72" i="43" s="1"/>
  <c r="L16" i="37"/>
  <c r="O109" i="19" s="1"/>
  <c r="I60" i="43" s="1"/>
  <c r="K16" i="37"/>
  <c r="O97" i="19" s="1"/>
  <c r="I48" i="43" s="1"/>
  <c r="J16" i="37"/>
  <c r="O85" i="19" s="1"/>
  <c r="I36" i="43" s="1"/>
  <c r="I16" i="37"/>
  <c r="O73" i="19" s="1"/>
  <c r="I24" i="43" s="1"/>
  <c r="H16" i="37"/>
  <c r="O61" i="19" s="1"/>
  <c r="I12" i="43" s="1"/>
  <c r="Z15" i="37"/>
  <c r="O276" i="19" s="1"/>
  <c r="Y15" i="37"/>
  <c r="O264" i="19" s="1"/>
  <c r="I215" i="43" s="1"/>
  <c r="X15" i="37"/>
  <c r="O252" i="19" s="1"/>
  <c r="I203" i="43" s="1"/>
  <c r="W15" i="37"/>
  <c r="O240" i="19" s="1"/>
  <c r="I191" i="43" s="1"/>
  <c r="V15" i="37"/>
  <c r="O228" i="19" s="1"/>
  <c r="I179" i="43" s="1"/>
  <c r="U15" i="37"/>
  <c r="O216" i="19" s="1"/>
  <c r="I167" i="43" s="1"/>
  <c r="T15" i="37"/>
  <c r="O204" i="19" s="1"/>
  <c r="I155" i="43" s="1"/>
  <c r="S15" i="37"/>
  <c r="O192" i="19" s="1"/>
  <c r="I143" i="43" s="1"/>
  <c r="R15" i="37"/>
  <c r="O180" i="19" s="1"/>
  <c r="I131" i="43" s="1"/>
  <c r="Q15" i="37"/>
  <c r="O168" i="19" s="1"/>
  <c r="I119" i="43" s="1"/>
  <c r="P15" i="37"/>
  <c r="O156" i="19" s="1"/>
  <c r="I107" i="43" s="1"/>
  <c r="O15" i="37"/>
  <c r="O144" i="19" s="1"/>
  <c r="I95" i="43" s="1"/>
  <c r="N15" i="37"/>
  <c r="O132" i="19" s="1"/>
  <c r="I83" i="43" s="1"/>
  <c r="M15" i="37"/>
  <c r="O120" i="19" s="1"/>
  <c r="I71" i="43" s="1"/>
  <c r="L15" i="37"/>
  <c r="O108" i="19" s="1"/>
  <c r="I59" i="43" s="1"/>
  <c r="K15" i="37"/>
  <c r="O96" i="19" s="1"/>
  <c r="I47" i="43" s="1"/>
  <c r="J15" i="37"/>
  <c r="O84" i="19" s="1"/>
  <c r="I35" i="43" s="1"/>
  <c r="I15" i="37"/>
  <c r="O72" i="19" s="1"/>
  <c r="I23" i="43" s="1"/>
  <c r="H15" i="37"/>
  <c r="O60" i="19" s="1"/>
  <c r="I11" i="43" s="1"/>
  <c r="Z14" i="37"/>
  <c r="O275" i="19" s="1"/>
  <c r="Y14" i="37"/>
  <c r="O263" i="19" s="1"/>
  <c r="I214" i="43" s="1"/>
  <c r="X14" i="37"/>
  <c r="O251" i="19" s="1"/>
  <c r="I202" i="43" s="1"/>
  <c r="W14" i="37"/>
  <c r="O239" i="19" s="1"/>
  <c r="I190" i="43" s="1"/>
  <c r="V14" i="37"/>
  <c r="O227" i="19" s="1"/>
  <c r="I178" i="43" s="1"/>
  <c r="U14" i="37"/>
  <c r="O215" i="19" s="1"/>
  <c r="I166" i="43" s="1"/>
  <c r="T14" i="37"/>
  <c r="O203" i="19" s="1"/>
  <c r="I154" i="43" s="1"/>
  <c r="S14" i="37"/>
  <c r="O191" i="19" s="1"/>
  <c r="I142" i="43" s="1"/>
  <c r="R14" i="37"/>
  <c r="O179" i="19" s="1"/>
  <c r="I130" i="43" s="1"/>
  <c r="Q14" i="37"/>
  <c r="O167" i="19" s="1"/>
  <c r="I118" i="43" s="1"/>
  <c r="P14" i="37"/>
  <c r="O155" i="19" s="1"/>
  <c r="I106" i="43" s="1"/>
  <c r="O14" i="37"/>
  <c r="O143" i="19" s="1"/>
  <c r="I94" i="43" s="1"/>
  <c r="N14" i="37"/>
  <c r="O131" i="19" s="1"/>
  <c r="I82" i="43" s="1"/>
  <c r="M14" i="37"/>
  <c r="O119" i="19" s="1"/>
  <c r="I70" i="43" s="1"/>
  <c r="L14" i="37"/>
  <c r="O107" i="19" s="1"/>
  <c r="I58" i="43" s="1"/>
  <c r="K14" i="37"/>
  <c r="O95" i="19" s="1"/>
  <c r="I46" i="43" s="1"/>
  <c r="J14" i="37"/>
  <c r="O83" i="19" s="1"/>
  <c r="I34" i="43" s="1"/>
  <c r="I14" i="37"/>
  <c r="O71" i="19" s="1"/>
  <c r="I22" i="43" s="1"/>
  <c r="H14" i="37"/>
  <c r="O59" i="19" s="1"/>
  <c r="I10" i="43" s="1"/>
  <c r="Z13" i="37"/>
  <c r="O274" i="19" s="1"/>
  <c r="Y13" i="37"/>
  <c r="O262" i="19" s="1"/>
  <c r="I213" i="43" s="1"/>
  <c r="X13" i="37"/>
  <c r="O250" i="19" s="1"/>
  <c r="I201" i="43" s="1"/>
  <c r="W13" i="37"/>
  <c r="O238" i="19" s="1"/>
  <c r="I189" i="43" s="1"/>
  <c r="V13" i="37"/>
  <c r="O226" i="19" s="1"/>
  <c r="I177" i="43" s="1"/>
  <c r="U13" i="37"/>
  <c r="O214" i="19" s="1"/>
  <c r="I165" i="43" s="1"/>
  <c r="T13" i="37"/>
  <c r="O202" i="19" s="1"/>
  <c r="I153" i="43" s="1"/>
  <c r="S13" i="37"/>
  <c r="O190" i="19" s="1"/>
  <c r="I141" i="43" s="1"/>
  <c r="R13" i="37"/>
  <c r="O178" i="19" s="1"/>
  <c r="I129" i="43" s="1"/>
  <c r="Q13" i="37"/>
  <c r="O166" i="19" s="1"/>
  <c r="I117" i="43" s="1"/>
  <c r="P13" i="37"/>
  <c r="O154" i="19" s="1"/>
  <c r="I105" i="43" s="1"/>
  <c r="O13" i="37"/>
  <c r="O142" i="19" s="1"/>
  <c r="I93" i="43" s="1"/>
  <c r="N13" i="37"/>
  <c r="O130" i="19" s="1"/>
  <c r="I81" i="43" s="1"/>
  <c r="M13" i="37"/>
  <c r="O118" i="19" s="1"/>
  <c r="I69" i="43" s="1"/>
  <c r="L13" i="37"/>
  <c r="O106" i="19" s="1"/>
  <c r="I57" i="43" s="1"/>
  <c r="K13" i="37"/>
  <c r="O94" i="19" s="1"/>
  <c r="I45" i="43" s="1"/>
  <c r="J13" i="37"/>
  <c r="O82" i="19" s="1"/>
  <c r="I33" i="43" s="1"/>
  <c r="I13" i="37"/>
  <c r="O70" i="19" s="1"/>
  <c r="I21" i="43" s="1"/>
  <c r="H13" i="37"/>
  <c r="O58" i="19" s="1"/>
  <c r="I9" i="43" s="1"/>
  <c r="Z12" i="37"/>
  <c r="O273" i="19" s="1"/>
  <c r="Y12" i="37"/>
  <c r="O261" i="19" s="1"/>
  <c r="I212" i="43" s="1"/>
  <c r="X12" i="37"/>
  <c r="O249" i="19" s="1"/>
  <c r="I200" i="43" s="1"/>
  <c r="W12" i="37"/>
  <c r="O237" i="19" s="1"/>
  <c r="I188" i="43" s="1"/>
  <c r="V12" i="37"/>
  <c r="O225" i="19" s="1"/>
  <c r="I176" i="43" s="1"/>
  <c r="U12" i="37"/>
  <c r="O213" i="19" s="1"/>
  <c r="I164" i="43" s="1"/>
  <c r="T12" i="37"/>
  <c r="O201" i="19" s="1"/>
  <c r="I152" i="43" s="1"/>
  <c r="S12" i="37"/>
  <c r="O189" i="19" s="1"/>
  <c r="I140" i="43" s="1"/>
  <c r="R12" i="37"/>
  <c r="O177" i="19" s="1"/>
  <c r="I128" i="43" s="1"/>
  <c r="Q12" i="37"/>
  <c r="O165" i="19" s="1"/>
  <c r="I116" i="43" s="1"/>
  <c r="P12" i="37"/>
  <c r="O153" i="19" s="1"/>
  <c r="I104" i="43" s="1"/>
  <c r="O12" i="37"/>
  <c r="O141" i="19" s="1"/>
  <c r="I92" i="43" s="1"/>
  <c r="N12" i="37"/>
  <c r="O129" i="19" s="1"/>
  <c r="I80" i="43" s="1"/>
  <c r="M12" i="37"/>
  <c r="O117" i="19" s="1"/>
  <c r="I68" i="43" s="1"/>
  <c r="L12" i="37"/>
  <c r="O105" i="19" s="1"/>
  <c r="I56" i="43" s="1"/>
  <c r="K12" i="37"/>
  <c r="O93" i="19" s="1"/>
  <c r="I44" i="43" s="1"/>
  <c r="J12" i="37"/>
  <c r="O81" i="19" s="1"/>
  <c r="I32" i="43" s="1"/>
  <c r="I12" i="37"/>
  <c r="O69" i="19" s="1"/>
  <c r="I20" i="43" s="1"/>
  <c r="H12" i="37"/>
  <c r="O57" i="19" s="1"/>
  <c r="I8" i="43" s="1"/>
  <c r="Z11" i="37"/>
  <c r="O272" i="19" s="1"/>
  <c r="Y11" i="37"/>
  <c r="O260" i="19" s="1"/>
  <c r="I211" i="43" s="1"/>
  <c r="X11" i="37"/>
  <c r="O248" i="19" s="1"/>
  <c r="I199" i="43" s="1"/>
  <c r="W11" i="37"/>
  <c r="O236" i="19" s="1"/>
  <c r="I187" i="43" s="1"/>
  <c r="V11" i="37"/>
  <c r="O224" i="19" s="1"/>
  <c r="I175" i="43" s="1"/>
  <c r="U11" i="37"/>
  <c r="O212" i="19" s="1"/>
  <c r="I163" i="43" s="1"/>
  <c r="T11" i="37"/>
  <c r="O200" i="19" s="1"/>
  <c r="I151" i="43" s="1"/>
  <c r="S11" i="37"/>
  <c r="O188" i="19" s="1"/>
  <c r="I139" i="43" s="1"/>
  <c r="R11" i="37"/>
  <c r="O176" i="19" s="1"/>
  <c r="I127" i="43" s="1"/>
  <c r="Q11" i="37"/>
  <c r="O164" i="19" s="1"/>
  <c r="I115" i="43" s="1"/>
  <c r="P11" i="37"/>
  <c r="O152" i="19" s="1"/>
  <c r="I103" i="43" s="1"/>
  <c r="O11" i="37"/>
  <c r="O140" i="19" s="1"/>
  <c r="I91" i="43" s="1"/>
  <c r="N11" i="37"/>
  <c r="O128" i="19" s="1"/>
  <c r="I79" i="43" s="1"/>
  <c r="M11" i="37"/>
  <c r="O116" i="19" s="1"/>
  <c r="I67" i="43" s="1"/>
  <c r="L11" i="37"/>
  <c r="O104" i="19" s="1"/>
  <c r="I55" i="43" s="1"/>
  <c r="K11" i="37"/>
  <c r="O92" i="19" s="1"/>
  <c r="I43" i="43" s="1"/>
  <c r="J11" i="37"/>
  <c r="O80" i="19" s="1"/>
  <c r="I31" i="43" s="1"/>
  <c r="I11" i="37"/>
  <c r="O68" i="19" s="1"/>
  <c r="I19" i="43" s="1"/>
  <c r="H11" i="37"/>
  <c r="O56" i="19" s="1"/>
  <c r="I7" i="43" s="1"/>
  <c r="Z10" i="37"/>
  <c r="O271" i="19" s="1"/>
  <c r="Y10" i="37"/>
  <c r="O259" i="19" s="1"/>
  <c r="I210" i="43" s="1"/>
  <c r="X10" i="37"/>
  <c r="O247" i="19" s="1"/>
  <c r="I198" i="43" s="1"/>
  <c r="W10" i="37"/>
  <c r="O235" i="19" s="1"/>
  <c r="I186" i="43" s="1"/>
  <c r="V10" i="37"/>
  <c r="O223" i="19" s="1"/>
  <c r="I174" i="43" s="1"/>
  <c r="U10" i="37"/>
  <c r="O211" i="19" s="1"/>
  <c r="I162" i="43" s="1"/>
  <c r="T10" i="37"/>
  <c r="O199" i="19" s="1"/>
  <c r="I150" i="43" s="1"/>
  <c r="S10" i="37"/>
  <c r="O187" i="19" s="1"/>
  <c r="I138" i="43" s="1"/>
  <c r="R10" i="37"/>
  <c r="O175" i="19" s="1"/>
  <c r="I126" i="43" s="1"/>
  <c r="Q10" i="37"/>
  <c r="O163" i="19" s="1"/>
  <c r="I114" i="43" s="1"/>
  <c r="P10" i="37"/>
  <c r="O151" i="19" s="1"/>
  <c r="I102" i="43" s="1"/>
  <c r="O10" i="37"/>
  <c r="O139" i="19" s="1"/>
  <c r="I90" i="43" s="1"/>
  <c r="N10" i="37"/>
  <c r="O127" i="19" s="1"/>
  <c r="I78" i="43" s="1"/>
  <c r="M10" i="37"/>
  <c r="O115" i="19" s="1"/>
  <c r="I66" i="43" s="1"/>
  <c r="L10" i="37"/>
  <c r="O103" i="19" s="1"/>
  <c r="I54" i="43" s="1"/>
  <c r="K10" i="37"/>
  <c r="O91" i="19" s="1"/>
  <c r="I42" i="43" s="1"/>
  <c r="J10" i="37"/>
  <c r="O79" i="19" s="1"/>
  <c r="I30" i="43" s="1"/>
  <c r="I10" i="37"/>
  <c r="O67" i="19" s="1"/>
  <c r="I18" i="43" s="1"/>
  <c r="H10" i="37"/>
  <c r="O55" i="19" s="1"/>
  <c r="I6" i="43" s="1"/>
  <c r="Z9" i="37"/>
  <c r="O270" i="19" s="1"/>
  <c r="Y9" i="37"/>
  <c r="O258" i="19" s="1"/>
  <c r="I209" i="43" s="1"/>
  <c r="X9" i="37"/>
  <c r="O246" i="19" s="1"/>
  <c r="I197" i="43" s="1"/>
  <c r="W9" i="37"/>
  <c r="O234" i="19" s="1"/>
  <c r="I185" i="43" s="1"/>
  <c r="V9" i="37"/>
  <c r="O222" i="19" s="1"/>
  <c r="I173" i="43" s="1"/>
  <c r="U9" i="37"/>
  <c r="O210" i="19" s="1"/>
  <c r="I161" i="43" s="1"/>
  <c r="T9" i="37"/>
  <c r="O198" i="19" s="1"/>
  <c r="I149" i="43" s="1"/>
  <c r="S9" i="37"/>
  <c r="O186" i="19" s="1"/>
  <c r="I137" i="43" s="1"/>
  <c r="R9" i="37"/>
  <c r="O174" i="19" s="1"/>
  <c r="I125" i="43" s="1"/>
  <c r="Q9" i="37"/>
  <c r="O162" i="19" s="1"/>
  <c r="I113" i="43" s="1"/>
  <c r="P9" i="37"/>
  <c r="O150" i="19" s="1"/>
  <c r="I101" i="43" s="1"/>
  <c r="O9" i="37"/>
  <c r="O138" i="19" s="1"/>
  <c r="I89" i="43" s="1"/>
  <c r="N9" i="37"/>
  <c r="O126" i="19" s="1"/>
  <c r="I77" i="43" s="1"/>
  <c r="M9" i="37"/>
  <c r="O114" i="19" s="1"/>
  <c r="I65" i="43" s="1"/>
  <c r="L9" i="37"/>
  <c r="O102" i="19" s="1"/>
  <c r="I53" i="43" s="1"/>
  <c r="K9" i="37"/>
  <c r="O90" i="19" s="1"/>
  <c r="I41" i="43" s="1"/>
  <c r="J9" i="37"/>
  <c r="O78" i="19" s="1"/>
  <c r="I29" i="43" s="1"/>
  <c r="I9" i="37"/>
  <c r="O66" i="19" s="1"/>
  <c r="I17" i="43" s="1"/>
  <c r="H9" i="37"/>
  <c r="O54" i="19" s="1"/>
  <c r="I5" i="43" s="1"/>
  <c r="Z8" i="37"/>
  <c r="O269" i="19" s="1"/>
  <c r="Y8" i="37"/>
  <c r="O257" i="19" s="1"/>
  <c r="I208" i="43" s="1"/>
  <c r="X8" i="37"/>
  <c r="O245" i="19" s="1"/>
  <c r="I196" i="43" s="1"/>
  <c r="W8" i="37"/>
  <c r="O233" i="19" s="1"/>
  <c r="I184" i="43" s="1"/>
  <c r="V8" i="37"/>
  <c r="O221" i="19" s="1"/>
  <c r="I172" i="43" s="1"/>
  <c r="U8" i="37"/>
  <c r="O209" i="19" s="1"/>
  <c r="I160" i="43" s="1"/>
  <c r="T8" i="37"/>
  <c r="O197" i="19" s="1"/>
  <c r="I148" i="43" s="1"/>
  <c r="S8" i="37"/>
  <c r="O185" i="19" s="1"/>
  <c r="I136" i="43" s="1"/>
  <c r="R8" i="37"/>
  <c r="O173" i="19" s="1"/>
  <c r="I124" i="43" s="1"/>
  <c r="Q8" i="37"/>
  <c r="O161" i="19" s="1"/>
  <c r="I112" i="43" s="1"/>
  <c r="P8" i="37"/>
  <c r="O149" i="19" s="1"/>
  <c r="I100" i="43" s="1"/>
  <c r="O8" i="37"/>
  <c r="O137" i="19" s="1"/>
  <c r="I88" i="43" s="1"/>
  <c r="N8" i="37"/>
  <c r="O125" i="19" s="1"/>
  <c r="I76" i="43" s="1"/>
  <c r="M8" i="37"/>
  <c r="O113" i="19" s="1"/>
  <c r="I64" i="43" s="1"/>
  <c r="L8" i="37"/>
  <c r="O101" i="19" s="1"/>
  <c r="I52" i="43" s="1"/>
  <c r="K8" i="37"/>
  <c r="O89" i="19" s="1"/>
  <c r="I40" i="43" s="1"/>
  <c r="J8" i="37"/>
  <c r="O77" i="19" s="1"/>
  <c r="I28" i="43" s="1"/>
  <c r="I8" i="37"/>
  <c r="O65" i="19" s="1"/>
  <c r="I16" i="43" s="1"/>
  <c r="H8" i="37"/>
  <c r="O53" i="19" s="1"/>
  <c r="I4" i="43" s="1"/>
  <c r="Z7" i="37"/>
  <c r="O268" i="19" s="1"/>
  <c r="Y7" i="37"/>
  <c r="O256" i="19" s="1"/>
  <c r="I207" i="43" s="1"/>
  <c r="X7" i="37"/>
  <c r="O244" i="19" s="1"/>
  <c r="I195" i="43" s="1"/>
  <c r="W7" i="37"/>
  <c r="O232" i="19" s="1"/>
  <c r="I183" i="43" s="1"/>
  <c r="V7" i="37"/>
  <c r="O220" i="19" s="1"/>
  <c r="I171" i="43" s="1"/>
  <c r="U7" i="37"/>
  <c r="O208" i="19" s="1"/>
  <c r="I159" i="43" s="1"/>
  <c r="T7" i="37"/>
  <c r="O196" i="19" s="1"/>
  <c r="I147" i="43" s="1"/>
  <c r="S7" i="37"/>
  <c r="O184" i="19" s="1"/>
  <c r="I135" i="43" s="1"/>
  <c r="R7" i="37"/>
  <c r="O172" i="19" s="1"/>
  <c r="I123" i="43" s="1"/>
  <c r="Q7" i="37"/>
  <c r="O160" i="19" s="1"/>
  <c r="I111" i="43" s="1"/>
  <c r="P7" i="37"/>
  <c r="O148" i="19" s="1"/>
  <c r="I99" i="43" s="1"/>
  <c r="O7" i="37"/>
  <c r="O136" i="19" s="1"/>
  <c r="I87" i="43" s="1"/>
  <c r="N7" i="37"/>
  <c r="O124" i="19" s="1"/>
  <c r="I75" i="43" s="1"/>
  <c r="M7" i="37"/>
  <c r="O112" i="19" s="1"/>
  <c r="I63" i="43" s="1"/>
  <c r="L7" i="37"/>
  <c r="O100" i="19" s="1"/>
  <c r="I51" i="43" s="1"/>
  <c r="K7" i="37"/>
  <c r="O88" i="19" s="1"/>
  <c r="I39" i="43" s="1"/>
  <c r="J7" i="37"/>
  <c r="O76" i="19" s="1"/>
  <c r="I27" i="43" s="1"/>
  <c r="I7" i="37"/>
  <c r="O64" i="19" s="1"/>
  <c r="I15" i="43" s="1"/>
  <c r="H7" i="37"/>
  <c r="O52" i="19" s="1"/>
  <c r="I3" i="43" s="1"/>
  <c r="Z6" i="37"/>
  <c r="O267" i="19" s="1"/>
  <c r="Y6" i="37"/>
  <c r="O255" i="19" s="1"/>
  <c r="I206" i="43" s="1"/>
  <c r="X6" i="37"/>
  <c r="O243" i="19" s="1"/>
  <c r="I194" i="43" s="1"/>
  <c r="W6" i="37"/>
  <c r="O231" i="19" s="1"/>
  <c r="I182" i="43" s="1"/>
  <c r="V6" i="37"/>
  <c r="O219" i="19" s="1"/>
  <c r="I170" i="43" s="1"/>
  <c r="U6" i="37"/>
  <c r="O207" i="19" s="1"/>
  <c r="I158" i="43" s="1"/>
  <c r="T6" i="37"/>
  <c r="O195" i="19" s="1"/>
  <c r="I146" i="43" s="1"/>
  <c r="S6" i="37"/>
  <c r="O183" i="19" s="1"/>
  <c r="I134" i="43" s="1"/>
  <c r="R6" i="37"/>
  <c r="O171" i="19" s="1"/>
  <c r="I122" i="43" s="1"/>
  <c r="Q6" i="37"/>
  <c r="O159" i="19" s="1"/>
  <c r="I110" i="43" s="1"/>
  <c r="P6" i="37"/>
  <c r="O147" i="19" s="1"/>
  <c r="I98" i="43" s="1"/>
  <c r="O6" i="37"/>
  <c r="O135" i="19" s="1"/>
  <c r="I86" i="43" s="1"/>
  <c r="N6" i="37"/>
  <c r="O123" i="19" s="1"/>
  <c r="I74" i="43" s="1"/>
  <c r="M6" i="37"/>
  <c r="O111" i="19" s="1"/>
  <c r="I62" i="43" s="1"/>
  <c r="L6" i="37"/>
  <c r="O99" i="19" s="1"/>
  <c r="I50" i="43" s="1"/>
  <c r="K6" i="37"/>
  <c r="O87" i="19" s="1"/>
  <c r="I38" i="43" s="1"/>
  <c r="J6" i="37"/>
  <c r="O75" i="19" s="1"/>
  <c r="I26" i="43" s="1"/>
  <c r="I6" i="37"/>
  <c r="O63" i="19" s="1"/>
  <c r="I14" i="43" s="1"/>
  <c r="H6" i="37"/>
  <c r="O51" i="19" s="1"/>
  <c r="I2" i="43" s="1"/>
  <c r="V33" i="36"/>
  <c r="U33" i="36"/>
  <c r="T33" i="36"/>
  <c r="S33" i="36"/>
  <c r="R33" i="36"/>
  <c r="Q33" i="36"/>
  <c r="P33" i="36"/>
  <c r="O33" i="36"/>
  <c r="N33" i="36"/>
  <c r="M33" i="36"/>
  <c r="L33" i="36"/>
  <c r="K33" i="36"/>
  <c r="J33" i="36"/>
  <c r="I33" i="36"/>
  <c r="H33" i="36"/>
  <c r="H49" i="36" s="1"/>
  <c r="G33" i="36"/>
  <c r="F33" i="36"/>
  <c r="E33" i="36"/>
  <c r="D33" i="36"/>
  <c r="D49" i="36" s="1"/>
  <c r="C33" i="36"/>
  <c r="B33" i="36"/>
  <c r="V30" i="36"/>
  <c r="U30" i="36"/>
  <c r="T30" i="36"/>
  <c r="S30" i="36"/>
  <c r="R30" i="36"/>
  <c r="Q30" i="36"/>
  <c r="Q46" i="36" s="1"/>
  <c r="P30" i="36"/>
  <c r="O30" i="36"/>
  <c r="N30" i="36"/>
  <c r="M30" i="36"/>
  <c r="M46" i="36" s="1"/>
  <c r="L30" i="36"/>
  <c r="K30" i="36"/>
  <c r="J30" i="36"/>
  <c r="I30" i="36"/>
  <c r="I46" i="36" s="1"/>
  <c r="H30" i="36"/>
  <c r="G30" i="36"/>
  <c r="F30" i="36"/>
  <c r="E30" i="36"/>
  <c r="D30" i="36"/>
  <c r="C30" i="36"/>
  <c r="V27" i="36"/>
  <c r="U27" i="36"/>
  <c r="T27" i="36"/>
  <c r="S27" i="36"/>
  <c r="R27" i="36"/>
  <c r="Q27" i="36"/>
  <c r="P27" i="36"/>
  <c r="O27" i="36"/>
  <c r="N27" i="36"/>
  <c r="M27" i="36"/>
  <c r="L27" i="36"/>
  <c r="K27" i="36"/>
  <c r="J27" i="36"/>
  <c r="I27" i="36"/>
  <c r="H27" i="36"/>
  <c r="G27" i="36"/>
  <c r="F27" i="36"/>
  <c r="E27" i="36"/>
  <c r="D27" i="36"/>
  <c r="C27" i="36"/>
  <c r="W24" i="36"/>
  <c r="V24" i="36"/>
  <c r="O24" i="36"/>
  <c r="K24" i="36"/>
  <c r="J24" i="36"/>
  <c r="H24" i="36"/>
  <c r="G24" i="36"/>
  <c r="F24" i="36"/>
  <c r="D24" i="36"/>
  <c r="C24" i="36"/>
  <c r="C40" i="36" s="1"/>
  <c r="U13" i="34"/>
  <c r="U14" i="34" s="1"/>
  <c r="U15" i="34" s="1"/>
  <c r="U16" i="34" s="1"/>
  <c r="U17" i="34" s="1"/>
  <c r="U18" i="34" s="1"/>
  <c r="U19" i="34" s="1"/>
  <c r="V8" i="34" s="1"/>
  <c r="V9" i="34" s="1"/>
  <c r="V10" i="34" s="1"/>
  <c r="V11" i="34" s="1"/>
  <c r="V12" i="34" s="1"/>
  <c r="V13" i="34" s="1"/>
  <c r="V14" i="34" s="1"/>
  <c r="V15" i="34" s="1"/>
  <c r="V16" i="34" s="1"/>
  <c r="V17" i="34" s="1"/>
  <c r="V18" i="34" s="1"/>
  <c r="V19" i="34" s="1"/>
  <c r="W8" i="34" s="1"/>
  <c r="P13" i="34"/>
  <c r="P14" i="34" s="1"/>
  <c r="P15" i="34" s="1"/>
  <c r="P16" i="34" s="1"/>
  <c r="P17" i="34" s="1"/>
  <c r="P18" i="34" s="1"/>
  <c r="P19" i="34" s="1"/>
  <c r="Q8" i="34" s="1"/>
  <c r="W9" i="34"/>
  <c r="W10" i="34" s="1"/>
  <c r="W11" i="34" s="1"/>
  <c r="W12" i="34" s="1"/>
  <c r="W13" i="34" s="1"/>
  <c r="W14" i="34" s="1"/>
  <c r="W15" i="34" s="1"/>
  <c r="W16" i="34" s="1"/>
  <c r="W17" i="34" s="1"/>
  <c r="W18" i="34" s="1"/>
  <c r="W19" i="34" s="1"/>
  <c r="Q9" i="34"/>
  <c r="Q10" i="34" s="1"/>
  <c r="Q11" i="34" s="1"/>
  <c r="Q12" i="34" s="1"/>
  <c r="Q13" i="34" s="1"/>
  <c r="Q14" i="34" s="1"/>
  <c r="Q15" i="34" s="1"/>
  <c r="Q16" i="34" s="1"/>
  <c r="Q17" i="34" s="1"/>
  <c r="Q18" i="34" s="1"/>
  <c r="Q19" i="34" s="1"/>
  <c r="R8" i="34" s="1"/>
  <c r="R9" i="34" s="1"/>
  <c r="R10" i="34" s="1"/>
  <c r="R11" i="34" s="1"/>
  <c r="R12" i="34" s="1"/>
  <c r="R13" i="34" s="1"/>
  <c r="R14" i="34" s="1"/>
  <c r="R15" i="34" s="1"/>
  <c r="R16" i="34" s="1"/>
  <c r="R17" i="34" s="1"/>
  <c r="R18" i="34" s="1"/>
  <c r="R19" i="34" s="1"/>
  <c r="S8" i="34" s="1"/>
  <c r="S9" i="34" s="1"/>
  <c r="S10" i="34" s="1"/>
  <c r="S11" i="34" s="1"/>
  <c r="S12" i="34" s="1"/>
  <c r="S13" i="34" s="1"/>
  <c r="S14" i="34" s="1"/>
  <c r="S15" i="34" s="1"/>
  <c r="S16" i="34" s="1"/>
  <c r="S17" i="34" s="1"/>
  <c r="S18" i="34" s="1"/>
  <c r="S19" i="34" s="1"/>
  <c r="T8" i="34" s="1"/>
  <c r="T9" i="34" s="1"/>
  <c r="T10" i="34" s="1"/>
  <c r="T11" i="34" s="1"/>
  <c r="T12" i="34" s="1"/>
  <c r="T13" i="34" s="1"/>
  <c r="T14" i="34" s="1"/>
  <c r="T15" i="34" s="1"/>
  <c r="T16" i="34" s="1"/>
  <c r="T17" i="34" s="1"/>
  <c r="T18" i="34" s="1"/>
  <c r="T19" i="34" s="1"/>
  <c r="U8" i="34" s="1"/>
  <c r="U9" i="34" s="1"/>
  <c r="U10" i="34" s="1"/>
  <c r="U11" i="34" s="1"/>
  <c r="X8" i="34"/>
  <c r="X9" i="34" s="1"/>
  <c r="X10" i="34" s="1"/>
  <c r="X11" i="34" s="1"/>
  <c r="X12" i="34" s="1"/>
  <c r="X13" i="34" s="1"/>
  <c r="X14" i="34" s="1"/>
  <c r="X15" i="34" s="1"/>
  <c r="X16" i="34" s="1"/>
  <c r="X17" i="34" s="1"/>
  <c r="X18" i="34" s="1"/>
  <c r="X19" i="34" s="1"/>
  <c r="U4" i="34"/>
  <c r="P4" i="34"/>
  <c r="K4" i="34"/>
  <c r="F4" i="34"/>
  <c r="F2" i="34" s="1"/>
  <c r="B8" i="34" s="1"/>
  <c r="B9" i="34" s="1"/>
  <c r="B10" i="34" s="1"/>
  <c r="B11" i="34" s="1"/>
  <c r="B12" i="34" s="1"/>
  <c r="B13" i="34" s="1"/>
  <c r="B14" i="34" s="1"/>
  <c r="B15" i="34" s="1"/>
  <c r="B16" i="34" s="1"/>
  <c r="B17" i="34" s="1"/>
  <c r="B18" i="34" s="1"/>
  <c r="B19" i="34" s="1"/>
  <c r="C8" i="34" s="1"/>
  <c r="C9" i="34" s="1"/>
  <c r="C10" i="34" s="1"/>
  <c r="C11" i="34" s="1"/>
  <c r="C12" i="34" s="1"/>
  <c r="C13" i="34" s="1"/>
  <c r="C14" i="34" s="1"/>
  <c r="C15" i="34" s="1"/>
  <c r="C16" i="34" s="1"/>
  <c r="C17" i="34" s="1"/>
  <c r="C18" i="34" s="1"/>
  <c r="C19" i="34" s="1"/>
  <c r="D8" i="34" s="1"/>
  <c r="D9" i="34" s="1"/>
  <c r="D10" i="34" s="1"/>
  <c r="D11" i="34" s="1"/>
  <c r="D12" i="34" s="1"/>
  <c r="D13" i="34" s="1"/>
  <c r="D14" i="34" s="1"/>
  <c r="D15" i="34" s="1"/>
  <c r="D16" i="34" s="1"/>
  <c r="D17" i="34" s="1"/>
  <c r="D18" i="34" s="1"/>
  <c r="D19" i="34" s="1"/>
  <c r="E8" i="34" s="1"/>
  <c r="E9" i="34" s="1"/>
  <c r="E10" i="34" s="1"/>
  <c r="E11" i="34" s="1"/>
  <c r="E12" i="34" s="1"/>
  <c r="E13" i="34" s="1"/>
  <c r="E14" i="34" s="1"/>
  <c r="E15" i="34" s="1"/>
  <c r="E16" i="34" s="1"/>
  <c r="E17" i="34" s="1"/>
  <c r="E18" i="34" s="1"/>
  <c r="E19" i="34" s="1"/>
  <c r="F8" i="34" s="1"/>
  <c r="F9" i="34" s="1"/>
  <c r="F10" i="34" s="1"/>
  <c r="F11" i="34" s="1"/>
  <c r="U2" i="34"/>
  <c r="X2" i="34" s="1"/>
  <c r="P2" i="34"/>
  <c r="K13" i="34" s="1"/>
  <c r="K14" i="34" s="1"/>
  <c r="K15" i="34" s="1"/>
  <c r="K16" i="34" s="1"/>
  <c r="K17" i="34" s="1"/>
  <c r="K18" i="34" s="1"/>
  <c r="K19" i="34" s="1"/>
  <c r="L8" i="34" s="1"/>
  <c r="L9" i="34" s="1"/>
  <c r="L10" i="34" s="1"/>
  <c r="L11" i="34" s="1"/>
  <c r="L12" i="34" s="1"/>
  <c r="L13" i="34" s="1"/>
  <c r="L14" i="34" s="1"/>
  <c r="L15" i="34" s="1"/>
  <c r="L16" i="34" s="1"/>
  <c r="L17" i="34" s="1"/>
  <c r="L18" i="34" s="1"/>
  <c r="L19" i="34" s="1"/>
  <c r="M8" i="34" s="1"/>
  <c r="M9" i="34" s="1"/>
  <c r="M10" i="34" s="1"/>
  <c r="M11" i="34" s="1"/>
  <c r="M12" i="34" s="1"/>
  <c r="M13" i="34" s="1"/>
  <c r="M14" i="34" s="1"/>
  <c r="M15" i="34" s="1"/>
  <c r="M16" i="34" s="1"/>
  <c r="M17" i="34" s="1"/>
  <c r="M18" i="34" s="1"/>
  <c r="M19" i="34" s="1"/>
  <c r="N8" i="34" s="1"/>
  <c r="N9" i="34" s="1"/>
  <c r="N10" i="34" s="1"/>
  <c r="N11" i="34" s="1"/>
  <c r="N12" i="34" s="1"/>
  <c r="N13" i="34" s="1"/>
  <c r="N14" i="34" s="1"/>
  <c r="N15" i="34" s="1"/>
  <c r="N16" i="34" s="1"/>
  <c r="N17" i="34" s="1"/>
  <c r="N18" i="34" s="1"/>
  <c r="N19" i="34" s="1"/>
  <c r="O8" i="34" s="1"/>
  <c r="O9" i="34" s="1"/>
  <c r="O10" i="34" s="1"/>
  <c r="O11" i="34" s="1"/>
  <c r="O12" i="34" s="1"/>
  <c r="O13" i="34" s="1"/>
  <c r="O14" i="34" s="1"/>
  <c r="O15" i="34" s="1"/>
  <c r="O16" i="34" s="1"/>
  <c r="O17" i="34" s="1"/>
  <c r="O18" i="34" s="1"/>
  <c r="O19" i="34" s="1"/>
  <c r="P8" i="34" s="1"/>
  <c r="P9" i="34" s="1"/>
  <c r="P10" i="34" s="1"/>
  <c r="P11" i="34" s="1"/>
  <c r="K2" i="34"/>
  <c r="F13" i="34" s="1"/>
  <c r="F14" i="34" s="1"/>
  <c r="F15" i="34" s="1"/>
  <c r="F16" i="34" s="1"/>
  <c r="F17" i="34" s="1"/>
  <c r="F18" i="34" s="1"/>
  <c r="F19" i="34" s="1"/>
  <c r="G8" i="34" s="1"/>
  <c r="G9" i="34" s="1"/>
  <c r="G10" i="34" s="1"/>
  <c r="G11" i="34" s="1"/>
  <c r="G12" i="34" s="1"/>
  <c r="G13" i="34" s="1"/>
  <c r="G14" i="34" s="1"/>
  <c r="G15" i="34" s="1"/>
  <c r="G16" i="34" s="1"/>
  <c r="G17" i="34" s="1"/>
  <c r="G18" i="34" s="1"/>
  <c r="G19" i="34" s="1"/>
  <c r="H8" i="34" s="1"/>
  <c r="H9" i="34" s="1"/>
  <c r="H10" i="34" s="1"/>
  <c r="H11" i="34" s="1"/>
  <c r="H12" i="34" s="1"/>
  <c r="H13" i="34" s="1"/>
  <c r="H14" i="34" s="1"/>
  <c r="H15" i="34" s="1"/>
  <c r="H16" i="34" s="1"/>
  <c r="H17" i="34" s="1"/>
  <c r="H18" i="34" s="1"/>
  <c r="H19" i="34" s="1"/>
  <c r="I8" i="34" s="1"/>
  <c r="I9" i="34" s="1"/>
  <c r="I10" i="34" s="1"/>
  <c r="I11" i="34" s="1"/>
  <c r="I12" i="34" s="1"/>
  <c r="I13" i="34" s="1"/>
  <c r="I14" i="34" s="1"/>
  <c r="I15" i="34" s="1"/>
  <c r="I16" i="34" s="1"/>
  <c r="I17" i="34" s="1"/>
  <c r="I18" i="34" s="1"/>
  <c r="I19" i="34" s="1"/>
  <c r="J8" i="34" s="1"/>
  <c r="J9" i="34" s="1"/>
  <c r="J10" i="34" s="1"/>
  <c r="J11" i="34" s="1"/>
  <c r="J12" i="34" s="1"/>
  <c r="J13" i="34" s="1"/>
  <c r="J14" i="34" s="1"/>
  <c r="J15" i="34" s="1"/>
  <c r="J16" i="34" s="1"/>
  <c r="J17" i="34" s="1"/>
  <c r="J18" i="34" s="1"/>
  <c r="J19" i="34" s="1"/>
  <c r="K8" i="34" s="1"/>
  <c r="K9" i="34" s="1"/>
  <c r="K10" i="34" s="1"/>
  <c r="K11" i="34" s="1"/>
  <c r="X180" i="39"/>
  <c r="W180" i="39"/>
  <c r="V180" i="39"/>
  <c r="U180" i="39"/>
  <c r="T180" i="39"/>
  <c r="S180" i="39"/>
  <c r="R180" i="39"/>
  <c r="Q180" i="39"/>
  <c r="P180" i="39"/>
  <c r="O180" i="39"/>
  <c r="N180" i="39"/>
  <c r="M180" i="39"/>
  <c r="L180" i="39"/>
  <c r="K180" i="39"/>
  <c r="J180" i="39"/>
  <c r="I180" i="39"/>
  <c r="H180" i="39"/>
  <c r="G180" i="39"/>
  <c r="F180" i="39"/>
  <c r="E180" i="39"/>
  <c r="D180" i="39"/>
  <c r="C180" i="39"/>
  <c r="B180" i="39"/>
  <c r="X160" i="39"/>
  <c r="W160" i="39"/>
  <c r="V160" i="39"/>
  <c r="U160" i="39"/>
  <c r="T160" i="39"/>
  <c r="S160" i="39"/>
  <c r="R160" i="39"/>
  <c r="Q160" i="39"/>
  <c r="P160" i="39"/>
  <c r="O160" i="39"/>
  <c r="N160" i="39"/>
  <c r="M160" i="39"/>
  <c r="L160" i="39"/>
  <c r="K160" i="39"/>
  <c r="J160" i="39"/>
  <c r="I160" i="39"/>
  <c r="H160" i="39"/>
  <c r="G160" i="39"/>
  <c r="F160" i="39"/>
  <c r="E160" i="39"/>
  <c r="D160" i="39"/>
  <c r="C160" i="39"/>
  <c r="B160" i="39"/>
  <c r="X140" i="39"/>
  <c r="W140" i="39"/>
  <c r="V140" i="39"/>
  <c r="U140" i="39"/>
  <c r="T140" i="39"/>
  <c r="S140" i="39"/>
  <c r="R140" i="39"/>
  <c r="Q140" i="39"/>
  <c r="P140" i="39"/>
  <c r="O140" i="39"/>
  <c r="N140" i="39"/>
  <c r="M140" i="39"/>
  <c r="L140" i="39"/>
  <c r="K140" i="39"/>
  <c r="J140" i="39"/>
  <c r="I140" i="39"/>
  <c r="H140" i="39"/>
  <c r="G140" i="39"/>
  <c r="F140" i="39"/>
  <c r="E140" i="39"/>
  <c r="D140" i="39"/>
  <c r="C140" i="39"/>
  <c r="B140" i="39"/>
  <c r="X120" i="39"/>
  <c r="W120" i="39"/>
  <c r="V120" i="39"/>
  <c r="U120" i="39"/>
  <c r="S120" i="39"/>
  <c r="R120" i="39"/>
  <c r="Q120" i="39"/>
  <c r="P120" i="39"/>
  <c r="O120" i="39"/>
  <c r="N120" i="39"/>
  <c r="M120" i="39"/>
  <c r="L120" i="39"/>
  <c r="K120" i="39"/>
  <c r="J120" i="39"/>
  <c r="I120" i="39"/>
  <c r="H120" i="39"/>
  <c r="G120" i="39"/>
  <c r="F120" i="39"/>
  <c r="E120" i="39"/>
  <c r="D120" i="39"/>
  <c r="C120" i="39"/>
  <c r="B120" i="39"/>
  <c r="T107" i="39"/>
  <c r="T120" i="39" s="1"/>
  <c r="S100" i="39"/>
  <c r="Q100" i="39"/>
  <c r="P100" i="39"/>
  <c r="O100" i="39"/>
  <c r="N100" i="39"/>
  <c r="M100" i="39"/>
  <c r="L100" i="39"/>
  <c r="K100" i="39"/>
  <c r="J100" i="39"/>
  <c r="I100" i="39"/>
  <c r="H100" i="39"/>
  <c r="G100" i="39"/>
  <c r="F100" i="39"/>
  <c r="E100" i="39"/>
  <c r="D100" i="39"/>
  <c r="C100" i="39"/>
  <c r="B100" i="39"/>
  <c r="S95" i="39"/>
  <c r="R95" i="39"/>
  <c r="S92" i="39"/>
  <c r="R92" i="39"/>
  <c r="V100" i="39"/>
  <c r="U100" i="39"/>
  <c r="T100" i="39"/>
  <c r="S89" i="39"/>
  <c r="R89" i="39"/>
  <c r="R100" i="39" s="1"/>
  <c r="U80" i="39"/>
  <c r="Q80" i="39"/>
  <c r="P80" i="39"/>
  <c r="O80" i="39"/>
  <c r="N80" i="39"/>
  <c r="M80" i="39"/>
  <c r="L80" i="39"/>
  <c r="K80" i="39"/>
  <c r="J80" i="39"/>
  <c r="I80" i="39"/>
  <c r="H80" i="39"/>
  <c r="G80" i="39"/>
  <c r="F80" i="39"/>
  <c r="E80" i="39"/>
  <c r="D80" i="39"/>
  <c r="C80" i="39"/>
  <c r="B80" i="39"/>
  <c r="U33" i="39"/>
  <c r="V30" i="39"/>
  <c r="R30" i="39"/>
  <c r="V80" i="39"/>
  <c r="T80" i="39"/>
  <c r="S80" i="39"/>
  <c r="R80" i="39"/>
  <c r="Q60" i="39"/>
  <c r="P60" i="39"/>
  <c r="O60" i="39"/>
  <c r="N60" i="39"/>
  <c r="M60" i="39"/>
  <c r="L60" i="39"/>
  <c r="K60" i="39"/>
  <c r="J60" i="39"/>
  <c r="I60" i="39"/>
  <c r="H60" i="39"/>
  <c r="G60" i="39"/>
  <c r="F60" i="39"/>
  <c r="E60" i="39"/>
  <c r="D60" i="39"/>
  <c r="C60" i="39"/>
  <c r="B60" i="39"/>
  <c r="T33" i="39"/>
  <c r="S55" i="39"/>
  <c r="S60" i="39" s="1"/>
  <c r="R55" i="39"/>
  <c r="U30" i="39"/>
  <c r="K236" i="19" s="1"/>
  <c r="S52" i="39"/>
  <c r="R52" i="39"/>
  <c r="V27" i="39"/>
  <c r="K245" i="19" s="1"/>
  <c r="U60" i="39"/>
  <c r="T60" i="39"/>
  <c r="S49" i="39"/>
  <c r="R49" i="39"/>
  <c r="R27" i="39" s="1"/>
  <c r="K197" i="19" s="1"/>
  <c r="V36" i="39"/>
  <c r="K254" i="19" s="1"/>
  <c r="U36" i="39"/>
  <c r="K242" i="19" s="1"/>
  <c r="T36" i="39"/>
  <c r="S36" i="39"/>
  <c r="R36" i="39"/>
  <c r="K206" i="19" s="1"/>
  <c r="Q36" i="39"/>
  <c r="K194" i="19" s="1"/>
  <c r="P36" i="39"/>
  <c r="O36" i="39"/>
  <c r="O34" i="39" s="1"/>
  <c r="N36" i="39"/>
  <c r="K158" i="19" s="1"/>
  <c r="M36" i="39"/>
  <c r="K146" i="19" s="1"/>
  <c r="L36" i="39"/>
  <c r="I36" i="39"/>
  <c r="E36" i="39"/>
  <c r="D36" i="39"/>
  <c r="E25" i="39" s="1"/>
  <c r="C36" i="39"/>
  <c r="D25" i="39" s="1"/>
  <c r="B36" i="39"/>
  <c r="V33" i="39"/>
  <c r="K251" i="19" s="1"/>
  <c r="S33" i="39"/>
  <c r="K215" i="19" s="1"/>
  <c r="R33" i="39"/>
  <c r="K203" i="19" s="1"/>
  <c r="Q33" i="39"/>
  <c r="P33" i="39"/>
  <c r="O33" i="39"/>
  <c r="N33" i="39"/>
  <c r="M33" i="39"/>
  <c r="B33" i="39"/>
  <c r="B34" i="39" s="1"/>
  <c r="B35" i="39" s="1"/>
  <c r="Q31" i="39"/>
  <c r="Q32" i="39" s="1"/>
  <c r="P31" i="39"/>
  <c r="P32" i="39" s="1"/>
  <c r="M31" i="39"/>
  <c r="M32" i="39" s="1"/>
  <c r="T30" i="39"/>
  <c r="K224" i="19" s="1"/>
  <c r="S30" i="39"/>
  <c r="Q30" i="39"/>
  <c r="P30" i="39"/>
  <c r="O30" i="39"/>
  <c r="O31" i="39" s="1"/>
  <c r="O32" i="39" s="1"/>
  <c r="N30" i="39"/>
  <c r="N31" i="39" s="1"/>
  <c r="N32" i="39" s="1"/>
  <c r="M30" i="39"/>
  <c r="Q28" i="39"/>
  <c r="Q29" i="39" s="1"/>
  <c r="N28" i="39"/>
  <c r="N29" i="39" s="1"/>
  <c r="E28" i="39"/>
  <c r="E29" i="39" s="1"/>
  <c r="E30" i="39" s="1"/>
  <c r="E31" i="39" s="1"/>
  <c r="E32" i="39" s="1"/>
  <c r="E33" i="39" s="1"/>
  <c r="E34" i="39" s="1"/>
  <c r="E35" i="39" s="1"/>
  <c r="U27" i="39"/>
  <c r="K233" i="19" s="1"/>
  <c r="T27" i="39"/>
  <c r="Q27" i="39"/>
  <c r="P27" i="39"/>
  <c r="P28" i="39" s="1"/>
  <c r="P29" i="39" s="1"/>
  <c r="O27" i="39"/>
  <c r="N27" i="39"/>
  <c r="E26" i="39"/>
  <c r="E27" i="39" s="1"/>
  <c r="B26" i="39"/>
  <c r="B27" i="39" s="1"/>
  <c r="B28" i="39" s="1"/>
  <c r="B29" i="39" s="1"/>
  <c r="B30" i="39" s="1"/>
  <c r="B31" i="39" s="1"/>
  <c r="B32" i="39" s="1"/>
  <c r="F25" i="39"/>
  <c r="F26" i="39" s="1"/>
  <c r="F27" i="39" s="1"/>
  <c r="F28" i="39" s="1"/>
  <c r="F29" i="39" s="1"/>
  <c r="F30" i="39" s="1"/>
  <c r="F31" i="39" s="1"/>
  <c r="F32" i="39" s="1"/>
  <c r="F33" i="39" s="1"/>
  <c r="F34" i="39" s="1"/>
  <c r="F35" i="39" s="1"/>
  <c r="F36" i="39" s="1"/>
  <c r="G25" i="39" s="1"/>
  <c r="C25" i="39"/>
  <c r="B25" i="39"/>
  <c r="G7" i="39"/>
  <c r="K36" i="39" s="1"/>
  <c r="A7" i="39"/>
  <c r="A8" i="39" s="1"/>
  <c r="A9" i="39" s="1"/>
  <c r="A10" i="39" s="1"/>
  <c r="A11" i="39" s="1"/>
  <c r="A12" i="39" s="1"/>
  <c r="A13" i="39" s="1"/>
  <c r="A14" i="39" s="1"/>
  <c r="A15" i="39" s="1"/>
  <c r="A16" i="39" s="1"/>
  <c r="A17" i="39" s="1"/>
  <c r="A6" i="39"/>
  <c r="X119" i="33"/>
  <c r="W119" i="33"/>
  <c r="V119" i="33"/>
  <c r="U119" i="33"/>
  <c r="T119" i="33"/>
  <c r="S119" i="33"/>
  <c r="R119" i="33"/>
  <c r="Q119" i="33"/>
  <c r="P119" i="33"/>
  <c r="O119" i="33"/>
  <c r="N119" i="33"/>
  <c r="M119" i="33"/>
  <c r="L119" i="33"/>
  <c r="K119" i="33"/>
  <c r="J119" i="33"/>
  <c r="I119" i="33"/>
  <c r="H119" i="33"/>
  <c r="G119" i="33"/>
  <c r="F119" i="33"/>
  <c r="E119" i="33"/>
  <c r="D119" i="33"/>
  <c r="C119" i="33"/>
  <c r="B119" i="33"/>
  <c r="X100" i="33"/>
  <c r="W100" i="33"/>
  <c r="V100" i="33"/>
  <c r="U100" i="33"/>
  <c r="T100" i="33"/>
  <c r="S100" i="33"/>
  <c r="R100" i="33"/>
  <c r="Q100" i="33"/>
  <c r="P100" i="33"/>
  <c r="O100" i="33"/>
  <c r="N100" i="33"/>
  <c r="M100" i="33"/>
  <c r="L100" i="33"/>
  <c r="K100" i="33"/>
  <c r="J100" i="33"/>
  <c r="I100" i="33"/>
  <c r="H100" i="33"/>
  <c r="G100" i="33"/>
  <c r="F100" i="33"/>
  <c r="E100" i="33"/>
  <c r="D100" i="33"/>
  <c r="C100" i="33"/>
  <c r="B100" i="33"/>
  <c r="X81" i="33"/>
  <c r="W81" i="33"/>
  <c r="V81" i="33"/>
  <c r="U81" i="33"/>
  <c r="T81" i="33"/>
  <c r="S81" i="33"/>
  <c r="R81" i="33"/>
  <c r="Q81" i="33"/>
  <c r="P81" i="33"/>
  <c r="O81" i="33"/>
  <c r="N81" i="33"/>
  <c r="M81" i="33"/>
  <c r="L81" i="33"/>
  <c r="K81" i="33"/>
  <c r="J81" i="33"/>
  <c r="I81" i="33"/>
  <c r="H81" i="33"/>
  <c r="G81" i="33"/>
  <c r="F81" i="33"/>
  <c r="E81" i="33"/>
  <c r="D81" i="33"/>
  <c r="C81" i="33"/>
  <c r="B81" i="33"/>
  <c r="X61" i="33"/>
  <c r="W61" i="33"/>
  <c r="V61" i="33"/>
  <c r="U61" i="33"/>
  <c r="T61" i="33"/>
  <c r="S61" i="33"/>
  <c r="R61" i="33"/>
  <c r="Q61" i="33"/>
  <c r="P61" i="33"/>
  <c r="O61" i="33"/>
  <c r="N61" i="33"/>
  <c r="M61" i="33"/>
  <c r="L61" i="33"/>
  <c r="K61" i="33"/>
  <c r="J61" i="33"/>
  <c r="I61" i="33"/>
  <c r="H61" i="33"/>
  <c r="G61" i="33"/>
  <c r="F61" i="33"/>
  <c r="E61" i="33"/>
  <c r="D61" i="33"/>
  <c r="C61" i="33"/>
  <c r="B61" i="33"/>
  <c r="X41" i="33"/>
  <c r="W41" i="33"/>
  <c r="V41" i="33"/>
  <c r="U41" i="33"/>
  <c r="T41" i="33"/>
  <c r="S41" i="33"/>
  <c r="R41" i="33"/>
  <c r="Q41" i="33"/>
  <c r="P41" i="33"/>
  <c r="O41" i="33"/>
  <c r="N41" i="33"/>
  <c r="M41" i="33"/>
  <c r="L41" i="33"/>
  <c r="K41" i="33"/>
  <c r="J41" i="33"/>
  <c r="I41" i="33"/>
  <c r="H41" i="33"/>
  <c r="G41" i="33"/>
  <c r="F41" i="33"/>
  <c r="E41" i="33"/>
  <c r="D41" i="33"/>
  <c r="C41" i="33"/>
  <c r="B41" i="33"/>
  <c r="X21" i="33"/>
  <c r="W21" i="33"/>
  <c r="V21" i="33"/>
  <c r="U21" i="33"/>
  <c r="T21" i="33"/>
  <c r="S21" i="33"/>
  <c r="R21" i="33"/>
  <c r="Q21" i="33"/>
  <c r="P21" i="33"/>
  <c r="O21" i="33"/>
  <c r="N21" i="33"/>
  <c r="M21" i="33"/>
  <c r="L21" i="33"/>
  <c r="K21" i="33"/>
  <c r="J21" i="33"/>
  <c r="I21" i="33"/>
  <c r="H21" i="33"/>
  <c r="G21" i="33"/>
  <c r="F21" i="33"/>
  <c r="E21" i="33"/>
  <c r="D21" i="33"/>
  <c r="C21" i="33"/>
  <c r="B21" i="33"/>
  <c r="M242" i="19"/>
  <c r="H193" i="43" s="1"/>
  <c r="M241" i="19"/>
  <c r="H192" i="43" s="1"/>
  <c r="M240" i="19"/>
  <c r="H191" i="43" s="1"/>
  <c r="M239" i="19"/>
  <c r="H190" i="43" s="1"/>
  <c r="M238" i="19"/>
  <c r="H189" i="43" s="1"/>
  <c r="M237" i="19"/>
  <c r="H188" i="43" s="1"/>
  <c r="M236" i="19"/>
  <c r="H187" i="43" s="1"/>
  <c r="M235" i="19"/>
  <c r="H186" i="43" s="1"/>
  <c r="M234" i="19"/>
  <c r="H185" i="43" s="1"/>
  <c r="M233" i="19"/>
  <c r="H184" i="43" s="1"/>
  <c r="M232" i="19"/>
  <c r="H183" i="43" s="1"/>
  <c r="M231" i="19"/>
  <c r="H182" i="43" s="1"/>
  <c r="M230" i="19"/>
  <c r="H181" i="43" s="1"/>
  <c r="M229" i="19"/>
  <c r="H180" i="43" s="1"/>
  <c r="M228" i="19"/>
  <c r="H179" i="43" s="1"/>
  <c r="M227" i="19"/>
  <c r="H178" i="43" s="1"/>
  <c r="M226" i="19"/>
  <c r="H177" i="43" s="1"/>
  <c r="M225" i="19"/>
  <c r="H176" i="43" s="1"/>
  <c r="M224" i="19"/>
  <c r="H175" i="43" s="1"/>
  <c r="M223" i="19"/>
  <c r="H174" i="43" s="1"/>
  <c r="M222" i="19"/>
  <c r="H173" i="43" s="1"/>
  <c r="M221" i="19"/>
  <c r="H172" i="43" s="1"/>
  <c r="M220" i="19"/>
  <c r="H171" i="43" s="1"/>
  <c r="M219" i="19"/>
  <c r="H170" i="43" s="1"/>
  <c r="M218" i="19"/>
  <c r="H169" i="43" s="1"/>
  <c r="M217" i="19"/>
  <c r="H168" i="43" s="1"/>
  <c r="M216" i="19"/>
  <c r="H167" i="43" s="1"/>
  <c r="M215" i="19"/>
  <c r="H166" i="43" s="1"/>
  <c r="M214" i="19"/>
  <c r="H165" i="43" s="1"/>
  <c r="M213" i="19"/>
  <c r="H164" i="43" s="1"/>
  <c r="M212" i="19"/>
  <c r="H163" i="43" s="1"/>
  <c r="M211" i="19"/>
  <c r="H162" i="43" s="1"/>
  <c r="M210" i="19"/>
  <c r="H161" i="43" s="1"/>
  <c r="M209" i="19"/>
  <c r="H160" i="43" s="1"/>
  <c r="M208" i="19"/>
  <c r="H159" i="43" s="1"/>
  <c r="M207" i="19"/>
  <c r="H158" i="43" s="1"/>
  <c r="M206" i="19"/>
  <c r="H157" i="43" s="1"/>
  <c r="M205" i="19"/>
  <c r="H156" i="43" s="1"/>
  <c r="M204" i="19"/>
  <c r="H155" i="43" s="1"/>
  <c r="M203" i="19"/>
  <c r="H154" i="43" s="1"/>
  <c r="M202" i="19"/>
  <c r="H153" i="43" s="1"/>
  <c r="M201" i="19"/>
  <c r="H152" i="43" s="1"/>
  <c r="M200" i="19"/>
  <c r="H151" i="43" s="1"/>
  <c r="M199" i="19"/>
  <c r="H150" i="43" s="1"/>
  <c r="M198" i="19"/>
  <c r="H149" i="43" s="1"/>
  <c r="M197" i="19"/>
  <c r="H148" i="43" s="1"/>
  <c r="M196" i="19"/>
  <c r="H147" i="43" s="1"/>
  <c r="M195" i="19"/>
  <c r="H146" i="43" s="1"/>
  <c r="M194" i="19"/>
  <c r="H145" i="43" s="1"/>
  <c r="M193" i="19"/>
  <c r="H144" i="43" s="1"/>
  <c r="M192" i="19"/>
  <c r="H143" i="43" s="1"/>
  <c r="M191" i="19"/>
  <c r="H142" i="43" s="1"/>
  <c r="M190" i="19"/>
  <c r="H141" i="43" s="1"/>
  <c r="M189" i="19"/>
  <c r="H140" i="43" s="1"/>
  <c r="M188" i="19"/>
  <c r="H139" i="43" s="1"/>
  <c r="M187" i="19"/>
  <c r="H138" i="43" s="1"/>
  <c r="M186" i="19"/>
  <c r="H137" i="43" s="1"/>
  <c r="M185" i="19"/>
  <c r="H136" i="43" s="1"/>
  <c r="M184" i="19"/>
  <c r="H135" i="43" s="1"/>
  <c r="M183" i="19"/>
  <c r="H134" i="43" s="1"/>
  <c r="M182" i="19"/>
  <c r="H133" i="43" s="1"/>
  <c r="M181" i="19"/>
  <c r="H132" i="43" s="1"/>
  <c r="M180" i="19"/>
  <c r="H131" i="43" s="1"/>
  <c r="M179" i="19"/>
  <c r="H130" i="43" s="1"/>
  <c r="M178" i="19"/>
  <c r="H129" i="43" s="1"/>
  <c r="M177" i="19"/>
  <c r="H128" i="43" s="1"/>
  <c r="M176" i="19"/>
  <c r="H127" i="43" s="1"/>
  <c r="M175" i="19"/>
  <c r="H126" i="43" s="1"/>
  <c r="M174" i="19"/>
  <c r="H125" i="43" s="1"/>
  <c r="M173" i="19"/>
  <c r="H124" i="43" s="1"/>
  <c r="M172" i="19"/>
  <c r="H123" i="43" s="1"/>
  <c r="M171" i="19"/>
  <c r="H122" i="43" s="1"/>
  <c r="R37" i="35"/>
  <c r="Q37" i="35"/>
  <c r="N35" i="35"/>
  <c r="U34" i="35"/>
  <c r="U33" i="35"/>
  <c r="C33" i="35"/>
  <c r="B33" i="35"/>
  <c r="F32" i="35"/>
  <c r="E32" i="35"/>
  <c r="D32" i="35"/>
  <c r="Q31" i="35"/>
  <c r="F31" i="35"/>
  <c r="E31" i="35"/>
  <c r="D31" i="35"/>
  <c r="F30" i="35"/>
  <c r="D30" i="35"/>
  <c r="E30" i="35" s="1"/>
  <c r="F29" i="35"/>
  <c r="D29" i="35"/>
  <c r="E29" i="35" s="1"/>
  <c r="U28" i="35"/>
  <c r="F28" i="35"/>
  <c r="E28" i="35"/>
  <c r="D28" i="35"/>
  <c r="Q27" i="35"/>
  <c r="U27" i="35" s="1"/>
  <c r="F27" i="35"/>
  <c r="E27" i="35"/>
  <c r="D27" i="35"/>
  <c r="F26" i="35"/>
  <c r="D26" i="35"/>
  <c r="E26" i="35" s="1"/>
  <c r="F25" i="35"/>
  <c r="E25" i="35"/>
  <c r="D25" i="35"/>
  <c r="F24" i="35"/>
  <c r="G24" i="35" s="1"/>
  <c r="H24" i="35" s="1"/>
  <c r="P6" i="35" s="1"/>
  <c r="D24" i="35"/>
  <c r="E24" i="35" s="1"/>
  <c r="G23" i="35"/>
  <c r="H23" i="35" s="1"/>
  <c r="O19" i="35"/>
  <c r="N19" i="35"/>
  <c r="M19" i="35"/>
  <c r="L19" i="35"/>
  <c r="K19" i="35"/>
  <c r="J19" i="35"/>
  <c r="I19" i="35"/>
  <c r="H19" i="35"/>
  <c r="G19" i="35"/>
  <c r="F19" i="35"/>
  <c r="E19" i="35"/>
  <c r="D19" i="35"/>
  <c r="C19" i="35"/>
  <c r="B19" i="35"/>
  <c r="V39" i="32"/>
  <c r="D254" i="19" s="1"/>
  <c r="D205" i="43" s="1"/>
  <c r="U39" i="32"/>
  <c r="D242" i="19" s="1"/>
  <c r="D193" i="43" s="1"/>
  <c r="T39" i="32"/>
  <c r="D230" i="19" s="1"/>
  <c r="D181" i="43" s="1"/>
  <c r="S39" i="32"/>
  <c r="D218" i="19" s="1"/>
  <c r="D169" i="43" s="1"/>
  <c r="R39" i="32"/>
  <c r="D206" i="19" s="1"/>
  <c r="D157" i="43" s="1"/>
  <c r="Q39" i="32"/>
  <c r="D194" i="19" s="1"/>
  <c r="D145" i="43" s="1"/>
  <c r="P39" i="32"/>
  <c r="D182" i="19" s="1"/>
  <c r="D133" i="43" s="1"/>
  <c r="O39" i="32"/>
  <c r="D170" i="19" s="1"/>
  <c r="D121" i="43" s="1"/>
  <c r="N39" i="32"/>
  <c r="D158" i="19" s="1"/>
  <c r="D109" i="43" s="1"/>
  <c r="M39" i="32"/>
  <c r="L39" i="32"/>
  <c r="D134" i="19" s="1"/>
  <c r="D85" i="43" s="1"/>
  <c r="K39" i="32"/>
  <c r="D122" i="19" s="1"/>
  <c r="D73" i="43" s="1"/>
  <c r="J39" i="32"/>
  <c r="D110" i="19" s="1"/>
  <c r="D61" i="43" s="1"/>
  <c r="I39" i="32"/>
  <c r="D98" i="19" s="1"/>
  <c r="D49" i="43" s="1"/>
  <c r="H39" i="32"/>
  <c r="D86" i="19" s="1"/>
  <c r="D37" i="43" s="1"/>
  <c r="G39" i="32"/>
  <c r="D74" i="19" s="1"/>
  <c r="D25" i="43" s="1"/>
  <c r="F39" i="32"/>
  <c r="D62" i="19" s="1"/>
  <c r="D13" i="43" s="1"/>
  <c r="E39" i="32"/>
  <c r="D50" i="19" s="1"/>
  <c r="D39" i="32"/>
  <c r="D38" i="19" s="1"/>
  <c r="C39" i="32"/>
  <c r="B39" i="32"/>
  <c r="D14" i="19" s="1"/>
  <c r="V38" i="32"/>
  <c r="D253" i="19" s="1"/>
  <c r="D204" i="43" s="1"/>
  <c r="U38" i="32"/>
  <c r="D241" i="19" s="1"/>
  <c r="D192" i="43" s="1"/>
  <c r="T38" i="32"/>
  <c r="D229" i="19" s="1"/>
  <c r="D180" i="43" s="1"/>
  <c r="S38" i="32"/>
  <c r="D217" i="19" s="1"/>
  <c r="D168" i="43" s="1"/>
  <c r="R38" i="32"/>
  <c r="D205" i="19" s="1"/>
  <c r="D156" i="43" s="1"/>
  <c r="Q38" i="32"/>
  <c r="D193" i="19" s="1"/>
  <c r="D144" i="43" s="1"/>
  <c r="P38" i="32"/>
  <c r="D181" i="19" s="1"/>
  <c r="D132" i="43" s="1"/>
  <c r="O38" i="32"/>
  <c r="D169" i="19" s="1"/>
  <c r="D120" i="43" s="1"/>
  <c r="N38" i="32"/>
  <c r="D157" i="19" s="1"/>
  <c r="D108" i="43" s="1"/>
  <c r="M38" i="32"/>
  <c r="L38" i="32"/>
  <c r="D133" i="19" s="1"/>
  <c r="D84" i="43" s="1"/>
  <c r="K38" i="32"/>
  <c r="D121" i="19" s="1"/>
  <c r="D72" i="43" s="1"/>
  <c r="J38" i="32"/>
  <c r="D109" i="19" s="1"/>
  <c r="D60" i="43" s="1"/>
  <c r="I38" i="32"/>
  <c r="D97" i="19" s="1"/>
  <c r="D48" i="43" s="1"/>
  <c r="H38" i="32"/>
  <c r="D85" i="19" s="1"/>
  <c r="D36" i="43" s="1"/>
  <c r="G38" i="32"/>
  <c r="D73" i="19" s="1"/>
  <c r="D24" i="43" s="1"/>
  <c r="F38" i="32"/>
  <c r="D61" i="19" s="1"/>
  <c r="D12" i="43" s="1"/>
  <c r="E38" i="32"/>
  <c r="D49" i="19" s="1"/>
  <c r="D38" i="32"/>
  <c r="D37" i="19" s="1"/>
  <c r="C38" i="32"/>
  <c r="B38" i="32"/>
  <c r="D13" i="19" s="1"/>
  <c r="V37" i="32"/>
  <c r="D252" i="19" s="1"/>
  <c r="D203" i="43" s="1"/>
  <c r="U37" i="32"/>
  <c r="D240" i="19" s="1"/>
  <c r="D191" i="43" s="1"/>
  <c r="T37" i="32"/>
  <c r="D228" i="19" s="1"/>
  <c r="D179" i="43" s="1"/>
  <c r="S37" i="32"/>
  <c r="D216" i="19" s="1"/>
  <c r="D167" i="43" s="1"/>
  <c r="R37" i="32"/>
  <c r="D204" i="19" s="1"/>
  <c r="D155" i="43" s="1"/>
  <c r="Q37" i="32"/>
  <c r="D192" i="19" s="1"/>
  <c r="D143" i="43" s="1"/>
  <c r="P37" i="32"/>
  <c r="D180" i="19" s="1"/>
  <c r="D131" i="43" s="1"/>
  <c r="O37" i="32"/>
  <c r="D168" i="19" s="1"/>
  <c r="D119" i="43" s="1"/>
  <c r="N37" i="32"/>
  <c r="D156" i="19" s="1"/>
  <c r="D107" i="43" s="1"/>
  <c r="M37" i="32"/>
  <c r="L37" i="32"/>
  <c r="D132" i="19" s="1"/>
  <c r="D83" i="43" s="1"/>
  <c r="K37" i="32"/>
  <c r="D120" i="19" s="1"/>
  <c r="D71" i="43" s="1"/>
  <c r="J37" i="32"/>
  <c r="D108" i="19" s="1"/>
  <c r="D59" i="43" s="1"/>
  <c r="I37" i="32"/>
  <c r="D96" i="19" s="1"/>
  <c r="D47" i="43" s="1"/>
  <c r="H37" i="32"/>
  <c r="D84" i="19" s="1"/>
  <c r="D35" i="43" s="1"/>
  <c r="G37" i="32"/>
  <c r="D72" i="19" s="1"/>
  <c r="D23" i="43" s="1"/>
  <c r="F37" i="32"/>
  <c r="D60" i="19" s="1"/>
  <c r="D11" i="43" s="1"/>
  <c r="E37" i="32"/>
  <c r="D48" i="19" s="1"/>
  <c r="D37" i="32"/>
  <c r="D36" i="19" s="1"/>
  <c r="C37" i="32"/>
  <c r="B37" i="32"/>
  <c r="D12" i="19" s="1"/>
  <c r="V36" i="32"/>
  <c r="D251" i="19" s="1"/>
  <c r="D202" i="43" s="1"/>
  <c r="U36" i="32"/>
  <c r="D239" i="19" s="1"/>
  <c r="D190" i="43" s="1"/>
  <c r="T36" i="32"/>
  <c r="D227" i="19" s="1"/>
  <c r="D178" i="43" s="1"/>
  <c r="S36" i="32"/>
  <c r="D215" i="19" s="1"/>
  <c r="D166" i="43" s="1"/>
  <c r="R36" i="32"/>
  <c r="D203" i="19" s="1"/>
  <c r="D154" i="43" s="1"/>
  <c r="Q36" i="32"/>
  <c r="D191" i="19" s="1"/>
  <c r="D142" i="43" s="1"/>
  <c r="P36" i="32"/>
  <c r="D179" i="19" s="1"/>
  <c r="D130" i="43" s="1"/>
  <c r="O36" i="32"/>
  <c r="D167" i="19" s="1"/>
  <c r="D118" i="43" s="1"/>
  <c r="N36" i="32"/>
  <c r="D155" i="19" s="1"/>
  <c r="D106" i="43" s="1"/>
  <c r="M36" i="32"/>
  <c r="L36" i="32"/>
  <c r="D131" i="19" s="1"/>
  <c r="D82" i="43" s="1"/>
  <c r="K36" i="32"/>
  <c r="D119" i="19" s="1"/>
  <c r="D70" i="43" s="1"/>
  <c r="J36" i="32"/>
  <c r="D107" i="19" s="1"/>
  <c r="D58" i="43" s="1"/>
  <c r="I36" i="32"/>
  <c r="D95" i="19" s="1"/>
  <c r="D46" i="43" s="1"/>
  <c r="H36" i="32"/>
  <c r="D83" i="19" s="1"/>
  <c r="D34" i="43" s="1"/>
  <c r="G36" i="32"/>
  <c r="D71" i="19" s="1"/>
  <c r="D22" i="43" s="1"/>
  <c r="F36" i="32"/>
  <c r="D59" i="19" s="1"/>
  <c r="D10" i="43" s="1"/>
  <c r="E36" i="32"/>
  <c r="D47" i="19" s="1"/>
  <c r="D36" i="32"/>
  <c r="D35" i="19" s="1"/>
  <c r="C36" i="32"/>
  <c r="B36" i="32"/>
  <c r="D11" i="19" s="1"/>
  <c r="V35" i="32"/>
  <c r="D250" i="19" s="1"/>
  <c r="D201" i="43" s="1"/>
  <c r="U35" i="32"/>
  <c r="D238" i="19" s="1"/>
  <c r="D189" i="43" s="1"/>
  <c r="T35" i="32"/>
  <c r="D226" i="19" s="1"/>
  <c r="D177" i="43" s="1"/>
  <c r="S35" i="32"/>
  <c r="D214" i="19" s="1"/>
  <c r="D165" i="43" s="1"/>
  <c r="R35" i="32"/>
  <c r="D202" i="19" s="1"/>
  <c r="D153" i="43" s="1"/>
  <c r="Q35" i="32"/>
  <c r="D190" i="19" s="1"/>
  <c r="D141" i="43" s="1"/>
  <c r="P35" i="32"/>
  <c r="D178" i="19" s="1"/>
  <c r="D129" i="43" s="1"/>
  <c r="O35" i="32"/>
  <c r="D166" i="19" s="1"/>
  <c r="D117" i="43" s="1"/>
  <c r="N35" i="32"/>
  <c r="D154" i="19" s="1"/>
  <c r="D105" i="43" s="1"/>
  <c r="M35" i="32"/>
  <c r="L35" i="32"/>
  <c r="D130" i="19" s="1"/>
  <c r="D81" i="43" s="1"/>
  <c r="K35" i="32"/>
  <c r="D118" i="19" s="1"/>
  <c r="D69" i="43" s="1"/>
  <c r="J35" i="32"/>
  <c r="D106" i="19" s="1"/>
  <c r="D57" i="43" s="1"/>
  <c r="I35" i="32"/>
  <c r="D94" i="19" s="1"/>
  <c r="D45" i="43" s="1"/>
  <c r="H35" i="32"/>
  <c r="D82" i="19" s="1"/>
  <c r="D33" i="43" s="1"/>
  <c r="G35" i="32"/>
  <c r="D70" i="19" s="1"/>
  <c r="D21" i="43" s="1"/>
  <c r="F35" i="32"/>
  <c r="D58" i="19" s="1"/>
  <c r="D9" i="43" s="1"/>
  <c r="E35" i="32"/>
  <c r="D46" i="19" s="1"/>
  <c r="D35" i="32"/>
  <c r="D34" i="19" s="1"/>
  <c r="C35" i="32"/>
  <c r="B35" i="32"/>
  <c r="D10" i="19" s="1"/>
  <c r="V34" i="32"/>
  <c r="D249" i="19" s="1"/>
  <c r="D200" i="43" s="1"/>
  <c r="U34" i="32"/>
  <c r="D237" i="19" s="1"/>
  <c r="D188" i="43" s="1"/>
  <c r="T34" i="32"/>
  <c r="D225" i="19" s="1"/>
  <c r="D176" i="43" s="1"/>
  <c r="S34" i="32"/>
  <c r="D213" i="19" s="1"/>
  <c r="D164" i="43" s="1"/>
  <c r="R34" i="32"/>
  <c r="D201" i="19" s="1"/>
  <c r="D152" i="43" s="1"/>
  <c r="Q34" i="32"/>
  <c r="D189" i="19" s="1"/>
  <c r="D140" i="43" s="1"/>
  <c r="P34" i="32"/>
  <c r="D177" i="19" s="1"/>
  <c r="D128" i="43" s="1"/>
  <c r="O34" i="32"/>
  <c r="D165" i="19" s="1"/>
  <c r="D116" i="43" s="1"/>
  <c r="N34" i="32"/>
  <c r="D153" i="19" s="1"/>
  <c r="D104" i="43" s="1"/>
  <c r="M34" i="32"/>
  <c r="L34" i="32"/>
  <c r="D129" i="19" s="1"/>
  <c r="D80" i="43" s="1"/>
  <c r="K34" i="32"/>
  <c r="D117" i="19" s="1"/>
  <c r="D68" i="43" s="1"/>
  <c r="J34" i="32"/>
  <c r="D105" i="19" s="1"/>
  <c r="D56" i="43" s="1"/>
  <c r="I34" i="32"/>
  <c r="D93" i="19" s="1"/>
  <c r="D44" i="43" s="1"/>
  <c r="H34" i="32"/>
  <c r="D81" i="19" s="1"/>
  <c r="D32" i="43" s="1"/>
  <c r="G34" i="32"/>
  <c r="D69" i="19" s="1"/>
  <c r="D20" i="43" s="1"/>
  <c r="F34" i="32"/>
  <c r="D57" i="19" s="1"/>
  <c r="D8" i="43" s="1"/>
  <c r="E34" i="32"/>
  <c r="D45" i="19" s="1"/>
  <c r="D34" i="32"/>
  <c r="D33" i="19" s="1"/>
  <c r="C34" i="32"/>
  <c r="B34" i="32"/>
  <c r="D9" i="19" s="1"/>
  <c r="V33" i="32"/>
  <c r="D248" i="19" s="1"/>
  <c r="D199" i="43" s="1"/>
  <c r="U33" i="32"/>
  <c r="D236" i="19" s="1"/>
  <c r="D187" i="43" s="1"/>
  <c r="T33" i="32"/>
  <c r="D224" i="19" s="1"/>
  <c r="D175" i="43" s="1"/>
  <c r="S33" i="32"/>
  <c r="D212" i="19" s="1"/>
  <c r="D163" i="43" s="1"/>
  <c r="R33" i="32"/>
  <c r="D200" i="19" s="1"/>
  <c r="D151" i="43" s="1"/>
  <c r="Q33" i="32"/>
  <c r="D188" i="19" s="1"/>
  <c r="D139" i="43" s="1"/>
  <c r="P33" i="32"/>
  <c r="D176" i="19" s="1"/>
  <c r="D127" i="43" s="1"/>
  <c r="O33" i="32"/>
  <c r="D164" i="19" s="1"/>
  <c r="D115" i="43" s="1"/>
  <c r="N33" i="32"/>
  <c r="D152" i="19" s="1"/>
  <c r="D103" i="43" s="1"/>
  <c r="M33" i="32"/>
  <c r="L33" i="32"/>
  <c r="D128" i="19" s="1"/>
  <c r="D79" i="43" s="1"/>
  <c r="K33" i="32"/>
  <c r="D116" i="19" s="1"/>
  <c r="D67" i="43" s="1"/>
  <c r="J33" i="32"/>
  <c r="D104" i="19" s="1"/>
  <c r="D55" i="43" s="1"/>
  <c r="I33" i="32"/>
  <c r="D92" i="19" s="1"/>
  <c r="D43" i="43" s="1"/>
  <c r="H33" i="32"/>
  <c r="D80" i="19" s="1"/>
  <c r="D31" i="43" s="1"/>
  <c r="G33" i="32"/>
  <c r="D68" i="19" s="1"/>
  <c r="D19" i="43" s="1"/>
  <c r="F33" i="32"/>
  <c r="D56" i="19" s="1"/>
  <c r="D7" i="43" s="1"/>
  <c r="E33" i="32"/>
  <c r="D44" i="19" s="1"/>
  <c r="D33" i="32"/>
  <c r="D32" i="19" s="1"/>
  <c r="C33" i="32"/>
  <c r="B33" i="32"/>
  <c r="D8" i="19" s="1"/>
  <c r="V32" i="32"/>
  <c r="D247" i="19" s="1"/>
  <c r="D198" i="43" s="1"/>
  <c r="U32" i="32"/>
  <c r="D235" i="19" s="1"/>
  <c r="D186" i="43" s="1"/>
  <c r="T32" i="32"/>
  <c r="D223" i="19" s="1"/>
  <c r="D174" i="43" s="1"/>
  <c r="S32" i="32"/>
  <c r="D211" i="19" s="1"/>
  <c r="D162" i="43" s="1"/>
  <c r="R32" i="32"/>
  <c r="D199" i="19" s="1"/>
  <c r="D150" i="43" s="1"/>
  <c r="Q32" i="32"/>
  <c r="D187" i="19" s="1"/>
  <c r="D138" i="43" s="1"/>
  <c r="P32" i="32"/>
  <c r="D175" i="19" s="1"/>
  <c r="D126" i="43" s="1"/>
  <c r="O32" i="32"/>
  <c r="D163" i="19" s="1"/>
  <c r="D114" i="43" s="1"/>
  <c r="N32" i="32"/>
  <c r="D151" i="19" s="1"/>
  <c r="D102" i="43" s="1"/>
  <c r="M32" i="32"/>
  <c r="L32" i="32"/>
  <c r="D127" i="19" s="1"/>
  <c r="D78" i="43" s="1"/>
  <c r="K32" i="32"/>
  <c r="D115" i="19" s="1"/>
  <c r="D66" i="43" s="1"/>
  <c r="J32" i="32"/>
  <c r="D103" i="19" s="1"/>
  <c r="D54" i="43" s="1"/>
  <c r="I32" i="32"/>
  <c r="D91" i="19" s="1"/>
  <c r="D42" i="43" s="1"/>
  <c r="H32" i="32"/>
  <c r="D79" i="19" s="1"/>
  <c r="D30" i="43" s="1"/>
  <c r="G32" i="32"/>
  <c r="D67" i="19" s="1"/>
  <c r="D18" i="43" s="1"/>
  <c r="F32" i="32"/>
  <c r="D55" i="19" s="1"/>
  <c r="D6" i="43" s="1"/>
  <c r="E32" i="32"/>
  <c r="D43" i="19" s="1"/>
  <c r="D32" i="32"/>
  <c r="D31" i="19" s="1"/>
  <c r="C32" i="32"/>
  <c r="B32" i="32"/>
  <c r="D7" i="19" s="1"/>
  <c r="V31" i="32"/>
  <c r="D246" i="19" s="1"/>
  <c r="D197" i="43" s="1"/>
  <c r="U31" i="32"/>
  <c r="D234" i="19" s="1"/>
  <c r="D185" i="43" s="1"/>
  <c r="T31" i="32"/>
  <c r="D222" i="19" s="1"/>
  <c r="D173" i="43" s="1"/>
  <c r="S31" i="32"/>
  <c r="D210" i="19" s="1"/>
  <c r="D161" i="43" s="1"/>
  <c r="R31" i="32"/>
  <c r="D198" i="19" s="1"/>
  <c r="D149" i="43" s="1"/>
  <c r="Q31" i="32"/>
  <c r="D186" i="19" s="1"/>
  <c r="D137" i="43" s="1"/>
  <c r="P31" i="32"/>
  <c r="D174" i="19" s="1"/>
  <c r="D125" i="43" s="1"/>
  <c r="O31" i="32"/>
  <c r="D162" i="19" s="1"/>
  <c r="D113" i="43" s="1"/>
  <c r="N31" i="32"/>
  <c r="D150" i="19" s="1"/>
  <c r="D101" i="43" s="1"/>
  <c r="M31" i="32"/>
  <c r="L31" i="32"/>
  <c r="D126" i="19" s="1"/>
  <c r="D77" i="43" s="1"/>
  <c r="K31" i="32"/>
  <c r="D114" i="19" s="1"/>
  <c r="D65" i="43" s="1"/>
  <c r="J31" i="32"/>
  <c r="D102" i="19" s="1"/>
  <c r="D53" i="43" s="1"/>
  <c r="I31" i="32"/>
  <c r="D90" i="19" s="1"/>
  <c r="D41" i="43" s="1"/>
  <c r="H31" i="32"/>
  <c r="D78" i="19" s="1"/>
  <c r="D29" i="43" s="1"/>
  <c r="G31" i="32"/>
  <c r="D66" i="19" s="1"/>
  <c r="D17" i="43" s="1"/>
  <c r="F31" i="32"/>
  <c r="D54" i="19" s="1"/>
  <c r="D5" i="43" s="1"/>
  <c r="E31" i="32"/>
  <c r="D42" i="19" s="1"/>
  <c r="D31" i="32"/>
  <c r="D30" i="19" s="1"/>
  <c r="C31" i="32"/>
  <c r="B31" i="32"/>
  <c r="D6" i="19" s="1"/>
  <c r="V30" i="32"/>
  <c r="D245" i="19" s="1"/>
  <c r="D196" i="43" s="1"/>
  <c r="U30" i="32"/>
  <c r="D233" i="19" s="1"/>
  <c r="D184" i="43" s="1"/>
  <c r="T30" i="32"/>
  <c r="D221" i="19" s="1"/>
  <c r="D172" i="43" s="1"/>
  <c r="S30" i="32"/>
  <c r="D209" i="19" s="1"/>
  <c r="D160" i="43" s="1"/>
  <c r="R30" i="32"/>
  <c r="D197" i="19" s="1"/>
  <c r="D148" i="43" s="1"/>
  <c r="Q30" i="32"/>
  <c r="D185" i="19" s="1"/>
  <c r="D136" i="43" s="1"/>
  <c r="P30" i="32"/>
  <c r="D173" i="19" s="1"/>
  <c r="D124" i="43" s="1"/>
  <c r="O30" i="32"/>
  <c r="D161" i="19" s="1"/>
  <c r="D112" i="43" s="1"/>
  <c r="N30" i="32"/>
  <c r="D149" i="19" s="1"/>
  <c r="D100" i="43" s="1"/>
  <c r="M30" i="32"/>
  <c r="L30" i="32"/>
  <c r="D125" i="19" s="1"/>
  <c r="D76" i="43" s="1"/>
  <c r="K30" i="32"/>
  <c r="D113" i="19" s="1"/>
  <c r="D64" i="43" s="1"/>
  <c r="J30" i="32"/>
  <c r="D101" i="19" s="1"/>
  <c r="D52" i="43" s="1"/>
  <c r="I30" i="32"/>
  <c r="D89" i="19" s="1"/>
  <c r="D40" i="43" s="1"/>
  <c r="H30" i="32"/>
  <c r="D77" i="19" s="1"/>
  <c r="D28" i="43" s="1"/>
  <c r="G30" i="32"/>
  <c r="D65" i="19" s="1"/>
  <c r="D16" i="43" s="1"/>
  <c r="F30" i="32"/>
  <c r="D53" i="19" s="1"/>
  <c r="D4" i="43" s="1"/>
  <c r="E30" i="32"/>
  <c r="D41" i="19" s="1"/>
  <c r="D30" i="32"/>
  <c r="D29" i="19" s="1"/>
  <c r="C30" i="32"/>
  <c r="B30" i="32"/>
  <c r="D5" i="19" s="1"/>
  <c r="V29" i="32"/>
  <c r="D244" i="19" s="1"/>
  <c r="D195" i="43" s="1"/>
  <c r="U29" i="32"/>
  <c r="D232" i="19" s="1"/>
  <c r="D183" i="43" s="1"/>
  <c r="T29" i="32"/>
  <c r="D220" i="19" s="1"/>
  <c r="D171" i="43" s="1"/>
  <c r="S29" i="32"/>
  <c r="D208" i="19" s="1"/>
  <c r="D159" i="43" s="1"/>
  <c r="R29" i="32"/>
  <c r="D196" i="19" s="1"/>
  <c r="D147" i="43" s="1"/>
  <c r="Q29" i="32"/>
  <c r="D184" i="19" s="1"/>
  <c r="D135" i="43" s="1"/>
  <c r="P29" i="32"/>
  <c r="D172" i="19" s="1"/>
  <c r="D123" i="43" s="1"/>
  <c r="O29" i="32"/>
  <c r="D160" i="19" s="1"/>
  <c r="D111" i="43" s="1"/>
  <c r="N29" i="32"/>
  <c r="D148" i="19" s="1"/>
  <c r="D99" i="43" s="1"/>
  <c r="M29" i="32"/>
  <c r="L29" i="32"/>
  <c r="D124" i="19" s="1"/>
  <c r="D75" i="43" s="1"/>
  <c r="K29" i="32"/>
  <c r="D112" i="19" s="1"/>
  <c r="D63" i="43" s="1"/>
  <c r="J29" i="32"/>
  <c r="D100" i="19" s="1"/>
  <c r="D51" i="43" s="1"/>
  <c r="I29" i="32"/>
  <c r="D88" i="19" s="1"/>
  <c r="D39" i="43" s="1"/>
  <c r="H29" i="32"/>
  <c r="D76" i="19" s="1"/>
  <c r="D27" i="43" s="1"/>
  <c r="G29" i="32"/>
  <c r="D64" i="19" s="1"/>
  <c r="D15" i="43" s="1"/>
  <c r="F29" i="32"/>
  <c r="D52" i="19" s="1"/>
  <c r="D3" i="43" s="1"/>
  <c r="E29" i="32"/>
  <c r="D40" i="19" s="1"/>
  <c r="D29" i="32"/>
  <c r="D28" i="19" s="1"/>
  <c r="C29" i="32"/>
  <c r="B29" i="32"/>
  <c r="D4" i="19" s="1"/>
  <c r="V28" i="32"/>
  <c r="D243" i="19" s="1"/>
  <c r="D194" i="43" s="1"/>
  <c r="U28" i="32"/>
  <c r="D231" i="19" s="1"/>
  <c r="D182" i="43" s="1"/>
  <c r="T28" i="32"/>
  <c r="D219" i="19" s="1"/>
  <c r="D170" i="43" s="1"/>
  <c r="S28" i="32"/>
  <c r="D207" i="19" s="1"/>
  <c r="D158" i="43" s="1"/>
  <c r="R28" i="32"/>
  <c r="D195" i="19" s="1"/>
  <c r="D146" i="43" s="1"/>
  <c r="Q28" i="32"/>
  <c r="D183" i="19" s="1"/>
  <c r="D134" i="43" s="1"/>
  <c r="P28" i="32"/>
  <c r="D171" i="19" s="1"/>
  <c r="D122" i="43" s="1"/>
  <c r="O28" i="32"/>
  <c r="D159" i="19" s="1"/>
  <c r="D110" i="43" s="1"/>
  <c r="N28" i="32"/>
  <c r="D147" i="19" s="1"/>
  <c r="D98" i="43" s="1"/>
  <c r="M28" i="32"/>
  <c r="L28" i="32"/>
  <c r="D123" i="19" s="1"/>
  <c r="D74" i="43" s="1"/>
  <c r="K28" i="32"/>
  <c r="D111" i="19" s="1"/>
  <c r="D62" i="43" s="1"/>
  <c r="J28" i="32"/>
  <c r="D99" i="19" s="1"/>
  <c r="D50" i="43" s="1"/>
  <c r="I28" i="32"/>
  <c r="D87" i="19" s="1"/>
  <c r="D38" i="43" s="1"/>
  <c r="H28" i="32"/>
  <c r="D75" i="19" s="1"/>
  <c r="D26" i="43" s="1"/>
  <c r="G28" i="32"/>
  <c r="D63" i="19" s="1"/>
  <c r="D14" i="43" s="1"/>
  <c r="F28" i="32"/>
  <c r="E28" i="32"/>
  <c r="D39" i="19" s="1"/>
  <c r="D28" i="32"/>
  <c r="D27" i="19" s="1"/>
  <c r="C28" i="32"/>
  <c r="B28" i="32"/>
  <c r="V19" i="32"/>
  <c r="C254" i="19" s="1"/>
  <c r="C205" i="43" s="1"/>
  <c r="U19" i="32"/>
  <c r="C242" i="19" s="1"/>
  <c r="C193" i="43" s="1"/>
  <c r="T19" i="32"/>
  <c r="C230" i="19" s="1"/>
  <c r="S19" i="32"/>
  <c r="C218" i="19" s="1"/>
  <c r="C169" i="43" s="1"/>
  <c r="R19" i="32"/>
  <c r="C206" i="19" s="1"/>
  <c r="Q19" i="32"/>
  <c r="C194" i="19" s="1"/>
  <c r="C145" i="43" s="1"/>
  <c r="P19" i="32"/>
  <c r="C182" i="19" s="1"/>
  <c r="O19" i="32"/>
  <c r="C170" i="19" s="1"/>
  <c r="C121" i="43" s="1"/>
  <c r="N19" i="32"/>
  <c r="C158" i="19" s="1"/>
  <c r="M19" i="32"/>
  <c r="L19" i="32"/>
  <c r="C134" i="19" s="1"/>
  <c r="K19" i="32"/>
  <c r="C122" i="19" s="1"/>
  <c r="C73" i="43" s="1"/>
  <c r="J19" i="32"/>
  <c r="C110" i="19" s="1"/>
  <c r="I19" i="32"/>
  <c r="C98" i="19" s="1"/>
  <c r="C49" i="43" s="1"/>
  <c r="H19" i="32"/>
  <c r="C86" i="19" s="1"/>
  <c r="G19" i="32"/>
  <c r="C74" i="19" s="1"/>
  <c r="C25" i="43" s="1"/>
  <c r="F19" i="32"/>
  <c r="C62" i="19" s="1"/>
  <c r="C13" i="43" s="1"/>
  <c r="E19" i="32"/>
  <c r="C50" i="19" s="1"/>
  <c r="D19" i="32"/>
  <c r="C38" i="19" s="1"/>
  <c r="C19" i="32"/>
  <c r="B19" i="32"/>
  <c r="C14" i="19" s="1"/>
  <c r="V18" i="32"/>
  <c r="C253" i="19" s="1"/>
  <c r="C204" i="43" s="1"/>
  <c r="U18" i="32"/>
  <c r="C241" i="19" s="1"/>
  <c r="T18" i="32"/>
  <c r="C229" i="19" s="1"/>
  <c r="C180" i="43" s="1"/>
  <c r="S18" i="32"/>
  <c r="C217" i="19" s="1"/>
  <c r="R18" i="32"/>
  <c r="C205" i="19" s="1"/>
  <c r="C156" i="43" s="1"/>
  <c r="Q18" i="32"/>
  <c r="C193" i="19" s="1"/>
  <c r="P18" i="32"/>
  <c r="C181" i="19" s="1"/>
  <c r="C132" i="43" s="1"/>
  <c r="O18" i="32"/>
  <c r="C169" i="19" s="1"/>
  <c r="N18" i="32"/>
  <c r="C157" i="19" s="1"/>
  <c r="C108" i="43" s="1"/>
  <c r="M18" i="32"/>
  <c r="L18" i="32"/>
  <c r="C133" i="19" s="1"/>
  <c r="C84" i="43" s="1"/>
  <c r="K18" i="32"/>
  <c r="C121" i="19" s="1"/>
  <c r="J18" i="32"/>
  <c r="C109" i="19" s="1"/>
  <c r="C60" i="43" s="1"/>
  <c r="I18" i="32"/>
  <c r="C97" i="19" s="1"/>
  <c r="H18" i="32"/>
  <c r="C85" i="19" s="1"/>
  <c r="C36" i="43" s="1"/>
  <c r="G18" i="32"/>
  <c r="C73" i="19" s="1"/>
  <c r="F18" i="32"/>
  <c r="C61" i="19" s="1"/>
  <c r="C12" i="43" s="1"/>
  <c r="E18" i="32"/>
  <c r="C49" i="19" s="1"/>
  <c r="D18" i="32"/>
  <c r="C37" i="19" s="1"/>
  <c r="C18" i="32"/>
  <c r="B18" i="32"/>
  <c r="C13" i="19" s="1"/>
  <c r="V17" i="32"/>
  <c r="C252" i="19" s="1"/>
  <c r="C203" i="43" s="1"/>
  <c r="U17" i="32"/>
  <c r="C240" i="19" s="1"/>
  <c r="C191" i="43" s="1"/>
  <c r="T17" i="32"/>
  <c r="C228" i="19" s="1"/>
  <c r="S17" i="32"/>
  <c r="C216" i="19" s="1"/>
  <c r="C167" i="43" s="1"/>
  <c r="R17" i="32"/>
  <c r="C204" i="19" s="1"/>
  <c r="Q17" i="32"/>
  <c r="C192" i="19" s="1"/>
  <c r="C143" i="43" s="1"/>
  <c r="P17" i="32"/>
  <c r="C180" i="19" s="1"/>
  <c r="O17" i="32"/>
  <c r="C168" i="19" s="1"/>
  <c r="C119" i="43" s="1"/>
  <c r="N17" i="32"/>
  <c r="C156" i="19" s="1"/>
  <c r="M17" i="32"/>
  <c r="L17" i="32"/>
  <c r="C132" i="19" s="1"/>
  <c r="K17" i="32"/>
  <c r="C120" i="19" s="1"/>
  <c r="C71" i="43" s="1"/>
  <c r="J17" i="32"/>
  <c r="C108" i="19" s="1"/>
  <c r="I17" i="32"/>
  <c r="C96" i="19" s="1"/>
  <c r="C47" i="43" s="1"/>
  <c r="H17" i="32"/>
  <c r="C84" i="19" s="1"/>
  <c r="G17" i="32"/>
  <c r="C72" i="19" s="1"/>
  <c r="C23" i="43" s="1"/>
  <c r="F17" i="32"/>
  <c r="C60" i="19" s="1"/>
  <c r="C11" i="43" s="1"/>
  <c r="E17" i="32"/>
  <c r="C48" i="19" s="1"/>
  <c r="D17" i="32"/>
  <c r="C36" i="19" s="1"/>
  <c r="C17" i="32"/>
  <c r="B17" i="32"/>
  <c r="C12" i="19" s="1"/>
  <c r="V16" i="32"/>
  <c r="C251" i="19" s="1"/>
  <c r="C202" i="43" s="1"/>
  <c r="U16" i="32"/>
  <c r="C239" i="19" s="1"/>
  <c r="T16" i="32"/>
  <c r="C227" i="19" s="1"/>
  <c r="C178" i="43" s="1"/>
  <c r="S16" i="32"/>
  <c r="C215" i="19" s="1"/>
  <c r="R16" i="32"/>
  <c r="C203" i="19" s="1"/>
  <c r="C154" i="43" s="1"/>
  <c r="Q16" i="32"/>
  <c r="C191" i="19" s="1"/>
  <c r="P16" i="32"/>
  <c r="C179" i="19" s="1"/>
  <c r="C130" i="43" s="1"/>
  <c r="O16" i="32"/>
  <c r="C167" i="19" s="1"/>
  <c r="N16" i="32"/>
  <c r="C155" i="19" s="1"/>
  <c r="C106" i="43" s="1"/>
  <c r="M16" i="32"/>
  <c r="L16" i="32"/>
  <c r="C131" i="19" s="1"/>
  <c r="C82" i="43" s="1"/>
  <c r="K16" i="32"/>
  <c r="C119" i="19" s="1"/>
  <c r="J16" i="32"/>
  <c r="C107" i="19" s="1"/>
  <c r="C58" i="43" s="1"/>
  <c r="I16" i="32"/>
  <c r="C95" i="19" s="1"/>
  <c r="H16" i="32"/>
  <c r="C83" i="19" s="1"/>
  <c r="C34" i="43" s="1"/>
  <c r="G16" i="32"/>
  <c r="C71" i="19" s="1"/>
  <c r="F16" i="32"/>
  <c r="C59" i="19" s="1"/>
  <c r="C10" i="43" s="1"/>
  <c r="E16" i="32"/>
  <c r="C47" i="19" s="1"/>
  <c r="D16" i="32"/>
  <c r="C35" i="19" s="1"/>
  <c r="C16" i="32"/>
  <c r="B16" i="32"/>
  <c r="C11" i="19" s="1"/>
  <c r="V15" i="32"/>
  <c r="C250" i="19" s="1"/>
  <c r="C201" i="43" s="1"/>
  <c r="U15" i="32"/>
  <c r="C238" i="19" s="1"/>
  <c r="C189" i="43" s="1"/>
  <c r="T15" i="32"/>
  <c r="C226" i="19" s="1"/>
  <c r="S15" i="32"/>
  <c r="C214" i="19" s="1"/>
  <c r="C165" i="43" s="1"/>
  <c r="R15" i="32"/>
  <c r="C202" i="19" s="1"/>
  <c r="Q15" i="32"/>
  <c r="C190" i="19" s="1"/>
  <c r="C141" i="43" s="1"/>
  <c r="P15" i="32"/>
  <c r="C178" i="19" s="1"/>
  <c r="O15" i="32"/>
  <c r="C166" i="19" s="1"/>
  <c r="C117" i="43" s="1"/>
  <c r="N15" i="32"/>
  <c r="C154" i="19" s="1"/>
  <c r="M15" i="32"/>
  <c r="L15" i="32"/>
  <c r="C130" i="19" s="1"/>
  <c r="K15" i="32"/>
  <c r="C118" i="19" s="1"/>
  <c r="C69" i="43" s="1"/>
  <c r="J15" i="32"/>
  <c r="C106" i="19" s="1"/>
  <c r="I15" i="32"/>
  <c r="C94" i="19" s="1"/>
  <c r="C45" i="43" s="1"/>
  <c r="H15" i="32"/>
  <c r="C82" i="19" s="1"/>
  <c r="G15" i="32"/>
  <c r="C70" i="19" s="1"/>
  <c r="C21" i="43" s="1"/>
  <c r="F15" i="32"/>
  <c r="C58" i="19" s="1"/>
  <c r="C9" i="43" s="1"/>
  <c r="E15" i="32"/>
  <c r="C46" i="19" s="1"/>
  <c r="D15" i="32"/>
  <c r="C34" i="19" s="1"/>
  <c r="C15" i="32"/>
  <c r="B15" i="32"/>
  <c r="C10" i="19" s="1"/>
  <c r="V14" i="32"/>
  <c r="C249" i="19" s="1"/>
  <c r="C200" i="43" s="1"/>
  <c r="U14" i="32"/>
  <c r="C237" i="19" s="1"/>
  <c r="T14" i="32"/>
  <c r="C225" i="19" s="1"/>
  <c r="C176" i="43" s="1"/>
  <c r="S14" i="32"/>
  <c r="C213" i="19" s="1"/>
  <c r="R14" i="32"/>
  <c r="C201" i="19" s="1"/>
  <c r="C152" i="43" s="1"/>
  <c r="Q14" i="32"/>
  <c r="C189" i="19" s="1"/>
  <c r="P14" i="32"/>
  <c r="C177" i="19" s="1"/>
  <c r="C128" i="43" s="1"/>
  <c r="O14" i="32"/>
  <c r="C165" i="19" s="1"/>
  <c r="N14" i="32"/>
  <c r="C153" i="19" s="1"/>
  <c r="C104" i="43" s="1"/>
  <c r="M14" i="32"/>
  <c r="L14" i="32"/>
  <c r="C129" i="19" s="1"/>
  <c r="C80" i="43" s="1"/>
  <c r="K14" i="32"/>
  <c r="C117" i="19" s="1"/>
  <c r="J14" i="32"/>
  <c r="C105" i="19" s="1"/>
  <c r="C56" i="43" s="1"/>
  <c r="I14" i="32"/>
  <c r="C93" i="19" s="1"/>
  <c r="H14" i="32"/>
  <c r="C81" i="19" s="1"/>
  <c r="C32" i="43" s="1"/>
  <c r="G14" i="32"/>
  <c r="C69" i="19" s="1"/>
  <c r="F14" i="32"/>
  <c r="C57" i="19" s="1"/>
  <c r="C8" i="43" s="1"/>
  <c r="E14" i="32"/>
  <c r="C45" i="19" s="1"/>
  <c r="D14" i="32"/>
  <c r="C33" i="19" s="1"/>
  <c r="C14" i="32"/>
  <c r="B14" i="32"/>
  <c r="C9" i="19" s="1"/>
  <c r="V13" i="32"/>
  <c r="C248" i="19" s="1"/>
  <c r="C199" i="43" s="1"/>
  <c r="U13" i="32"/>
  <c r="C236" i="19" s="1"/>
  <c r="C187" i="43" s="1"/>
  <c r="T13" i="32"/>
  <c r="C224" i="19" s="1"/>
  <c r="S13" i="32"/>
  <c r="C212" i="19" s="1"/>
  <c r="C163" i="43" s="1"/>
  <c r="R13" i="32"/>
  <c r="C200" i="19" s="1"/>
  <c r="Q13" i="32"/>
  <c r="C188" i="19" s="1"/>
  <c r="C139" i="43" s="1"/>
  <c r="P13" i="32"/>
  <c r="C176" i="19" s="1"/>
  <c r="O13" i="32"/>
  <c r="C164" i="19" s="1"/>
  <c r="C115" i="43" s="1"/>
  <c r="N13" i="32"/>
  <c r="C152" i="19" s="1"/>
  <c r="M13" i="32"/>
  <c r="L13" i="32"/>
  <c r="C128" i="19" s="1"/>
  <c r="K13" i="32"/>
  <c r="C116" i="19" s="1"/>
  <c r="C67" i="43" s="1"/>
  <c r="J13" i="32"/>
  <c r="C104" i="19" s="1"/>
  <c r="I13" i="32"/>
  <c r="C92" i="19" s="1"/>
  <c r="C43" i="43" s="1"/>
  <c r="H13" i="32"/>
  <c r="C80" i="19" s="1"/>
  <c r="G13" i="32"/>
  <c r="C68" i="19" s="1"/>
  <c r="C19" i="43" s="1"/>
  <c r="F13" i="32"/>
  <c r="C56" i="19" s="1"/>
  <c r="C7" i="43" s="1"/>
  <c r="E13" i="32"/>
  <c r="C44" i="19" s="1"/>
  <c r="D13" i="32"/>
  <c r="C32" i="19" s="1"/>
  <c r="C13" i="32"/>
  <c r="B13" i="32"/>
  <c r="C8" i="19" s="1"/>
  <c r="V12" i="32"/>
  <c r="C247" i="19" s="1"/>
  <c r="C198" i="43" s="1"/>
  <c r="U12" i="32"/>
  <c r="C235" i="19" s="1"/>
  <c r="T12" i="32"/>
  <c r="C223" i="19" s="1"/>
  <c r="C174" i="43" s="1"/>
  <c r="S12" i="32"/>
  <c r="C211" i="19" s="1"/>
  <c r="R12" i="32"/>
  <c r="C199" i="19" s="1"/>
  <c r="C150" i="43" s="1"/>
  <c r="Q12" i="32"/>
  <c r="C187" i="19" s="1"/>
  <c r="P12" i="32"/>
  <c r="C175" i="19" s="1"/>
  <c r="C126" i="43" s="1"/>
  <c r="O12" i="32"/>
  <c r="C163" i="19" s="1"/>
  <c r="N12" i="32"/>
  <c r="C151" i="19" s="1"/>
  <c r="C102" i="43" s="1"/>
  <c r="M12" i="32"/>
  <c r="L12" i="32"/>
  <c r="C127" i="19" s="1"/>
  <c r="C78" i="43" s="1"/>
  <c r="K12" i="32"/>
  <c r="C115" i="19" s="1"/>
  <c r="J12" i="32"/>
  <c r="C103" i="19" s="1"/>
  <c r="C54" i="43" s="1"/>
  <c r="I12" i="32"/>
  <c r="C91" i="19" s="1"/>
  <c r="H12" i="32"/>
  <c r="C79" i="19" s="1"/>
  <c r="C30" i="43" s="1"/>
  <c r="G12" i="32"/>
  <c r="C67" i="19" s="1"/>
  <c r="F12" i="32"/>
  <c r="C55" i="19" s="1"/>
  <c r="C6" i="43" s="1"/>
  <c r="E12" i="32"/>
  <c r="C43" i="19" s="1"/>
  <c r="D12" i="32"/>
  <c r="C31" i="19" s="1"/>
  <c r="C12" i="32"/>
  <c r="B12" i="32"/>
  <c r="C7" i="19" s="1"/>
  <c r="V11" i="32"/>
  <c r="C246" i="19" s="1"/>
  <c r="C197" i="43" s="1"/>
  <c r="U11" i="32"/>
  <c r="C234" i="19" s="1"/>
  <c r="C185" i="43" s="1"/>
  <c r="T11" i="32"/>
  <c r="C222" i="19" s="1"/>
  <c r="S11" i="32"/>
  <c r="C210" i="19" s="1"/>
  <c r="C161" i="43" s="1"/>
  <c r="R11" i="32"/>
  <c r="C198" i="19" s="1"/>
  <c r="Q11" i="32"/>
  <c r="C186" i="19" s="1"/>
  <c r="C137" i="43" s="1"/>
  <c r="P11" i="32"/>
  <c r="C174" i="19" s="1"/>
  <c r="O11" i="32"/>
  <c r="C162" i="19" s="1"/>
  <c r="C113" i="43" s="1"/>
  <c r="N11" i="32"/>
  <c r="C150" i="19" s="1"/>
  <c r="M11" i="32"/>
  <c r="L11" i="32"/>
  <c r="C126" i="19" s="1"/>
  <c r="K11" i="32"/>
  <c r="C114" i="19" s="1"/>
  <c r="C65" i="43" s="1"/>
  <c r="J11" i="32"/>
  <c r="C102" i="19" s="1"/>
  <c r="I11" i="32"/>
  <c r="C90" i="19" s="1"/>
  <c r="C41" i="43" s="1"/>
  <c r="H11" i="32"/>
  <c r="C78" i="19" s="1"/>
  <c r="G11" i="32"/>
  <c r="C66" i="19" s="1"/>
  <c r="C17" i="43" s="1"/>
  <c r="F11" i="32"/>
  <c r="C54" i="19" s="1"/>
  <c r="C5" i="43" s="1"/>
  <c r="E11" i="32"/>
  <c r="C42" i="19" s="1"/>
  <c r="D11" i="32"/>
  <c r="C30" i="19" s="1"/>
  <c r="C11" i="32"/>
  <c r="B11" i="32"/>
  <c r="C6" i="19" s="1"/>
  <c r="V10" i="32"/>
  <c r="C245" i="19" s="1"/>
  <c r="C196" i="43" s="1"/>
  <c r="U10" i="32"/>
  <c r="C233" i="19" s="1"/>
  <c r="T10" i="32"/>
  <c r="C221" i="19" s="1"/>
  <c r="C172" i="43" s="1"/>
  <c r="S10" i="32"/>
  <c r="C209" i="19" s="1"/>
  <c r="R10" i="32"/>
  <c r="C197" i="19" s="1"/>
  <c r="C148" i="43" s="1"/>
  <c r="Q10" i="32"/>
  <c r="C185" i="19" s="1"/>
  <c r="P10" i="32"/>
  <c r="C173" i="19" s="1"/>
  <c r="C124" i="43" s="1"/>
  <c r="O10" i="32"/>
  <c r="C161" i="19" s="1"/>
  <c r="N10" i="32"/>
  <c r="C149" i="19" s="1"/>
  <c r="C100" i="43" s="1"/>
  <c r="M10" i="32"/>
  <c r="L10" i="32"/>
  <c r="C125" i="19" s="1"/>
  <c r="C76" i="43" s="1"/>
  <c r="K10" i="32"/>
  <c r="C113" i="19" s="1"/>
  <c r="J10" i="32"/>
  <c r="C101" i="19" s="1"/>
  <c r="C52" i="43" s="1"/>
  <c r="I10" i="32"/>
  <c r="C89" i="19" s="1"/>
  <c r="H10" i="32"/>
  <c r="C77" i="19" s="1"/>
  <c r="C28" i="43" s="1"/>
  <c r="G10" i="32"/>
  <c r="C65" i="19" s="1"/>
  <c r="F10" i="32"/>
  <c r="C53" i="19" s="1"/>
  <c r="C4" i="43" s="1"/>
  <c r="E10" i="32"/>
  <c r="C41" i="19" s="1"/>
  <c r="D10" i="32"/>
  <c r="C29" i="19" s="1"/>
  <c r="C10" i="32"/>
  <c r="B10" i="32"/>
  <c r="C5" i="19" s="1"/>
  <c r="V9" i="32"/>
  <c r="C244" i="19" s="1"/>
  <c r="C195" i="43" s="1"/>
  <c r="U9" i="32"/>
  <c r="C232" i="19" s="1"/>
  <c r="C183" i="43" s="1"/>
  <c r="T9" i="32"/>
  <c r="C220" i="19" s="1"/>
  <c r="S9" i="32"/>
  <c r="C208" i="19" s="1"/>
  <c r="C159" i="43" s="1"/>
  <c r="R9" i="32"/>
  <c r="C196" i="19" s="1"/>
  <c r="Q9" i="32"/>
  <c r="C184" i="19" s="1"/>
  <c r="C135" i="43" s="1"/>
  <c r="P9" i="32"/>
  <c r="C172" i="19" s="1"/>
  <c r="O9" i="32"/>
  <c r="C160" i="19" s="1"/>
  <c r="C111" i="43" s="1"/>
  <c r="N9" i="32"/>
  <c r="C148" i="19" s="1"/>
  <c r="M9" i="32"/>
  <c r="L9" i="32"/>
  <c r="C124" i="19" s="1"/>
  <c r="K9" i="32"/>
  <c r="C112" i="19" s="1"/>
  <c r="C63" i="43" s="1"/>
  <c r="J9" i="32"/>
  <c r="C100" i="19" s="1"/>
  <c r="I9" i="32"/>
  <c r="C88" i="19" s="1"/>
  <c r="C39" i="43" s="1"/>
  <c r="H9" i="32"/>
  <c r="C76" i="19" s="1"/>
  <c r="G9" i="32"/>
  <c r="C64" i="19" s="1"/>
  <c r="C15" i="43" s="1"/>
  <c r="F9" i="32"/>
  <c r="C52" i="19" s="1"/>
  <c r="C3" i="43" s="1"/>
  <c r="E9" i="32"/>
  <c r="C40" i="19" s="1"/>
  <c r="D9" i="32"/>
  <c r="C28" i="19" s="1"/>
  <c r="C9" i="32"/>
  <c r="B9" i="32"/>
  <c r="C4" i="19" s="1"/>
  <c r="V8" i="32"/>
  <c r="C243" i="19" s="1"/>
  <c r="C194" i="43" s="1"/>
  <c r="U8" i="32"/>
  <c r="C231" i="19" s="1"/>
  <c r="T8" i="32"/>
  <c r="C219" i="19" s="1"/>
  <c r="C170" i="43" s="1"/>
  <c r="S8" i="32"/>
  <c r="C207" i="19" s="1"/>
  <c r="R8" i="32"/>
  <c r="C195" i="19" s="1"/>
  <c r="C146" i="43" s="1"/>
  <c r="Q8" i="32"/>
  <c r="C183" i="19" s="1"/>
  <c r="P8" i="32"/>
  <c r="C171" i="19" s="1"/>
  <c r="C122" i="43" s="1"/>
  <c r="O8" i="32"/>
  <c r="C159" i="19" s="1"/>
  <c r="N8" i="32"/>
  <c r="C147" i="19" s="1"/>
  <c r="C98" i="43" s="1"/>
  <c r="M8" i="32"/>
  <c r="L8" i="32"/>
  <c r="C123" i="19" s="1"/>
  <c r="C74" i="43" s="1"/>
  <c r="K8" i="32"/>
  <c r="C111" i="19" s="1"/>
  <c r="J8" i="32"/>
  <c r="C99" i="19" s="1"/>
  <c r="C50" i="43" s="1"/>
  <c r="I8" i="32"/>
  <c r="C87" i="19" s="1"/>
  <c r="H8" i="32"/>
  <c r="C75" i="19" s="1"/>
  <c r="C26" i="43" s="1"/>
  <c r="G8" i="32"/>
  <c r="C63" i="19" s="1"/>
  <c r="F8" i="32"/>
  <c r="C51" i="19" s="1"/>
  <c r="C2" i="43" s="1"/>
  <c r="E8" i="32"/>
  <c r="C39" i="19" s="1"/>
  <c r="D8" i="32"/>
  <c r="C27" i="19" s="1"/>
  <c r="C8" i="32"/>
  <c r="B8" i="32"/>
  <c r="C3" i="19" s="1"/>
  <c r="A2" i="32"/>
  <c r="X20" i="31"/>
  <c r="W20" i="31"/>
  <c r="B254" i="19"/>
  <c r="B205" i="43" s="1"/>
  <c r="B242" i="19"/>
  <c r="B193" i="43" s="1"/>
  <c r="B230" i="19"/>
  <c r="B181" i="43" s="1"/>
  <c r="B218" i="19"/>
  <c r="B169" i="43" s="1"/>
  <c r="B206" i="19"/>
  <c r="B157" i="43" s="1"/>
  <c r="B194" i="19"/>
  <c r="B145" i="43" s="1"/>
  <c r="B182" i="19"/>
  <c r="B133" i="43" s="1"/>
  <c r="B170" i="19"/>
  <c r="B121" i="43" s="1"/>
  <c r="B158" i="19"/>
  <c r="B109" i="43" s="1"/>
  <c r="B146" i="19"/>
  <c r="B97" i="43" s="1"/>
  <c r="B134" i="19"/>
  <c r="B85" i="43" s="1"/>
  <c r="B122" i="19"/>
  <c r="B73" i="43" s="1"/>
  <c r="B110" i="19"/>
  <c r="B61" i="43" s="1"/>
  <c r="B98" i="19"/>
  <c r="B49" i="43" s="1"/>
  <c r="B86" i="19"/>
  <c r="B37" i="43" s="1"/>
  <c r="B74" i="19"/>
  <c r="B25" i="43" s="1"/>
  <c r="B62" i="19"/>
  <c r="B13" i="43" s="1"/>
  <c r="B50" i="19"/>
  <c r="B38" i="19"/>
  <c r="B26" i="19"/>
  <c r="B14" i="19"/>
  <c r="B253" i="19"/>
  <c r="B204" i="43" s="1"/>
  <c r="B241" i="19"/>
  <c r="B192" i="43" s="1"/>
  <c r="B229" i="19"/>
  <c r="B180" i="43" s="1"/>
  <c r="B217" i="19"/>
  <c r="B168" i="43" s="1"/>
  <c r="B205" i="19"/>
  <c r="B156" i="43" s="1"/>
  <c r="B193" i="19"/>
  <c r="B144" i="43" s="1"/>
  <c r="B181" i="19"/>
  <c r="B132" i="43" s="1"/>
  <c r="B169" i="19"/>
  <c r="B120" i="43" s="1"/>
  <c r="B157" i="19"/>
  <c r="B108" i="43" s="1"/>
  <c r="B145" i="19"/>
  <c r="B96" i="43" s="1"/>
  <c r="B133" i="19"/>
  <c r="B84" i="43" s="1"/>
  <c r="B121" i="19"/>
  <c r="B72" i="43" s="1"/>
  <c r="B109" i="19"/>
  <c r="B60" i="43" s="1"/>
  <c r="B97" i="19"/>
  <c r="B48" i="43" s="1"/>
  <c r="B85" i="19"/>
  <c r="B36" i="43" s="1"/>
  <c r="B73" i="19"/>
  <c r="B24" i="43" s="1"/>
  <c r="B61" i="19"/>
  <c r="B12" i="43" s="1"/>
  <c r="B49" i="19"/>
  <c r="B37" i="19"/>
  <c r="B25" i="19"/>
  <c r="B13" i="19"/>
  <c r="B252" i="19"/>
  <c r="B203" i="43" s="1"/>
  <c r="B240" i="19"/>
  <c r="B191" i="43" s="1"/>
  <c r="B228" i="19"/>
  <c r="B179" i="43" s="1"/>
  <c r="B216" i="19"/>
  <c r="B167" i="43" s="1"/>
  <c r="B204" i="19"/>
  <c r="B155" i="43" s="1"/>
  <c r="B192" i="19"/>
  <c r="B143" i="43" s="1"/>
  <c r="B180" i="19"/>
  <c r="B131" i="43" s="1"/>
  <c r="B168" i="19"/>
  <c r="B119" i="43" s="1"/>
  <c r="B156" i="19"/>
  <c r="B107" i="43" s="1"/>
  <c r="B144" i="19"/>
  <c r="B95" i="43" s="1"/>
  <c r="B132" i="19"/>
  <c r="B83" i="43" s="1"/>
  <c r="B120" i="19"/>
  <c r="B71" i="43" s="1"/>
  <c r="B108" i="19"/>
  <c r="B59" i="43" s="1"/>
  <c r="B96" i="19"/>
  <c r="B47" i="43" s="1"/>
  <c r="B84" i="19"/>
  <c r="B35" i="43" s="1"/>
  <c r="B72" i="19"/>
  <c r="B23" i="43" s="1"/>
  <c r="B60" i="19"/>
  <c r="B11" i="43" s="1"/>
  <c r="B48" i="19"/>
  <c r="B36" i="19"/>
  <c r="B24" i="19"/>
  <c r="B12" i="19"/>
  <c r="B251" i="19"/>
  <c r="B202" i="43" s="1"/>
  <c r="B239" i="19"/>
  <c r="B190" i="43" s="1"/>
  <c r="B227" i="19"/>
  <c r="B178" i="43" s="1"/>
  <c r="B215" i="19"/>
  <c r="B166" i="43" s="1"/>
  <c r="B203" i="19"/>
  <c r="B154" i="43" s="1"/>
  <c r="B191" i="19"/>
  <c r="B142" i="43" s="1"/>
  <c r="B179" i="19"/>
  <c r="B130" i="43" s="1"/>
  <c r="B167" i="19"/>
  <c r="B118" i="43" s="1"/>
  <c r="B155" i="19"/>
  <c r="B106" i="43" s="1"/>
  <c r="B143" i="19"/>
  <c r="B94" i="43" s="1"/>
  <c r="B131" i="19"/>
  <c r="B82" i="43" s="1"/>
  <c r="B119" i="19"/>
  <c r="B70" i="43" s="1"/>
  <c r="B107" i="19"/>
  <c r="B58" i="43" s="1"/>
  <c r="B95" i="19"/>
  <c r="B46" i="43" s="1"/>
  <c r="B83" i="19"/>
  <c r="B34" i="43" s="1"/>
  <c r="B71" i="19"/>
  <c r="B22" i="43" s="1"/>
  <c r="B59" i="19"/>
  <c r="B10" i="43" s="1"/>
  <c r="B47" i="19"/>
  <c r="B35" i="19"/>
  <c r="B23" i="19"/>
  <c r="B11" i="19"/>
  <c r="B250" i="19"/>
  <c r="B201" i="43" s="1"/>
  <c r="B238" i="19"/>
  <c r="B189" i="43" s="1"/>
  <c r="B226" i="19"/>
  <c r="B177" i="43" s="1"/>
  <c r="B214" i="19"/>
  <c r="B165" i="43" s="1"/>
  <c r="B202" i="19"/>
  <c r="B153" i="43" s="1"/>
  <c r="B190" i="19"/>
  <c r="B141" i="43" s="1"/>
  <c r="B178" i="19"/>
  <c r="B129" i="43" s="1"/>
  <c r="B166" i="19"/>
  <c r="B117" i="43" s="1"/>
  <c r="B154" i="19"/>
  <c r="B105" i="43" s="1"/>
  <c r="B142" i="19"/>
  <c r="B93" i="43" s="1"/>
  <c r="B130" i="19"/>
  <c r="B81" i="43" s="1"/>
  <c r="B118" i="19"/>
  <c r="B69" i="43" s="1"/>
  <c r="B106" i="19"/>
  <c r="B57" i="43" s="1"/>
  <c r="B94" i="19"/>
  <c r="B45" i="43" s="1"/>
  <c r="B82" i="19"/>
  <c r="B33" i="43" s="1"/>
  <c r="B70" i="19"/>
  <c r="B21" i="43" s="1"/>
  <c r="B58" i="19"/>
  <c r="B9" i="43" s="1"/>
  <c r="B46" i="19"/>
  <c r="B34" i="19"/>
  <c r="B22" i="19"/>
  <c r="B10" i="19"/>
  <c r="B249" i="19"/>
  <c r="B200" i="43" s="1"/>
  <c r="B237" i="19"/>
  <c r="B188" i="43" s="1"/>
  <c r="B225" i="19"/>
  <c r="B176" i="43" s="1"/>
  <c r="B213" i="19"/>
  <c r="B164" i="43" s="1"/>
  <c r="B201" i="19"/>
  <c r="B152" i="43" s="1"/>
  <c r="B189" i="19"/>
  <c r="B140" i="43" s="1"/>
  <c r="B177" i="19"/>
  <c r="B128" i="43" s="1"/>
  <c r="B165" i="19"/>
  <c r="B116" i="43" s="1"/>
  <c r="B153" i="19"/>
  <c r="B104" i="43" s="1"/>
  <c r="B141" i="19"/>
  <c r="B92" i="43" s="1"/>
  <c r="B129" i="19"/>
  <c r="B80" i="43" s="1"/>
  <c r="B117" i="19"/>
  <c r="B68" i="43" s="1"/>
  <c r="B105" i="19"/>
  <c r="B56" i="43" s="1"/>
  <c r="B93" i="19"/>
  <c r="B44" i="43" s="1"/>
  <c r="B81" i="19"/>
  <c r="B32" i="43" s="1"/>
  <c r="B69" i="19"/>
  <c r="B20" i="43" s="1"/>
  <c r="B57" i="19"/>
  <c r="B8" i="43" s="1"/>
  <c r="B45" i="19"/>
  <c r="B33" i="19"/>
  <c r="B21" i="19"/>
  <c r="B9" i="19"/>
  <c r="B248" i="19"/>
  <c r="B199" i="43" s="1"/>
  <c r="B236" i="19"/>
  <c r="B187" i="43" s="1"/>
  <c r="B224" i="19"/>
  <c r="B175" i="43" s="1"/>
  <c r="B212" i="19"/>
  <c r="B163" i="43" s="1"/>
  <c r="B200" i="19"/>
  <c r="B151" i="43" s="1"/>
  <c r="B188" i="19"/>
  <c r="B139" i="43" s="1"/>
  <c r="B176" i="19"/>
  <c r="B127" i="43" s="1"/>
  <c r="B164" i="19"/>
  <c r="B115" i="43" s="1"/>
  <c r="B152" i="19"/>
  <c r="B103" i="43" s="1"/>
  <c r="B140" i="19"/>
  <c r="B91" i="43" s="1"/>
  <c r="B128" i="19"/>
  <c r="B79" i="43" s="1"/>
  <c r="B116" i="19"/>
  <c r="B67" i="43" s="1"/>
  <c r="B104" i="19"/>
  <c r="B55" i="43" s="1"/>
  <c r="B92" i="19"/>
  <c r="B43" i="43" s="1"/>
  <c r="B80" i="19"/>
  <c r="B31" i="43" s="1"/>
  <c r="B68" i="19"/>
  <c r="B19" i="43" s="1"/>
  <c r="B56" i="19"/>
  <c r="B7" i="43" s="1"/>
  <c r="B44" i="19"/>
  <c r="B32" i="19"/>
  <c r="B20" i="19"/>
  <c r="B8" i="19"/>
  <c r="B247" i="19"/>
  <c r="B198" i="43" s="1"/>
  <c r="B235" i="19"/>
  <c r="B186" i="43" s="1"/>
  <c r="B223" i="19"/>
  <c r="B174" i="43" s="1"/>
  <c r="B211" i="19"/>
  <c r="B162" i="43" s="1"/>
  <c r="B199" i="19"/>
  <c r="B150" i="43" s="1"/>
  <c r="B187" i="19"/>
  <c r="B138" i="43" s="1"/>
  <c r="B175" i="19"/>
  <c r="B126" i="43" s="1"/>
  <c r="B163" i="19"/>
  <c r="B114" i="43" s="1"/>
  <c r="B151" i="19"/>
  <c r="B102" i="43" s="1"/>
  <c r="B139" i="19"/>
  <c r="B90" i="43" s="1"/>
  <c r="B127" i="19"/>
  <c r="B78" i="43" s="1"/>
  <c r="B115" i="19"/>
  <c r="B66" i="43" s="1"/>
  <c r="B103" i="19"/>
  <c r="B54" i="43" s="1"/>
  <c r="B91" i="19"/>
  <c r="B42" i="43" s="1"/>
  <c r="B79" i="19"/>
  <c r="B30" i="43" s="1"/>
  <c r="B67" i="19"/>
  <c r="B18" i="43" s="1"/>
  <c r="B55" i="19"/>
  <c r="B6" i="43" s="1"/>
  <c r="B43" i="19"/>
  <c r="B31" i="19"/>
  <c r="B19" i="19"/>
  <c r="B7" i="19"/>
  <c r="B246" i="19"/>
  <c r="B197" i="43" s="1"/>
  <c r="B234" i="19"/>
  <c r="B185" i="43" s="1"/>
  <c r="B222" i="19"/>
  <c r="B173" i="43" s="1"/>
  <c r="B210" i="19"/>
  <c r="B161" i="43" s="1"/>
  <c r="B198" i="19"/>
  <c r="B149" i="43" s="1"/>
  <c r="B186" i="19"/>
  <c r="B137" i="43" s="1"/>
  <c r="B174" i="19"/>
  <c r="B125" i="43" s="1"/>
  <c r="B162" i="19"/>
  <c r="B113" i="43" s="1"/>
  <c r="B150" i="19"/>
  <c r="B101" i="43" s="1"/>
  <c r="B138" i="19"/>
  <c r="B89" i="43" s="1"/>
  <c r="B126" i="19"/>
  <c r="B77" i="43" s="1"/>
  <c r="B114" i="19"/>
  <c r="B65" i="43" s="1"/>
  <c r="B102" i="19"/>
  <c r="B53" i="43" s="1"/>
  <c r="B90" i="19"/>
  <c r="B41" i="43" s="1"/>
  <c r="B78" i="19"/>
  <c r="B29" i="43" s="1"/>
  <c r="B66" i="19"/>
  <c r="B17" i="43" s="1"/>
  <c r="B54" i="19"/>
  <c r="B5" i="43" s="1"/>
  <c r="B42" i="19"/>
  <c r="B30" i="19"/>
  <c r="B18" i="19"/>
  <c r="B6" i="19"/>
  <c r="B245" i="19"/>
  <c r="B196" i="43" s="1"/>
  <c r="B233" i="19"/>
  <c r="B184" i="43" s="1"/>
  <c r="B221" i="19"/>
  <c r="B172" i="43" s="1"/>
  <c r="B209" i="19"/>
  <c r="B160" i="43" s="1"/>
  <c r="B197" i="19"/>
  <c r="B148" i="43" s="1"/>
  <c r="B185" i="19"/>
  <c r="B136" i="43" s="1"/>
  <c r="B173" i="19"/>
  <c r="B124" i="43" s="1"/>
  <c r="B161" i="19"/>
  <c r="B112" i="43" s="1"/>
  <c r="B149" i="19"/>
  <c r="B100" i="43" s="1"/>
  <c r="B137" i="19"/>
  <c r="B88" i="43" s="1"/>
  <c r="B125" i="19"/>
  <c r="B76" i="43" s="1"/>
  <c r="B113" i="19"/>
  <c r="B64" i="43" s="1"/>
  <c r="B101" i="19"/>
  <c r="B52" i="43" s="1"/>
  <c r="B89" i="19"/>
  <c r="B40" i="43" s="1"/>
  <c r="B77" i="19"/>
  <c r="B28" i="43" s="1"/>
  <c r="B65" i="19"/>
  <c r="B16" i="43" s="1"/>
  <c r="B53" i="19"/>
  <c r="B4" i="43" s="1"/>
  <c r="B41" i="19"/>
  <c r="B29" i="19"/>
  <c r="B17" i="19"/>
  <c r="B5" i="19"/>
  <c r="B244" i="19"/>
  <c r="B195" i="43" s="1"/>
  <c r="B232" i="19"/>
  <c r="B183" i="43" s="1"/>
  <c r="B220" i="19"/>
  <c r="B171" i="43" s="1"/>
  <c r="B208" i="19"/>
  <c r="B159" i="43" s="1"/>
  <c r="B196" i="19"/>
  <c r="B147" i="43" s="1"/>
  <c r="B184" i="19"/>
  <c r="B135" i="43" s="1"/>
  <c r="B172" i="19"/>
  <c r="B123" i="43" s="1"/>
  <c r="B160" i="19"/>
  <c r="B111" i="43" s="1"/>
  <c r="B148" i="19"/>
  <c r="B99" i="43" s="1"/>
  <c r="B136" i="19"/>
  <c r="B87" i="43" s="1"/>
  <c r="B124" i="19"/>
  <c r="B75" i="43" s="1"/>
  <c r="B112" i="19"/>
  <c r="B63" i="43" s="1"/>
  <c r="B100" i="19"/>
  <c r="B51" i="43" s="1"/>
  <c r="B88" i="19"/>
  <c r="B39" i="43" s="1"/>
  <c r="B76" i="19"/>
  <c r="B27" i="43" s="1"/>
  <c r="B64" i="19"/>
  <c r="B15" i="43" s="1"/>
  <c r="B52" i="19"/>
  <c r="B3" i="43" s="1"/>
  <c r="B40" i="19"/>
  <c r="B28" i="19"/>
  <c r="B16" i="19"/>
  <c r="B4" i="19"/>
  <c r="B219" i="19"/>
  <c r="B170" i="43" s="1"/>
  <c r="B171" i="19"/>
  <c r="B122" i="43" s="1"/>
  <c r="B123" i="19"/>
  <c r="B74" i="43" s="1"/>
  <c r="B75" i="19"/>
  <c r="B26" i="43" s="1"/>
  <c r="B27" i="19"/>
  <c r="O311" i="19" l="1"/>
  <c r="O327" i="19" s="1"/>
  <c r="I220" i="43"/>
  <c r="O315" i="19"/>
  <c r="O331" i="19" s="1"/>
  <c r="I224" i="43"/>
  <c r="O319" i="19"/>
  <c r="O335" i="19" s="1"/>
  <c r="I228" i="43"/>
  <c r="O310" i="19"/>
  <c r="O326" i="19" s="1"/>
  <c r="I219" i="43"/>
  <c r="O314" i="19"/>
  <c r="O330" i="19" s="1"/>
  <c r="I223" i="43"/>
  <c r="O318" i="19"/>
  <c r="O334" i="19" s="1"/>
  <c r="I227" i="43"/>
  <c r="O309" i="19"/>
  <c r="O325" i="19" s="1"/>
  <c r="I218" i="43"/>
  <c r="O313" i="19"/>
  <c r="O329" i="19" s="1"/>
  <c r="I222" i="43"/>
  <c r="O317" i="19"/>
  <c r="O333" i="19" s="1"/>
  <c r="I226" i="43"/>
  <c r="O312" i="19"/>
  <c r="O328" i="19" s="1"/>
  <c r="I221" i="43"/>
  <c r="O316" i="19"/>
  <c r="O332" i="19" s="1"/>
  <c r="I225" i="43"/>
  <c r="O320" i="19"/>
  <c r="O336" i="19" s="1"/>
  <c r="I229" i="43"/>
  <c r="T87" i="19"/>
  <c r="J38" i="43" s="1"/>
  <c r="C38" i="43"/>
  <c r="T183" i="19"/>
  <c r="J134" i="43" s="1"/>
  <c r="C134" i="43"/>
  <c r="T231" i="19"/>
  <c r="J182" i="43" s="1"/>
  <c r="C182" i="43"/>
  <c r="T76" i="19"/>
  <c r="C27" i="43"/>
  <c r="T124" i="19"/>
  <c r="C75" i="43"/>
  <c r="T172" i="19"/>
  <c r="C123" i="43"/>
  <c r="T220" i="19"/>
  <c r="C171" i="43"/>
  <c r="T65" i="19"/>
  <c r="C16" i="43"/>
  <c r="T113" i="19"/>
  <c r="C64" i="43"/>
  <c r="T161" i="19"/>
  <c r="C112" i="43"/>
  <c r="T209" i="19"/>
  <c r="C160" i="43"/>
  <c r="T102" i="19"/>
  <c r="C53" i="43"/>
  <c r="T150" i="19"/>
  <c r="C101" i="43"/>
  <c r="T198" i="19"/>
  <c r="C149" i="43"/>
  <c r="T91" i="19"/>
  <c r="C42" i="43"/>
  <c r="T187" i="19"/>
  <c r="C138" i="43"/>
  <c r="T235" i="19"/>
  <c r="C186" i="43"/>
  <c r="T80" i="19"/>
  <c r="C31" i="43"/>
  <c r="T128" i="19"/>
  <c r="C79" i="43"/>
  <c r="T176" i="19"/>
  <c r="C127" i="43"/>
  <c r="T224" i="19"/>
  <c r="C175" i="43"/>
  <c r="T69" i="19"/>
  <c r="C20" i="43"/>
  <c r="T117" i="19"/>
  <c r="C68" i="43"/>
  <c r="T165" i="19"/>
  <c r="C116" i="43"/>
  <c r="T213" i="19"/>
  <c r="C164" i="43"/>
  <c r="T106" i="19"/>
  <c r="C57" i="43"/>
  <c r="T154" i="19"/>
  <c r="C105" i="43"/>
  <c r="T202" i="19"/>
  <c r="C153" i="43"/>
  <c r="T95" i="19"/>
  <c r="C46" i="43"/>
  <c r="T191" i="19"/>
  <c r="C142" i="43"/>
  <c r="T239" i="19"/>
  <c r="C190" i="43"/>
  <c r="T84" i="19"/>
  <c r="C35" i="43"/>
  <c r="T132" i="19"/>
  <c r="C83" i="43"/>
  <c r="T180" i="19"/>
  <c r="C131" i="43"/>
  <c r="T228" i="19"/>
  <c r="C179" i="43"/>
  <c r="T73" i="19"/>
  <c r="C24" i="43"/>
  <c r="T121" i="19"/>
  <c r="C72" i="43"/>
  <c r="T169" i="19"/>
  <c r="C120" i="43"/>
  <c r="T217" i="19"/>
  <c r="C168" i="43"/>
  <c r="T110" i="19"/>
  <c r="C61" i="43"/>
  <c r="T158" i="19"/>
  <c r="C109" i="43"/>
  <c r="T206" i="19"/>
  <c r="C157" i="43"/>
  <c r="T63" i="19"/>
  <c r="J14" i="43" s="1"/>
  <c r="C14" i="43"/>
  <c r="T111" i="19"/>
  <c r="J62" i="43" s="1"/>
  <c r="C62" i="43"/>
  <c r="T159" i="19"/>
  <c r="J110" i="43" s="1"/>
  <c r="C110" i="43"/>
  <c r="T207" i="19"/>
  <c r="J158" i="43" s="1"/>
  <c r="C158" i="43"/>
  <c r="T100" i="19"/>
  <c r="C51" i="43"/>
  <c r="T148" i="19"/>
  <c r="C99" i="43"/>
  <c r="T196" i="19"/>
  <c r="C147" i="43"/>
  <c r="T89" i="19"/>
  <c r="C40" i="43"/>
  <c r="T185" i="19"/>
  <c r="C136" i="43"/>
  <c r="T233" i="19"/>
  <c r="C184" i="43"/>
  <c r="T78" i="19"/>
  <c r="C29" i="43"/>
  <c r="T126" i="19"/>
  <c r="C77" i="43"/>
  <c r="T174" i="19"/>
  <c r="C125" i="43"/>
  <c r="T222" i="19"/>
  <c r="C173" i="43"/>
  <c r="T67" i="19"/>
  <c r="C18" i="43"/>
  <c r="T115" i="19"/>
  <c r="C66" i="43"/>
  <c r="T163" i="19"/>
  <c r="C114" i="43"/>
  <c r="T211" i="19"/>
  <c r="C162" i="43"/>
  <c r="T104" i="19"/>
  <c r="C55" i="43"/>
  <c r="T152" i="19"/>
  <c r="C103" i="43"/>
  <c r="T200" i="19"/>
  <c r="C151" i="43"/>
  <c r="T93" i="19"/>
  <c r="C44" i="43"/>
  <c r="T189" i="19"/>
  <c r="C140" i="43"/>
  <c r="T237" i="19"/>
  <c r="C188" i="43"/>
  <c r="T82" i="19"/>
  <c r="C33" i="43"/>
  <c r="T130" i="19"/>
  <c r="C81" i="43"/>
  <c r="T178" i="19"/>
  <c r="C129" i="43"/>
  <c r="T226" i="19"/>
  <c r="C177" i="43"/>
  <c r="T71" i="19"/>
  <c r="C22" i="43"/>
  <c r="T119" i="19"/>
  <c r="C70" i="43"/>
  <c r="T167" i="19"/>
  <c r="C118" i="43"/>
  <c r="T215" i="19"/>
  <c r="C166" i="43"/>
  <c r="T108" i="19"/>
  <c r="C59" i="43"/>
  <c r="T156" i="19"/>
  <c r="C107" i="43"/>
  <c r="T204" i="19"/>
  <c r="C155" i="43"/>
  <c r="T97" i="19"/>
  <c r="C48" i="43"/>
  <c r="T193" i="19"/>
  <c r="C144" i="43"/>
  <c r="T241" i="19"/>
  <c r="C192" i="43"/>
  <c r="T86" i="19"/>
  <c r="C37" i="43"/>
  <c r="T134" i="19"/>
  <c r="C85" i="43"/>
  <c r="T182" i="19"/>
  <c r="C133" i="43"/>
  <c r="T230" i="19"/>
  <c r="C181" i="43"/>
  <c r="R31" i="35"/>
  <c r="T54" i="19"/>
  <c r="J5" i="43" s="1"/>
  <c r="T58" i="19"/>
  <c r="T62" i="19"/>
  <c r="T52" i="19"/>
  <c r="J3" i="43" s="1"/>
  <c r="T60" i="19"/>
  <c r="T56" i="19"/>
  <c r="J7" i="43" s="1"/>
  <c r="T99" i="19"/>
  <c r="J50" i="43" s="1"/>
  <c r="T147" i="19"/>
  <c r="J98" i="43" s="1"/>
  <c r="T195" i="19"/>
  <c r="J146" i="43" s="1"/>
  <c r="T77" i="19"/>
  <c r="J28" i="43" s="1"/>
  <c r="T125" i="19"/>
  <c r="J76" i="43" s="1"/>
  <c r="T173" i="19"/>
  <c r="J124" i="43" s="1"/>
  <c r="T221" i="19"/>
  <c r="J172" i="43" s="1"/>
  <c r="T55" i="19"/>
  <c r="T103" i="19"/>
  <c r="J54" i="43" s="1"/>
  <c r="T151" i="19"/>
  <c r="J102" i="43" s="1"/>
  <c r="T199" i="19"/>
  <c r="J150" i="43" s="1"/>
  <c r="T81" i="19"/>
  <c r="J32" i="43" s="1"/>
  <c r="T129" i="19"/>
  <c r="J80" i="43" s="1"/>
  <c r="T177" i="19"/>
  <c r="J128" i="43" s="1"/>
  <c r="T225" i="19"/>
  <c r="J176" i="43" s="1"/>
  <c r="T59" i="19"/>
  <c r="J10" i="43" s="1"/>
  <c r="T107" i="19"/>
  <c r="J58" i="43" s="1"/>
  <c r="T155" i="19"/>
  <c r="J106" i="43" s="1"/>
  <c r="T203" i="19"/>
  <c r="J154" i="43" s="1"/>
  <c r="T85" i="19"/>
  <c r="J36" i="43" s="1"/>
  <c r="T133" i="19"/>
  <c r="J84" i="43" s="1"/>
  <c r="T181" i="19"/>
  <c r="J132" i="43" s="1"/>
  <c r="T229" i="19"/>
  <c r="J180" i="43" s="1"/>
  <c r="T64" i="19"/>
  <c r="J15" i="43" s="1"/>
  <c r="T112" i="19"/>
  <c r="J63" i="43" s="1"/>
  <c r="T160" i="19"/>
  <c r="J111" i="43" s="1"/>
  <c r="T208" i="19"/>
  <c r="J159" i="43" s="1"/>
  <c r="T90" i="19"/>
  <c r="J41" i="43" s="1"/>
  <c r="T186" i="19"/>
  <c r="J137" i="43" s="1"/>
  <c r="T234" i="19"/>
  <c r="J185" i="43" s="1"/>
  <c r="T68" i="19"/>
  <c r="J19" i="43" s="1"/>
  <c r="T116" i="19"/>
  <c r="J67" i="43" s="1"/>
  <c r="T164" i="19"/>
  <c r="J115" i="43" s="1"/>
  <c r="T212" i="19"/>
  <c r="J163" i="43" s="1"/>
  <c r="T94" i="19"/>
  <c r="J45" i="43" s="1"/>
  <c r="T190" i="19"/>
  <c r="J141" i="43" s="1"/>
  <c r="T238" i="19"/>
  <c r="J189" i="43" s="1"/>
  <c r="T72" i="19"/>
  <c r="J23" i="43" s="1"/>
  <c r="T120" i="19"/>
  <c r="J71" i="43" s="1"/>
  <c r="T168" i="19"/>
  <c r="J119" i="43" s="1"/>
  <c r="T216" i="19"/>
  <c r="J167" i="43" s="1"/>
  <c r="T98" i="19"/>
  <c r="J49" i="43" s="1"/>
  <c r="T194" i="19"/>
  <c r="J145" i="43" s="1"/>
  <c r="T242" i="19"/>
  <c r="J193" i="43" s="1"/>
  <c r="T75" i="19"/>
  <c r="J26" i="43" s="1"/>
  <c r="T123" i="19"/>
  <c r="J74" i="43" s="1"/>
  <c r="T171" i="19"/>
  <c r="J122" i="43" s="1"/>
  <c r="T219" i="19"/>
  <c r="J170" i="43" s="1"/>
  <c r="T53" i="19"/>
  <c r="T101" i="19"/>
  <c r="J52" i="43" s="1"/>
  <c r="T149" i="19"/>
  <c r="J100" i="43" s="1"/>
  <c r="T197" i="19"/>
  <c r="J148" i="43" s="1"/>
  <c r="T79" i="19"/>
  <c r="J30" i="43" s="1"/>
  <c r="T127" i="19"/>
  <c r="J78" i="43" s="1"/>
  <c r="T175" i="19"/>
  <c r="J126" i="43" s="1"/>
  <c r="T223" i="19"/>
  <c r="J174" i="43" s="1"/>
  <c r="T57" i="19"/>
  <c r="J8" i="43" s="1"/>
  <c r="T105" i="19"/>
  <c r="J56" i="43" s="1"/>
  <c r="T153" i="19"/>
  <c r="J104" i="43" s="1"/>
  <c r="T201" i="19"/>
  <c r="J152" i="43" s="1"/>
  <c r="T83" i="19"/>
  <c r="J34" i="43" s="1"/>
  <c r="T131" i="19"/>
  <c r="J82" i="43" s="1"/>
  <c r="T179" i="19"/>
  <c r="J130" i="43" s="1"/>
  <c r="T227" i="19"/>
  <c r="J178" i="43" s="1"/>
  <c r="T61" i="19"/>
  <c r="J12" i="43" s="1"/>
  <c r="T109" i="19"/>
  <c r="J60" i="43" s="1"/>
  <c r="T157" i="19"/>
  <c r="J108" i="43" s="1"/>
  <c r="T205" i="19"/>
  <c r="J156" i="43" s="1"/>
  <c r="T88" i="19"/>
  <c r="J39" i="43" s="1"/>
  <c r="T184" i="19"/>
  <c r="J135" i="43" s="1"/>
  <c r="T232" i="19"/>
  <c r="J183" i="43" s="1"/>
  <c r="T66" i="19"/>
  <c r="J17" i="43" s="1"/>
  <c r="T114" i="19"/>
  <c r="J65" i="43" s="1"/>
  <c r="T162" i="19"/>
  <c r="J113" i="43" s="1"/>
  <c r="T210" i="19"/>
  <c r="J161" i="43" s="1"/>
  <c r="T92" i="19"/>
  <c r="J43" i="43" s="1"/>
  <c r="T188" i="19"/>
  <c r="J139" i="43" s="1"/>
  <c r="T236" i="19"/>
  <c r="J187" i="43" s="1"/>
  <c r="T70" i="19"/>
  <c r="J21" i="43" s="1"/>
  <c r="T118" i="19"/>
  <c r="J69" i="43" s="1"/>
  <c r="T166" i="19"/>
  <c r="J117" i="43" s="1"/>
  <c r="T214" i="19"/>
  <c r="J165" i="43" s="1"/>
  <c r="T96" i="19"/>
  <c r="J47" i="43" s="1"/>
  <c r="T192" i="19"/>
  <c r="J143" i="43" s="1"/>
  <c r="T240" i="19"/>
  <c r="J191" i="43" s="1"/>
  <c r="T74" i="19"/>
  <c r="J25" i="43" s="1"/>
  <c r="T122" i="19"/>
  <c r="J73" i="43" s="1"/>
  <c r="T170" i="19"/>
  <c r="J121" i="43" s="1"/>
  <c r="T218" i="19"/>
  <c r="J169" i="43" s="1"/>
  <c r="AD76" i="19"/>
  <c r="AD124" i="19"/>
  <c r="AD172" i="19"/>
  <c r="AD220" i="19"/>
  <c r="AD65" i="19"/>
  <c r="AD113" i="19"/>
  <c r="AD161" i="19"/>
  <c r="AD209" i="19"/>
  <c r="AD102" i="19"/>
  <c r="AD150" i="19"/>
  <c r="AD198" i="19"/>
  <c r="AD91" i="19"/>
  <c r="AD187" i="19"/>
  <c r="AD235" i="19"/>
  <c r="AD80" i="19"/>
  <c r="AD128" i="19"/>
  <c r="AD176" i="19"/>
  <c r="AD224" i="19"/>
  <c r="AD69" i="19"/>
  <c r="AD117" i="19"/>
  <c r="AD165" i="19"/>
  <c r="AD213" i="19"/>
  <c r="AD106" i="19"/>
  <c r="AD154" i="19"/>
  <c r="AD202" i="19"/>
  <c r="AD95" i="19"/>
  <c r="AD191" i="19"/>
  <c r="AD239" i="19"/>
  <c r="AD84" i="19"/>
  <c r="AD132" i="19"/>
  <c r="AD180" i="19"/>
  <c r="AD228" i="19"/>
  <c r="AD73" i="19"/>
  <c r="AD121" i="19"/>
  <c r="AD169" i="19"/>
  <c r="AD217" i="19"/>
  <c r="AD110" i="19"/>
  <c r="AD158" i="19"/>
  <c r="AD206" i="19"/>
  <c r="AD62" i="19"/>
  <c r="AD100" i="19"/>
  <c r="AD148" i="19"/>
  <c r="AD185" i="19"/>
  <c r="S34" i="39"/>
  <c r="S35" i="39" s="1"/>
  <c r="K217" i="19" s="1"/>
  <c r="R31" i="39"/>
  <c r="K200" i="19"/>
  <c r="K40" i="36"/>
  <c r="K82" i="36" s="1"/>
  <c r="N101" i="19" s="1"/>
  <c r="X8" i="32"/>
  <c r="C325" i="19" s="1"/>
  <c r="R25" i="39"/>
  <c r="K195" i="19" s="1"/>
  <c r="O25" i="39"/>
  <c r="K159" i="19" s="1"/>
  <c r="N34" i="39"/>
  <c r="N35" i="39" s="1"/>
  <c r="K157" i="19" s="1"/>
  <c r="R34" i="39"/>
  <c r="M34" i="39"/>
  <c r="Q34" i="39"/>
  <c r="K192" i="19" s="1"/>
  <c r="N25" i="39"/>
  <c r="K147" i="19" s="1"/>
  <c r="L25" i="39"/>
  <c r="K123" i="19" s="1"/>
  <c r="M35" i="39"/>
  <c r="K145" i="19" s="1"/>
  <c r="K144" i="19"/>
  <c r="Q35" i="39"/>
  <c r="K193" i="19" s="1"/>
  <c r="M25" i="39"/>
  <c r="K135" i="19" s="1"/>
  <c r="K134" i="19"/>
  <c r="O35" i="39"/>
  <c r="K169" i="19" s="1"/>
  <c r="K168" i="19"/>
  <c r="P25" i="39"/>
  <c r="K171" i="19" s="1"/>
  <c r="K170" i="19"/>
  <c r="Q25" i="39"/>
  <c r="K182" i="19"/>
  <c r="P34" i="39"/>
  <c r="V25" i="39"/>
  <c r="K243" i="19" s="1"/>
  <c r="U34" i="39"/>
  <c r="K239" i="19"/>
  <c r="U28" i="39"/>
  <c r="U29" i="39" s="1"/>
  <c r="K235" i="19" s="1"/>
  <c r="U25" i="39"/>
  <c r="K230" i="19"/>
  <c r="T34" i="39"/>
  <c r="K227" i="19"/>
  <c r="T31" i="39"/>
  <c r="T28" i="39"/>
  <c r="K221" i="19"/>
  <c r="S31" i="39"/>
  <c r="K212" i="19"/>
  <c r="T25" i="39"/>
  <c r="K219" i="19" s="1"/>
  <c r="K218" i="19"/>
  <c r="V31" i="39"/>
  <c r="V32" i="39" s="1"/>
  <c r="K250" i="19" s="1"/>
  <c r="K248" i="19"/>
  <c r="F43" i="36"/>
  <c r="F85" i="36" s="1"/>
  <c r="N44" i="19" s="1"/>
  <c r="N43" i="36"/>
  <c r="N85" i="36" s="1"/>
  <c r="N140" i="19" s="1"/>
  <c r="R43" i="36"/>
  <c r="R85" i="36" s="1"/>
  <c r="N188" i="19" s="1"/>
  <c r="V43" i="36"/>
  <c r="V85" i="36" s="1"/>
  <c r="N236" i="19" s="1"/>
  <c r="C136" i="19"/>
  <c r="W9" i="32"/>
  <c r="C310" i="19" s="1"/>
  <c r="C18" i="19"/>
  <c r="X11" i="32"/>
  <c r="C328" i="19" s="1"/>
  <c r="C140" i="19"/>
  <c r="W13" i="32"/>
  <c r="C314" i="19" s="1"/>
  <c r="C22" i="19"/>
  <c r="X15" i="32"/>
  <c r="C332" i="19" s="1"/>
  <c r="C144" i="19"/>
  <c r="W17" i="32"/>
  <c r="C318" i="19" s="1"/>
  <c r="C26" i="19"/>
  <c r="X19" i="32"/>
  <c r="C336" i="19" s="1"/>
  <c r="D136" i="19"/>
  <c r="W29" i="32"/>
  <c r="D310" i="19" s="1"/>
  <c r="D18" i="19"/>
  <c r="X31" i="32"/>
  <c r="D328" i="19" s="1"/>
  <c r="D140" i="19"/>
  <c r="W33" i="32"/>
  <c r="D314" i="19" s="1"/>
  <c r="D22" i="19"/>
  <c r="X35" i="32"/>
  <c r="D332" i="19" s="1"/>
  <c r="D144" i="19"/>
  <c r="W37" i="32"/>
  <c r="D318" i="19" s="1"/>
  <c r="D26" i="19"/>
  <c r="X39" i="32"/>
  <c r="D336" i="19" s="1"/>
  <c r="C19" i="19"/>
  <c r="X12" i="32"/>
  <c r="C329" i="19" s="1"/>
  <c r="C141" i="19"/>
  <c r="W14" i="32"/>
  <c r="C315" i="19" s="1"/>
  <c r="C23" i="19"/>
  <c r="X16" i="32"/>
  <c r="C333" i="19" s="1"/>
  <c r="C145" i="19"/>
  <c r="W18" i="32"/>
  <c r="C319" i="19" s="1"/>
  <c r="D15" i="19"/>
  <c r="X28" i="32"/>
  <c r="D325" i="19" s="1"/>
  <c r="W30" i="32"/>
  <c r="D311" i="19" s="1"/>
  <c r="D137" i="19"/>
  <c r="D19" i="19"/>
  <c r="X32" i="32"/>
  <c r="D329" i="19" s="1"/>
  <c r="D141" i="19"/>
  <c r="W34" i="32"/>
  <c r="D315" i="19" s="1"/>
  <c r="D23" i="19"/>
  <c r="X36" i="32"/>
  <c r="D333" i="19" s="1"/>
  <c r="D145" i="19"/>
  <c r="W38" i="32"/>
  <c r="D319" i="19" s="1"/>
  <c r="C16" i="19"/>
  <c r="X9" i="32"/>
  <c r="C326" i="19" s="1"/>
  <c r="C138" i="19"/>
  <c r="W11" i="32"/>
  <c r="C312" i="19" s="1"/>
  <c r="C20" i="19"/>
  <c r="X13" i="32"/>
  <c r="C330" i="19" s="1"/>
  <c r="C142" i="19"/>
  <c r="W15" i="32"/>
  <c r="C316" i="19" s="1"/>
  <c r="C24" i="19"/>
  <c r="X17" i="32"/>
  <c r="C334" i="19" s="1"/>
  <c r="C146" i="19"/>
  <c r="W19" i="32"/>
  <c r="C320" i="19" s="1"/>
  <c r="D16" i="19"/>
  <c r="X29" i="32"/>
  <c r="W31" i="32"/>
  <c r="D312" i="19" s="1"/>
  <c r="D138" i="19"/>
  <c r="D20" i="19"/>
  <c r="X33" i="32"/>
  <c r="D330" i="19" s="1"/>
  <c r="D142" i="19"/>
  <c r="W35" i="32"/>
  <c r="D316" i="19" s="1"/>
  <c r="D24" i="19"/>
  <c r="X37" i="32"/>
  <c r="D334" i="19" s="1"/>
  <c r="D146" i="19"/>
  <c r="W39" i="32"/>
  <c r="D320" i="19" s="1"/>
  <c r="C137" i="19"/>
  <c r="W10" i="32"/>
  <c r="C311" i="19" s="1"/>
  <c r="W8" i="32"/>
  <c r="C135" i="19"/>
  <c r="C17" i="19"/>
  <c r="X10" i="32"/>
  <c r="C327" i="19" s="1"/>
  <c r="W12" i="32"/>
  <c r="C313" i="19" s="1"/>
  <c r="C139" i="19"/>
  <c r="C21" i="19"/>
  <c r="X14" i="32"/>
  <c r="C331" i="19" s="1"/>
  <c r="W16" i="32"/>
  <c r="C317" i="19" s="1"/>
  <c r="C143" i="19"/>
  <c r="C25" i="19"/>
  <c r="X18" i="32"/>
  <c r="C335" i="19" s="1"/>
  <c r="W28" i="32"/>
  <c r="D135" i="19"/>
  <c r="D86" i="43" s="1"/>
  <c r="D17" i="19"/>
  <c r="X30" i="32"/>
  <c r="D327" i="19" s="1"/>
  <c r="D139" i="19"/>
  <c r="W32" i="32"/>
  <c r="D313" i="19" s="1"/>
  <c r="D21" i="19"/>
  <c r="X34" i="32"/>
  <c r="D331" i="19" s="1"/>
  <c r="W36" i="32"/>
  <c r="D317" i="19" s="1"/>
  <c r="D143" i="19"/>
  <c r="D25" i="19"/>
  <c r="X38" i="32"/>
  <c r="D335" i="19" s="1"/>
  <c r="O40" i="36"/>
  <c r="O82" i="36" s="1"/>
  <c r="N149" i="19" s="1"/>
  <c r="F46" i="36"/>
  <c r="L19" i="36"/>
  <c r="C21" i="32"/>
  <c r="G21" i="32"/>
  <c r="K21" i="32"/>
  <c r="O21" i="32"/>
  <c r="S21" i="32"/>
  <c r="B41" i="32"/>
  <c r="F41" i="32"/>
  <c r="J41" i="32"/>
  <c r="N41" i="32"/>
  <c r="R41" i="32"/>
  <c r="V41" i="32"/>
  <c r="C15" i="19"/>
  <c r="K20" i="31"/>
  <c r="K21" i="31" s="1"/>
  <c r="T21" i="32"/>
  <c r="D3" i="19"/>
  <c r="D51" i="19"/>
  <c r="D2" i="43" s="1"/>
  <c r="G20" i="31"/>
  <c r="G21" i="31" s="1"/>
  <c r="S20" i="31"/>
  <c r="D21" i="32"/>
  <c r="L21" i="32"/>
  <c r="G41" i="32"/>
  <c r="O41" i="32"/>
  <c r="E21" i="32"/>
  <c r="I21" i="32"/>
  <c r="M21" i="32"/>
  <c r="Q21" i="32"/>
  <c r="U21" i="32"/>
  <c r="D41" i="32"/>
  <c r="H41" i="32"/>
  <c r="L41" i="32"/>
  <c r="P41" i="32"/>
  <c r="T41" i="32"/>
  <c r="C20" i="31"/>
  <c r="C21" i="31" s="1"/>
  <c r="O20" i="31"/>
  <c r="O21" i="31" s="1"/>
  <c r="H21" i="32"/>
  <c r="P21" i="32"/>
  <c r="C41" i="32"/>
  <c r="K41" i="32"/>
  <c r="S41" i="32"/>
  <c r="B21" i="32"/>
  <c r="F21" i="32"/>
  <c r="J21" i="32"/>
  <c r="N21" i="32"/>
  <c r="R21" i="32"/>
  <c r="V21" i="32"/>
  <c r="E41" i="32"/>
  <c r="I41" i="32"/>
  <c r="M41" i="32"/>
  <c r="Q41" i="32"/>
  <c r="U41" i="32"/>
  <c r="J40" i="36"/>
  <c r="I43" i="36"/>
  <c r="I60" i="36" s="1"/>
  <c r="I73" i="36" s="1"/>
  <c r="M43" i="36"/>
  <c r="M60" i="36" s="1"/>
  <c r="M73" i="36" s="1"/>
  <c r="Q43" i="36"/>
  <c r="Q60" i="36" s="1"/>
  <c r="Q73" i="36" s="1"/>
  <c r="D46" i="36"/>
  <c r="L46" i="36"/>
  <c r="L88" i="36" s="1"/>
  <c r="N119" i="19" s="1"/>
  <c r="P46" i="36"/>
  <c r="P88" i="36" s="1"/>
  <c r="N167" i="19" s="1"/>
  <c r="T46" i="36"/>
  <c r="T88" i="36" s="1"/>
  <c r="N215" i="19" s="1"/>
  <c r="C49" i="36"/>
  <c r="C91" i="36" s="1"/>
  <c r="N14" i="19" s="1"/>
  <c r="G49" i="36"/>
  <c r="G91" i="36" s="1"/>
  <c r="N62" i="19" s="1"/>
  <c r="O49" i="36"/>
  <c r="O91" i="36" s="1"/>
  <c r="N158" i="19" s="1"/>
  <c r="L24" i="36"/>
  <c r="L34" i="36" s="1"/>
  <c r="Q20" i="31"/>
  <c r="Q21" i="31" s="1"/>
  <c r="R19" i="36"/>
  <c r="V19" i="36"/>
  <c r="W19" i="36" s="1"/>
  <c r="X19" i="36" s="1"/>
  <c r="E20" i="31"/>
  <c r="E21" i="31" s="1"/>
  <c r="I20" i="31"/>
  <c r="I21" i="31" s="1"/>
  <c r="M20" i="31"/>
  <c r="M21" i="31" s="1"/>
  <c r="U20" i="31"/>
  <c r="U21" i="31" s="1"/>
  <c r="B20" i="31"/>
  <c r="B21" i="31" s="1"/>
  <c r="F20" i="31"/>
  <c r="F21" i="31" s="1"/>
  <c r="J20" i="31"/>
  <c r="J21" i="31" s="1"/>
  <c r="N20" i="31"/>
  <c r="N21" i="31" s="1"/>
  <c r="R20" i="31"/>
  <c r="R21" i="31" s="1"/>
  <c r="V20" i="31"/>
  <c r="V21" i="31" s="1"/>
  <c r="S19" i="36"/>
  <c r="F49" i="36"/>
  <c r="F91" i="36" s="1"/>
  <c r="N50" i="19" s="1"/>
  <c r="V49" i="36"/>
  <c r="V91" i="36" s="1"/>
  <c r="N242" i="19" s="1"/>
  <c r="B49" i="36"/>
  <c r="B91" i="36" s="1"/>
  <c r="E43" i="36"/>
  <c r="E85" i="36" s="1"/>
  <c r="N32" i="19" s="1"/>
  <c r="C46" i="36"/>
  <c r="C88" i="36" s="1"/>
  <c r="N11" i="19" s="1"/>
  <c r="K49" i="36"/>
  <c r="K91" i="36" s="1"/>
  <c r="N110" i="19" s="1"/>
  <c r="O34" i="36"/>
  <c r="R46" i="36"/>
  <c r="R88" i="36" s="1"/>
  <c r="N191" i="19" s="1"/>
  <c r="D40" i="36"/>
  <c r="D82" i="36" s="1"/>
  <c r="N17" i="19" s="1"/>
  <c r="H40" i="36"/>
  <c r="H82" i="36" s="1"/>
  <c r="N65" i="19" s="1"/>
  <c r="C43" i="36"/>
  <c r="C85" i="36" s="1"/>
  <c r="N8" i="19" s="1"/>
  <c r="G43" i="36"/>
  <c r="G85" i="36" s="1"/>
  <c r="N56" i="19" s="1"/>
  <c r="K43" i="36"/>
  <c r="S43" i="36"/>
  <c r="S85" i="36" s="1"/>
  <c r="N200" i="19" s="1"/>
  <c r="J46" i="36"/>
  <c r="J88" i="36" s="1"/>
  <c r="N95" i="19" s="1"/>
  <c r="V46" i="36"/>
  <c r="V88" i="36" s="1"/>
  <c r="N239" i="19" s="1"/>
  <c r="E49" i="36"/>
  <c r="E91" i="36" s="1"/>
  <c r="N38" i="19" s="1"/>
  <c r="I49" i="36"/>
  <c r="I63" i="36" s="1"/>
  <c r="I76" i="36" s="1"/>
  <c r="M49" i="36"/>
  <c r="M63" i="36" s="1"/>
  <c r="M76" i="36" s="1"/>
  <c r="Q49" i="36"/>
  <c r="Q63" i="36" s="1"/>
  <c r="Q76" i="36" s="1"/>
  <c r="U49" i="36"/>
  <c r="U91" i="36" s="1"/>
  <c r="N230" i="19" s="1"/>
  <c r="F40" i="36"/>
  <c r="F82" i="36" s="1"/>
  <c r="N41" i="19" s="1"/>
  <c r="J43" i="36"/>
  <c r="J85" i="36" s="1"/>
  <c r="N92" i="19" s="1"/>
  <c r="H46" i="36"/>
  <c r="H88" i="36" s="1"/>
  <c r="N71" i="19" s="1"/>
  <c r="D43" i="36"/>
  <c r="D85" i="36" s="1"/>
  <c r="N20" i="19" s="1"/>
  <c r="H43" i="36"/>
  <c r="H85" i="36" s="1"/>
  <c r="N68" i="19" s="1"/>
  <c r="L43" i="36"/>
  <c r="L85" i="36" s="1"/>
  <c r="N116" i="19" s="1"/>
  <c r="P43" i="36"/>
  <c r="P85" i="36" s="1"/>
  <c r="N164" i="19" s="1"/>
  <c r="T43" i="36"/>
  <c r="T85" i="36" s="1"/>
  <c r="N212" i="19" s="1"/>
  <c r="G46" i="36"/>
  <c r="K46" i="36"/>
  <c r="K88" i="36" s="1"/>
  <c r="N107" i="19" s="1"/>
  <c r="O46" i="36"/>
  <c r="S46" i="36"/>
  <c r="J49" i="36"/>
  <c r="N49" i="36"/>
  <c r="N91" i="36" s="1"/>
  <c r="N146" i="19" s="1"/>
  <c r="R49" i="36"/>
  <c r="R63" i="36" s="1"/>
  <c r="R76" i="36" s="1"/>
  <c r="O43" i="36"/>
  <c r="N46" i="36"/>
  <c r="S49" i="36"/>
  <c r="S91" i="36" s="1"/>
  <c r="N206" i="19" s="1"/>
  <c r="B3" i="19"/>
  <c r="B15" i="19"/>
  <c r="B39" i="19"/>
  <c r="B51" i="19"/>
  <c r="B2" i="43" s="1"/>
  <c r="B63" i="19"/>
  <c r="B87" i="19"/>
  <c r="B99" i="19"/>
  <c r="B111" i="19"/>
  <c r="B135" i="19"/>
  <c r="B86" i="43" s="1"/>
  <c r="B147" i="19"/>
  <c r="B98" i="43" s="1"/>
  <c r="B159" i="19"/>
  <c r="B183" i="19"/>
  <c r="B195" i="19"/>
  <c r="B146" i="43" s="1"/>
  <c r="B207" i="19"/>
  <c r="B231" i="19"/>
  <c r="B243" i="19"/>
  <c r="B194" i="43" s="1"/>
  <c r="D20" i="31"/>
  <c r="D21" i="31" s="1"/>
  <c r="H20" i="31"/>
  <c r="H21" i="31" s="1"/>
  <c r="L20" i="31"/>
  <c r="L21" i="31" s="1"/>
  <c r="P20" i="31"/>
  <c r="P21" i="31" s="1"/>
  <c r="T20" i="31"/>
  <c r="E24" i="36"/>
  <c r="E40" i="36" s="1"/>
  <c r="E19" i="36"/>
  <c r="M24" i="36"/>
  <c r="M40" i="36" s="1"/>
  <c r="M19" i="36"/>
  <c r="I24" i="36"/>
  <c r="I40" i="36" s="1"/>
  <c r="I19" i="36"/>
  <c r="U24" i="36"/>
  <c r="U40" i="36" s="1"/>
  <c r="U19" i="36"/>
  <c r="I88" i="36"/>
  <c r="N83" i="19" s="1"/>
  <c r="Q88" i="36"/>
  <c r="N179" i="19" s="1"/>
  <c r="Q19" i="36"/>
  <c r="V34" i="36"/>
  <c r="H91" i="36"/>
  <c r="N74" i="19" s="1"/>
  <c r="Q24" i="36"/>
  <c r="Q40" i="36" s="1"/>
  <c r="D34" i="36"/>
  <c r="M88" i="36"/>
  <c r="N131" i="19" s="1"/>
  <c r="C82" i="36"/>
  <c r="N5" i="19" s="1"/>
  <c r="D91" i="36"/>
  <c r="N26" i="19" s="1"/>
  <c r="L49" i="36"/>
  <c r="T49" i="36"/>
  <c r="G19" i="36"/>
  <c r="V40" i="36"/>
  <c r="U43" i="36"/>
  <c r="P49" i="36"/>
  <c r="K19" i="36"/>
  <c r="P19" i="36"/>
  <c r="P24" i="36"/>
  <c r="P40" i="36" s="1"/>
  <c r="C34" i="36"/>
  <c r="H34" i="36"/>
  <c r="F34" i="36"/>
  <c r="F19" i="36"/>
  <c r="J34" i="36"/>
  <c r="J19" i="36"/>
  <c r="N19" i="36"/>
  <c r="C19" i="36"/>
  <c r="H19" i="36"/>
  <c r="R24" i="36"/>
  <c r="R40" i="36" s="1"/>
  <c r="K34" i="36"/>
  <c r="G40" i="36"/>
  <c r="S24" i="36"/>
  <c r="S40" i="36" s="1"/>
  <c r="W40" i="36"/>
  <c r="E46" i="36"/>
  <c r="U46" i="36"/>
  <c r="D19" i="36"/>
  <c r="O19" i="36"/>
  <c r="T19" i="36"/>
  <c r="N24" i="36"/>
  <c r="N40" i="36" s="1"/>
  <c r="T24" i="36"/>
  <c r="T40" i="36" s="1"/>
  <c r="W27" i="36"/>
  <c r="W43" i="36" s="1"/>
  <c r="G34" i="36"/>
  <c r="G26" i="39"/>
  <c r="G27" i="39" s="1"/>
  <c r="G28" i="39" s="1"/>
  <c r="G29" i="39" s="1"/>
  <c r="G30" i="39" s="1"/>
  <c r="G31" i="39" s="1"/>
  <c r="G32" i="39" s="1"/>
  <c r="G33" i="39" s="1"/>
  <c r="G34" i="39" s="1"/>
  <c r="G35" i="39" s="1"/>
  <c r="G36" i="39" s="1"/>
  <c r="H25" i="39" s="1"/>
  <c r="C26" i="39"/>
  <c r="C27" i="39" s="1"/>
  <c r="C28" i="39" s="1"/>
  <c r="C29" i="39" s="1"/>
  <c r="C30" i="39" s="1"/>
  <c r="C31" i="39" s="1"/>
  <c r="C32" i="39" s="1"/>
  <c r="C33" i="39" s="1"/>
  <c r="C34" i="39" s="1"/>
  <c r="C35" i="39" s="1"/>
  <c r="F38" i="39"/>
  <c r="L26" i="39"/>
  <c r="D26" i="39"/>
  <c r="D27" i="39" s="1"/>
  <c r="D28" i="39" s="1"/>
  <c r="D29" i="39" s="1"/>
  <c r="D30" i="39" s="1"/>
  <c r="D31" i="39" s="1"/>
  <c r="D32" i="39" s="1"/>
  <c r="D33" i="39" s="1"/>
  <c r="D34" i="39" s="1"/>
  <c r="D35" i="39" s="1"/>
  <c r="D38" i="39"/>
  <c r="P26" i="39"/>
  <c r="K172" i="19" s="1"/>
  <c r="B38" i="39"/>
  <c r="J25" i="39"/>
  <c r="M26" i="39"/>
  <c r="O28" i="39"/>
  <c r="O29" i="39" s="1"/>
  <c r="E38" i="39"/>
  <c r="R28" i="39"/>
  <c r="V28" i="39"/>
  <c r="U31" i="39"/>
  <c r="R60" i="39"/>
  <c r="V60" i="39"/>
  <c r="S27" i="39"/>
  <c r="K209" i="19" s="1"/>
  <c r="P7" i="35"/>
  <c r="P8" i="35" s="1"/>
  <c r="P9" i="35" s="1"/>
  <c r="P10" i="35" s="1"/>
  <c r="P11" i="35" s="1"/>
  <c r="P12" i="35" s="1"/>
  <c r="P13" i="35" s="1"/>
  <c r="P14" i="35" s="1"/>
  <c r="P15" i="35" s="1"/>
  <c r="P16" i="35" s="1"/>
  <c r="P17" i="35" s="1"/>
  <c r="F33" i="35"/>
  <c r="D33" i="35"/>
  <c r="E33" i="35" s="1"/>
  <c r="N57" i="36" l="1"/>
  <c r="N70" i="36" s="1"/>
  <c r="U53" i="19"/>
  <c r="V53" i="19" s="1"/>
  <c r="J4" i="43"/>
  <c r="U62" i="19"/>
  <c r="V62" i="19" s="1"/>
  <c r="J13" i="43"/>
  <c r="U55" i="19"/>
  <c r="V55" i="19" s="1"/>
  <c r="J6" i="43"/>
  <c r="U58" i="19"/>
  <c r="V58" i="19" s="1"/>
  <c r="J9" i="43"/>
  <c r="AD230" i="19"/>
  <c r="J181" i="43"/>
  <c r="U134" i="19"/>
  <c r="V134" i="19" s="1"/>
  <c r="J85" i="43"/>
  <c r="AD241" i="19"/>
  <c r="J192" i="43"/>
  <c r="AD97" i="19"/>
  <c r="J48" i="43"/>
  <c r="AD156" i="19"/>
  <c r="J107" i="43"/>
  <c r="AD215" i="19"/>
  <c r="J166" i="43"/>
  <c r="U119" i="19"/>
  <c r="V119" i="19" s="1"/>
  <c r="J70" i="43"/>
  <c r="U226" i="19"/>
  <c r="V226" i="19" s="1"/>
  <c r="J177" i="43"/>
  <c r="U130" i="19"/>
  <c r="V130" i="19" s="1"/>
  <c r="J81" i="43"/>
  <c r="U237" i="19"/>
  <c r="V237" i="19" s="1"/>
  <c r="J188" i="43"/>
  <c r="U93" i="19"/>
  <c r="V93" i="19" s="1"/>
  <c r="J44" i="43"/>
  <c r="U152" i="19"/>
  <c r="V152" i="19" s="1"/>
  <c r="J103" i="43"/>
  <c r="U211" i="19"/>
  <c r="V211" i="19" s="1"/>
  <c r="J162" i="43"/>
  <c r="U115" i="19"/>
  <c r="V115" i="19" s="1"/>
  <c r="J66" i="43"/>
  <c r="U222" i="19"/>
  <c r="V222" i="19" s="1"/>
  <c r="J173" i="43"/>
  <c r="U126" i="19"/>
  <c r="V126" i="19" s="1"/>
  <c r="J77" i="43"/>
  <c r="U233" i="19"/>
  <c r="V233" i="19" s="1"/>
  <c r="J184" i="43"/>
  <c r="U89" i="19"/>
  <c r="V89" i="19" s="1"/>
  <c r="J40" i="43"/>
  <c r="U148" i="19"/>
  <c r="V148" i="19" s="1"/>
  <c r="J99" i="43"/>
  <c r="U206" i="19"/>
  <c r="V206" i="19" s="1"/>
  <c r="J157" i="43"/>
  <c r="U110" i="19"/>
  <c r="V110" i="19" s="1"/>
  <c r="J61" i="43"/>
  <c r="U169" i="19"/>
  <c r="V169" i="19" s="1"/>
  <c r="J120" i="43"/>
  <c r="U73" i="19"/>
  <c r="V73" i="19" s="1"/>
  <c r="J24" i="43"/>
  <c r="U180" i="19"/>
  <c r="V180" i="19" s="1"/>
  <c r="J131" i="43"/>
  <c r="U84" i="19"/>
  <c r="V84" i="19" s="1"/>
  <c r="J35" i="43"/>
  <c r="U191" i="19"/>
  <c r="V191" i="19" s="1"/>
  <c r="J142" i="43"/>
  <c r="U202" i="19"/>
  <c r="V202" i="19" s="1"/>
  <c r="J153" i="43"/>
  <c r="U106" i="19"/>
  <c r="V106" i="19" s="1"/>
  <c r="J57" i="43"/>
  <c r="U165" i="19"/>
  <c r="V165" i="19" s="1"/>
  <c r="J116" i="43"/>
  <c r="U69" i="19"/>
  <c r="V69" i="19" s="1"/>
  <c r="J20" i="43"/>
  <c r="U176" i="19"/>
  <c r="V176" i="19" s="1"/>
  <c r="J127" i="43"/>
  <c r="U80" i="19"/>
  <c r="V80" i="19" s="1"/>
  <c r="J31" i="43"/>
  <c r="U187" i="19"/>
  <c r="V187" i="19" s="1"/>
  <c r="J138" i="43"/>
  <c r="U198" i="19"/>
  <c r="V198" i="19" s="1"/>
  <c r="J149" i="43"/>
  <c r="U102" i="19"/>
  <c r="V102" i="19" s="1"/>
  <c r="J53" i="43"/>
  <c r="U161" i="19"/>
  <c r="V161" i="19" s="1"/>
  <c r="J112" i="43"/>
  <c r="U65" i="19"/>
  <c r="V65" i="19" s="1"/>
  <c r="J16" i="43"/>
  <c r="U172" i="19"/>
  <c r="V172" i="19" s="1"/>
  <c r="J123" i="43"/>
  <c r="U76" i="19"/>
  <c r="V76" i="19" s="1"/>
  <c r="J27" i="43"/>
  <c r="U60" i="19"/>
  <c r="V60" i="19" s="1"/>
  <c r="J11" i="43"/>
  <c r="U182" i="19"/>
  <c r="V182" i="19" s="1"/>
  <c r="J133" i="43"/>
  <c r="U86" i="19"/>
  <c r="V86" i="19" s="1"/>
  <c r="J37" i="43"/>
  <c r="U193" i="19"/>
  <c r="V193" i="19" s="1"/>
  <c r="J144" i="43"/>
  <c r="U204" i="19"/>
  <c r="V204" i="19" s="1"/>
  <c r="J155" i="43"/>
  <c r="U108" i="19"/>
  <c r="V108" i="19" s="1"/>
  <c r="J59" i="43"/>
  <c r="U167" i="19"/>
  <c r="V167" i="19" s="1"/>
  <c r="J118" i="43"/>
  <c r="U71" i="19"/>
  <c r="V71" i="19" s="1"/>
  <c r="J22" i="43"/>
  <c r="U178" i="19"/>
  <c r="V178" i="19" s="1"/>
  <c r="J129" i="43"/>
  <c r="U82" i="19"/>
  <c r="V82" i="19" s="1"/>
  <c r="J33" i="43"/>
  <c r="U189" i="19"/>
  <c r="V189" i="19" s="1"/>
  <c r="J140" i="43"/>
  <c r="U200" i="19"/>
  <c r="V200" i="19" s="1"/>
  <c r="J151" i="43"/>
  <c r="U104" i="19"/>
  <c r="V104" i="19" s="1"/>
  <c r="J55" i="43"/>
  <c r="U163" i="19"/>
  <c r="V163" i="19" s="1"/>
  <c r="J114" i="43"/>
  <c r="U67" i="19"/>
  <c r="V67" i="19" s="1"/>
  <c r="J18" i="43"/>
  <c r="U174" i="19"/>
  <c r="V174" i="19" s="1"/>
  <c r="J125" i="43"/>
  <c r="U78" i="19"/>
  <c r="V78" i="19" s="1"/>
  <c r="J29" i="43"/>
  <c r="U185" i="19"/>
  <c r="V185" i="19" s="1"/>
  <c r="J136" i="43"/>
  <c r="U196" i="19"/>
  <c r="V196" i="19" s="1"/>
  <c r="J147" i="43"/>
  <c r="U100" i="19"/>
  <c r="V100" i="19" s="1"/>
  <c r="J51" i="43"/>
  <c r="U158" i="19"/>
  <c r="V158" i="19" s="1"/>
  <c r="J109" i="43"/>
  <c r="U217" i="19"/>
  <c r="V217" i="19" s="1"/>
  <c r="J168" i="43"/>
  <c r="U121" i="19"/>
  <c r="V121" i="19" s="1"/>
  <c r="J72" i="43"/>
  <c r="U228" i="19"/>
  <c r="V228" i="19" s="1"/>
  <c r="J179" i="43"/>
  <c r="U132" i="19"/>
  <c r="V132" i="19" s="1"/>
  <c r="J83" i="43"/>
  <c r="U239" i="19"/>
  <c r="V239" i="19" s="1"/>
  <c r="J190" i="43"/>
  <c r="U95" i="19"/>
  <c r="V95" i="19" s="1"/>
  <c r="J46" i="43"/>
  <c r="U154" i="19"/>
  <c r="V154" i="19" s="1"/>
  <c r="J105" i="43"/>
  <c r="U213" i="19"/>
  <c r="V213" i="19" s="1"/>
  <c r="J164" i="43"/>
  <c r="U117" i="19"/>
  <c r="V117" i="19" s="1"/>
  <c r="J68" i="43"/>
  <c r="U224" i="19"/>
  <c r="V224" i="19" s="1"/>
  <c r="J175" i="43"/>
  <c r="U128" i="19"/>
  <c r="V128" i="19" s="1"/>
  <c r="J79" i="43"/>
  <c r="U235" i="19"/>
  <c r="V235" i="19" s="1"/>
  <c r="J186" i="43"/>
  <c r="U91" i="19"/>
  <c r="V91" i="19" s="1"/>
  <c r="J42" i="43"/>
  <c r="U150" i="19"/>
  <c r="V150" i="19" s="1"/>
  <c r="J101" i="43"/>
  <c r="U209" i="19"/>
  <c r="V209" i="19" s="1"/>
  <c r="J160" i="43"/>
  <c r="U113" i="19"/>
  <c r="V113" i="19" s="1"/>
  <c r="J64" i="43"/>
  <c r="U220" i="19"/>
  <c r="V220" i="19" s="1"/>
  <c r="J171" i="43"/>
  <c r="U124" i="19"/>
  <c r="V124" i="19" s="1"/>
  <c r="J75" i="43"/>
  <c r="AD126" i="19"/>
  <c r="AD55" i="19"/>
  <c r="AD222" i="19"/>
  <c r="AD174" i="19"/>
  <c r="AD89" i="19"/>
  <c r="AD233" i="19"/>
  <c r="AD93" i="19"/>
  <c r="AD211" i="19"/>
  <c r="AD204" i="19"/>
  <c r="AD163" i="19"/>
  <c r="AD82" i="19"/>
  <c r="AD115" i="19"/>
  <c r="N60" i="36"/>
  <c r="N73" i="36" s="1"/>
  <c r="N74" i="36" s="1"/>
  <c r="AD200" i="19"/>
  <c r="AD226" i="19"/>
  <c r="AD104" i="19"/>
  <c r="AD67" i="19"/>
  <c r="AD78" i="19"/>
  <c r="AD196" i="19"/>
  <c r="AD86" i="19"/>
  <c r="AD130" i="19"/>
  <c r="AD152" i="19"/>
  <c r="AD119" i="19"/>
  <c r="U215" i="19"/>
  <c r="V215" i="19" s="1"/>
  <c r="AD193" i="19"/>
  <c r="AD71" i="19"/>
  <c r="AD237" i="19"/>
  <c r="AD182" i="19"/>
  <c r="AD108" i="19"/>
  <c r="AD178" i="19"/>
  <c r="AD189" i="19"/>
  <c r="U97" i="19"/>
  <c r="V97" i="19" s="1"/>
  <c r="AD60" i="19"/>
  <c r="U230" i="19"/>
  <c r="V230" i="19" s="1"/>
  <c r="U156" i="19"/>
  <c r="V156" i="19" s="1"/>
  <c r="AD134" i="19"/>
  <c r="U241" i="19"/>
  <c r="V241" i="19" s="1"/>
  <c r="AD167" i="19"/>
  <c r="AD111" i="19"/>
  <c r="B62" i="43"/>
  <c r="C255" i="19"/>
  <c r="C206" i="43" s="1"/>
  <c r="C86" i="43"/>
  <c r="AD87" i="19"/>
  <c r="B38" i="43"/>
  <c r="AD183" i="19"/>
  <c r="B134" i="43"/>
  <c r="D263" i="19"/>
  <c r="D214" i="43" s="1"/>
  <c r="D94" i="43"/>
  <c r="C263" i="19"/>
  <c r="C214" i="43" s="1"/>
  <c r="C94" i="43"/>
  <c r="C259" i="19"/>
  <c r="C210" i="43" s="1"/>
  <c r="C90" i="43"/>
  <c r="D258" i="19"/>
  <c r="D209" i="43" s="1"/>
  <c r="D89" i="43"/>
  <c r="D257" i="19"/>
  <c r="D208" i="43" s="1"/>
  <c r="D88" i="43"/>
  <c r="AD231" i="19"/>
  <c r="B182" i="43"/>
  <c r="AD159" i="19"/>
  <c r="B110" i="43"/>
  <c r="AD99" i="19"/>
  <c r="B50" i="43"/>
  <c r="D259" i="19"/>
  <c r="D210" i="43" s="1"/>
  <c r="D90" i="43"/>
  <c r="D266" i="19"/>
  <c r="D217" i="43" s="1"/>
  <c r="D97" i="43"/>
  <c r="D262" i="19"/>
  <c r="D213" i="43" s="1"/>
  <c r="D93" i="43"/>
  <c r="C266" i="19"/>
  <c r="C217" i="43" s="1"/>
  <c r="C97" i="43"/>
  <c r="C262" i="19"/>
  <c r="C213" i="43" s="1"/>
  <c r="C93" i="43"/>
  <c r="C258" i="19"/>
  <c r="C209" i="43" s="1"/>
  <c r="C89" i="43"/>
  <c r="D265" i="19"/>
  <c r="D216" i="43" s="1"/>
  <c r="D96" i="43"/>
  <c r="D261" i="19"/>
  <c r="D212" i="43" s="1"/>
  <c r="D92" i="43"/>
  <c r="C265" i="19"/>
  <c r="C216" i="43" s="1"/>
  <c r="C96" i="43"/>
  <c r="C261" i="19"/>
  <c r="C212" i="43" s="1"/>
  <c r="C92" i="43"/>
  <c r="AD207" i="19"/>
  <c r="B158" i="43"/>
  <c r="AD63" i="19"/>
  <c r="B14" i="43"/>
  <c r="C257" i="19"/>
  <c r="C208" i="43" s="1"/>
  <c r="C88" i="43"/>
  <c r="D264" i="19"/>
  <c r="D215" i="43" s="1"/>
  <c r="D95" i="43"/>
  <c r="D260" i="19"/>
  <c r="D211" i="43" s="1"/>
  <c r="D91" i="43"/>
  <c r="D256" i="19"/>
  <c r="D207" i="43" s="1"/>
  <c r="D87" i="43"/>
  <c r="C264" i="19"/>
  <c r="C215" i="43" s="1"/>
  <c r="C95" i="43"/>
  <c r="C260" i="19"/>
  <c r="C211" i="43" s="1"/>
  <c r="C91" i="43"/>
  <c r="C256" i="19"/>
  <c r="C207" i="43" s="1"/>
  <c r="C87" i="43"/>
  <c r="AD147" i="19"/>
  <c r="T35" i="35"/>
  <c r="G93" i="9"/>
  <c r="F284" i="24"/>
  <c r="S31" i="35"/>
  <c r="AD58" i="19"/>
  <c r="AD53" i="19"/>
  <c r="U195" i="19"/>
  <c r="V195" i="19" s="1"/>
  <c r="U111" i="19"/>
  <c r="V111" i="19" s="1"/>
  <c r="U147" i="19"/>
  <c r="V147" i="19" s="1"/>
  <c r="U159" i="19"/>
  <c r="V159" i="19" s="1"/>
  <c r="U183" i="19"/>
  <c r="V183" i="19" s="1"/>
  <c r="U99" i="19"/>
  <c r="V99" i="19" s="1"/>
  <c r="U63" i="19"/>
  <c r="V63" i="19" s="1"/>
  <c r="U231" i="19"/>
  <c r="V231" i="19" s="1"/>
  <c r="U207" i="19"/>
  <c r="V207" i="19" s="1"/>
  <c r="U87" i="19"/>
  <c r="V87" i="19" s="1"/>
  <c r="AD170" i="19"/>
  <c r="U170" i="19"/>
  <c r="V170" i="19" s="1"/>
  <c r="AD192" i="19"/>
  <c r="U192" i="19"/>
  <c r="V192" i="19" s="1"/>
  <c r="AD118" i="19"/>
  <c r="U118" i="19"/>
  <c r="V118" i="19" s="1"/>
  <c r="AD92" i="19"/>
  <c r="U92" i="19"/>
  <c r="V92" i="19" s="1"/>
  <c r="AD66" i="19"/>
  <c r="U66" i="19"/>
  <c r="V66" i="19" s="1"/>
  <c r="AD61" i="19"/>
  <c r="U61" i="19"/>
  <c r="V61" i="19" s="1"/>
  <c r="AD83" i="19"/>
  <c r="U83" i="19"/>
  <c r="V83" i="19" s="1"/>
  <c r="AD105" i="19"/>
  <c r="U105" i="19"/>
  <c r="V105" i="19" s="1"/>
  <c r="AD127" i="19"/>
  <c r="U127" i="19"/>
  <c r="V127" i="19" s="1"/>
  <c r="AD149" i="19"/>
  <c r="U149" i="19"/>
  <c r="V149" i="19" s="1"/>
  <c r="AD171" i="19"/>
  <c r="U171" i="19"/>
  <c r="V171" i="19" s="1"/>
  <c r="AD194" i="19"/>
  <c r="U194" i="19"/>
  <c r="V194" i="19" s="1"/>
  <c r="AD120" i="19"/>
  <c r="U120" i="19"/>
  <c r="V120" i="19" s="1"/>
  <c r="AD94" i="19"/>
  <c r="U94" i="19"/>
  <c r="V94" i="19" s="1"/>
  <c r="AD68" i="19"/>
  <c r="U68" i="19"/>
  <c r="V68" i="19" s="1"/>
  <c r="AD208" i="19"/>
  <c r="U208" i="19"/>
  <c r="V208" i="19" s="1"/>
  <c r="AD229" i="19"/>
  <c r="U229" i="19"/>
  <c r="V229" i="19" s="1"/>
  <c r="AD59" i="19"/>
  <c r="U59" i="19"/>
  <c r="V59" i="19" s="1"/>
  <c r="AD81" i="19"/>
  <c r="U81" i="19"/>
  <c r="V81" i="19" s="1"/>
  <c r="AD103" i="19"/>
  <c r="U103" i="19"/>
  <c r="V103" i="19" s="1"/>
  <c r="AD125" i="19"/>
  <c r="U125" i="19"/>
  <c r="V125" i="19" s="1"/>
  <c r="AD52" i="19"/>
  <c r="U52" i="19"/>
  <c r="V52" i="19" s="1"/>
  <c r="AD122" i="19"/>
  <c r="U122" i="19"/>
  <c r="V122" i="19" s="1"/>
  <c r="AD96" i="19"/>
  <c r="U96" i="19"/>
  <c r="V96" i="19" s="1"/>
  <c r="AD70" i="19"/>
  <c r="U70" i="19"/>
  <c r="V70" i="19" s="1"/>
  <c r="AD210" i="19"/>
  <c r="U210" i="19"/>
  <c r="V210" i="19" s="1"/>
  <c r="AD232" i="19"/>
  <c r="U232" i="19"/>
  <c r="V232" i="19" s="1"/>
  <c r="AD205" i="19"/>
  <c r="U205" i="19"/>
  <c r="V205" i="19" s="1"/>
  <c r="AD227" i="19"/>
  <c r="U227" i="19"/>
  <c r="V227" i="19" s="1"/>
  <c r="AD57" i="19"/>
  <c r="U57" i="19"/>
  <c r="V57" i="19" s="1"/>
  <c r="AD79" i="19"/>
  <c r="U79" i="19"/>
  <c r="V79" i="19" s="1"/>
  <c r="AD101" i="19"/>
  <c r="U101" i="19"/>
  <c r="V101" i="19" s="1"/>
  <c r="AD123" i="19"/>
  <c r="U123" i="19"/>
  <c r="V123" i="19" s="1"/>
  <c r="AD98" i="19"/>
  <c r="U98" i="19"/>
  <c r="V98" i="19" s="1"/>
  <c r="AD72" i="19"/>
  <c r="U72" i="19"/>
  <c r="V72" i="19" s="1"/>
  <c r="AD212" i="19"/>
  <c r="U212" i="19"/>
  <c r="V212" i="19" s="1"/>
  <c r="AD234" i="19"/>
  <c r="U234" i="19"/>
  <c r="V234" i="19" s="1"/>
  <c r="AD160" i="19"/>
  <c r="U160" i="19"/>
  <c r="V160" i="19" s="1"/>
  <c r="AD181" i="19"/>
  <c r="U181" i="19"/>
  <c r="V181" i="19" s="1"/>
  <c r="AD203" i="19"/>
  <c r="U203" i="19"/>
  <c r="V203" i="19" s="1"/>
  <c r="AD225" i="19"/>
  <c r="U225" i="19"/>
  <c r="V225" i="19" s="1"/>
  <c r="AD77" i="19"/>
  <c r="U77" i="19"/>
  <c r="V77" i="19" s="1"/>
  <c r="AD74" i="19"/>
  <c r="U74" i="19"/>
  <c r="V74" i="19" s="1"/>
  <c r="AD236" i="19"/>
  <c r="U236" i="19"/>
  <c r="V236" i="19" s="1"/>
  <c r="AD184" i="19"/>
  <c r="U184" i="19"/>
  <c r="V184" i="19" s="1"/>
  <c r="AD179" i="19"/>
  <c r="U179" i="19"/>
  <c r="V179" i="19" s="1"/>
  <c r="AD201" i="19"/>
  <c r="U201" i="19"/>
  <c r="V201" i="19" s="1"/>
  <c r="AD75" i="19"/>
  <c r="U75" i="19"/>
  <c r="V75" i="19" s="1"/>
  <c r="AD216" i="19"/>
  <c r="U216" i="19"/>
  <c r="V216" i="19" s="1"/>
  <c r="AD238" i="19"/>
  <c r="U238" i="19"/>
  <c r="V238" i="19" s="1"/>
  <c r="AD164" i="19"/>
  <c r="U164" i="19"/>
  <c r="V164" i="19" s="1"/>
  <c r="AD186" i="19"/>
  <c r="U186" i="19"/>
  <c r="V186" i="19" s="1"/>
  <c r="AD112" i="19"/>
  <c r="U112" i="19"/>
  <c r="V112" i="19" s="1"/>
  <c r="AD133" i="19"/>
  <c r="U133" i="19"/>
  <c r="V133" i="19" s="1"/>
  <c r="AD155" i="19"/>
  <c r="U155" i="19"/>
  <c r="V155" i="19" s="1"/>
  <c r="AD177" i="19"/>
  <c r="U177" i="19"/>
  <c r="V177" i="19" s="1"/>
  <c r="AD199" i="19"/>
  <c r="U199" i="19"/>
  <c r="V199" i="19" s="1"/>
  <c r="AD221" i="19"/>
  <c r="U221" i="19"/>
  <c r="V221" i="19" s="1"/>
  <c r="AD56" i="19"/>
  <c r="U56" i="19"/>
  <c r="V56" i="19" s="1"/>
  <c r="AD214" i="19"/>
  <c r="U214" i="19"/>
  <c r="V214" i="19" s="1"/>
  <c r="AD162" i="19"/>
  <c r="U162" i="19"/>
  <c r="V162" i="19" s="1"/>
  <c r="AD157" i="19"/>
  <c r="U157" i="19"/>
  <c r="V157" i="19" s="1"/>
  <c r="AD223" i="19"/>
  <c r="U223" i="19"/>
  <c r="V223" i="19" s="1"/>
  <c r="AD218" i="19"/>
  <c r="U218" i="19"/>
  <c r="V218" i="19" s="1"/>
  <c r="AD240" i="19"/>
  <c r="U240" i="19"/>
  <c r="V240" i="19" s="1"/>
  <c r="AD166" i="19"/>
  <c r="U166" i="19"/>
  <c r="V166" i="19" s="1"/>
  <c r="AD188" i="19"/>
  <c r="U188" i="19"/>
  <c r="V188" i="19" s="1"/>
  <c r="AD114" i="19"/>
  <c r="U114" i="19"/>
  <c r="V114" i="19" s="1"/>
  <c r="AD88" i="19"/>
  <c r="U88" i="19"/>
  <c r="V88" i="19" s="1"/>
  <c r="AD109" i="19"/>
  <c r="U109" i="19"/>
  <c r="V109" i="19" s="1"/>
  <c r="AD131" i="19"/>
  <c r="U131" i="19"/>
  <c r="V131" i="19" s="1"/>
  <c r="AD153" i="19"/>
  <c r="U153" i="19"/>
  <c r="V153" i="19" s="1"/>
  <c r="AD175" i="19"/>
  <c r="U175" i="19"/>
  <c r="V175" i="19" s="1"/>
  <c r="AD197" i="19"/>
  <c r="U197" i="19"/>
  <c r="V197" i="19" s="1"/>
  <c r="AD219" i="19"/>
  <c r="U219" i="19"/>
  <c r="V219" i="19" s="1"/>
  <c r="AD242" i="19"/>
  <c r="U242" i="19"/>
  <c r="V242" i="19" s="1"/>
  <c r="AD168" i="19"/>
  <c r="U168" i="19"/>
  <c r="V168" i="19" s="1"/>
  <c r="AD190" i="19"/>
  <c r="U190" i="19"/>
  <c r="V190" i="19" s="1"/>
  <c r="AD116" i="19"/>
  <c r="U116" i="19"/>
  <c r="V116" i="19" s="1"/>
  <c r="AD90" i="19"/>
  <c r="U90" i="19"/>
  <c r="V90" i="19" s="1"/>
  <c r="AD64" i="19"/>
  <c r="U64" i="19"/>
  <c r="V64" i="19" s="1"/>
  <c r="AD85" i="19"/>
  <c r="U85" i="19"/>
  <c r="V85" i="19" s="1"/>
  <c r="AD107" i="19"/>
  <c r="U107" i="19"/>
  <c r="V107" i="19" s="1"/>
  <c r="AD129" i="19"/>
  <c r="U129" i="19"/>
  <c r="V129" i="19" s="1"/>
  <c r="AD151" i="19"/>
  <c r="U151" i="19"/>
  <c r="V151" i="19" s="1"/>
  <c r="AD173" i="19"/>
  <c r="U173" i="19"/>
  <c r="V173" i="19" s="1"/>
  <c r="AD54" i="19"/>
  <c r="U54" i="19"/>
  <c r="V54" i="19" s="1"/>
  <c r="F60" i="36"/>
  <c r="F73" i="36" s="1"/>
  <c r="F72" i="36" s="1"/>
  <c r="D276" i="19"/>
  <c r="D227" i="43" s="1"/>
  <c r="D268" i="19"/>
  <c r="D219" i="43" s="1"/>
  <c r="T51" i="19"/>
  <c r="J2" i="43" s="1"/>
  <c r="D255" i="19"/>
  <c r="D206" i="43" s="1"/>
  <c r="AD195" i="19"/>
  <c r="T139" i="19"/>
  <c r="J90" i="43" s="1"/>
  <c r="D270" i="19"/>
  <c r="D221" i="43" s="1"/>
  <c r="K57" i="36"/>
  <c r="K70" i="36" s="1"/>
  <c r="K69" i="36" s="1"/>
  <c r="T143" i="19"/>
  <c r="J94" i="43" s="1"/>
  <c r="T135" i="19"/>
  <c r="J86" i="43" s="1"/>
  <c r="T137" i="19"/>
  <c r="J88" i="43" s="1"/>
  <c r="T146" i="19"/>
  <c r="J97" i="43" s="1"/>
  <c r="T142" i="19"/>
  <c r="J93" i="43" s="1"/>
  <c r="T138" i="19"/>
  <c r="J89" i="43" s="1"/>
  <c r="T145" i="19"/>
  <c r="J96" i="43" s="1"/>
  <c r="T141" i="19"/>
  <c r="J92" i="43" s="1"/>
  <c r="T144" i="19"/>
  <c r="J95" i="43" s="1"/>
  <c r="T140" i="19"/>
  <c r="J91" i="43" s="1"/>
  <c r="T136" i="19"/>
  <c r="J87" i="43" s="1"/>
  <c r="D273" i="19"/>
  <c r="D224" i="43" s="1"/>
  <c r="K216" i="19"/>
  <c r="T26" i="39"/>
  <c r="K220" i="19" s="1"/>
  <c r="R32" i="39"/>
  <c r="K202" i="19" s="1"/>
  <c r="K201" i="19"/>
  <c r="R29" i="39"/>
  <c r="K199" i="19" s="1"/>
  <c r="K198" i="19"/>
  <c r="R26" i="39"/>
  <c r="K196" i="19" s="1"/>
  <c r="D274" i="19"/>
  <c r="D225" i="43" s="1"/>
  <c r="Q91" i="36"/>
  <c r="N182" i="19" s="1"/>
  <c r="I57" i="36"/>
  <c r="I70" i="36" s="1"/>
  <c r="I69" i="36" s="1"/>
  <c r="D275" i="19"/>
  <c r="D226" i="43" s="1"/>
  <c r="K156" i="19"/>
  <c r="O26" i="39"/>
  <c r="K160" i="19" s="1"/>
  <c r="R35" i="39"/>
  <c r="K205" i="19" s="1"/>
  <c r="K204" i="19"/>
  <c r="N26" i="39"/>
  <c r="N38" i="39" s="1"/>
  <c r="M27" i="39"/>
  <c r="K136" i="19"/>
  <c r="L27" i="39"/>
  <c r="K124" i="19"/>
  <c r="R91" i="36"/>
  <c r="N194" i="19" s="1"/>
  <c r="D271" i="19"/>
  <c r="D222" i="43" s="1"/>
  <c r="F88" i="36"/>
  <c r="N47" i="19" s="1"/>
  <c r="E57" i="36"/>
  <c r="E70" i="36" s="1"/>
  <c r="E71" i="36" s="1"/>
  <c r="D278" i="19"/>
  <c r="D229" i="43" s="1"/>
  <c r="P35" i="39"/>
  <c r="K181" i="19" s="1"/>
  <c r="K180" i="19"/>
  <c r="K183" i="19"/>
  <c r="Q26" i="39"/>
  <c r="V26" i="39"/>
  <c r="K244" i="19" s="1"/>
  <c r="U35" i="39"/>
  <c r="K241" i="19" s="1"/>
  <c r="K240" i="19"/>
  <c r="U32" i="39"/>
  <c r="K238" i="19" s="1"/>
  <c r="K237" i="19"/>
  <c r="K234" i="19"/>
  <c r="K231" i="19"/>
  <c r="U26" i="39"/>
  <c r="K232" i="19" s="1"/>
  <c r="T35" i="39"/>
  <c r="K229" i="19" s="1"/>
  <c r="K228" i="19"/>
  <c r="T32" i="39"/>
  <c r="K226" i="19" s="1"/>
  <c r="K225" i="19"/>
  <c r="T29" i="39"/>
  <c r="K223" i="19" s="1"/>
  <c r="K222" i="19"/>
  <c r="S32" i="39"/>
  <c r="K214" i="19" s="1"/>
  <c r="K213" i="19"/>
  <c r="V29" i="39"/>
  <c r="K247" i="19" s="1"/>
  <c r="K246" i="19"/>
  <c r="K249" i="19"/>
  <c r="R60" i="36"/>
  <c r="R73" i="36" s="1"/>
  <c r="R86" i="36" s="1"/>
  <c r="N189" i="19" s="1"/>
  <c r="E63" i="36"/>
  <c r="E76" i="36" s="1"/>
  <c r="E77" i="36" s="1"/>
  <c r="V57" i="36"/>
  <c r="V70" i="36" s="1"/>
  <c r="V69" i="36" s="1"/>
  <c r="H54" i="36"/>
  <c r="H67" i="36" s="1"/>
  <c r="H81" i="36" s="1"/>
  <c r="N64" i="19" s="1"/>
  <c r="O57" i="36"/>
  <c r="O70" i="36" s="1"/>
  <c r="O69" i="36" s="1"/>
  <c r="Q85" i="36"/>
  <c r="Q86" i="36" s="1"/>
  <c r="N177" i="19" s="1"/>
  <c r="F63" i="36"/>
  <c r="F76" i="36" s="1"/>
  <c r="F75" i="36" s="1"/>
  <c r="M57" i="36"/>
  <c r="M70" i="36" s="1"/>
  <c r="M69" i="36" s="1"/>
  <c r="I91" i="36"/>
  <c r="N86" i="19" s="1"/>
  <c r="D269" i="19"/>
  <c r="D220" i="43" s="1"/>
  <c r="I85" i="36"/>
  <c r="V60" i="36"/>
  <c r="V73" i="36" s="1"/>
  <c r="V87" i="36" s="1"/>
  <c r="N238" i="19" s="1"/>
  <c r="H63" i="36"/>
  <c r="H76" i="36" s="1"/>
  <c r="H77" i="36" s="1"/>
  <c r="X21" i="32"/>
  <c r="X41" i="32"/>
  <c r="D326" i="19"/>
  <c r="C57" i="36"/>
  <c r="C70" i="36" s="1"/>
  <c r="C83" i="36" s="1"/>
  <c r="N6" i="19" s="1"/>
  <c r="N88" i="36"/>
  <c r="N143" i="19" s="1"/>
  <c r="H57" i="36"/>
  <c r="H70" i="36" s="1"/>
  <c r="H71" i="36" s="1"/>
  <c r="O63" i="36"/>
  <c r="O76" i="36" s="1"/>
  <c r="O75" i="36" s="1"/>
  <c r="P60" i="36"/>
  <c r="P73" i="36" s="1"/>
  <c r="P87" i="36" s="1"/>
  <c r="N166" i="19" s="1"/>
  <c r="W41" i="32"/>
  <c r="D309" i="19"/>
  <c r="W21" i="32"/>
  <c r="C309" i="19"/>
  <c r="C63" i="36"/>
  <c r="C76" i="36" s="1"/>
  <c r="C77" i="36" s="1"/>
  <c r="V63" i="36"/>
  <c r="V76" i="36" s="1"/>
  <c r="V75" i="36" s="1"/>
  <c r="L40" i="36"/>
  <c r="L54" i="36" s="1"/>
  <c r="L67" i="36" s="1"/>
  <c r="L68" i="36" s="1"/>
  <c r="C60" i="36"/>
  <c r="C73" i="36" s="1"/>
  <c r="C74" i="36" s="1"/>
  <c r="M91" i="36"/>
  <c r="N134" i="19" s="1"/>
  <c r="N63" i="36"/>
  <c r="N76" i="36" s="1"/>
  <c r="N77" i="36" s="1"/>
  <c r="L60" i="36"/>
  <c r="L73" i="36" s="1"/>
  <c r="L86" i="36" s="1"/>
  <c r="N117" i="19" s="1"/>
  <c r="G63" i="36"/>
  <c r="G76" i="36" s="1"/>
  <c r="G77" i="36" s="1"/>
  <c r="D57" i="36"/>
  <c r="D70" i="36" s="1"/>
  <c r="D83" i="36" s="1"/>
  <c r="N18" i="19" s="1"/>
  <c r="D267" i="19"/>
  <c r="D218" i="43" s="1"/>
  <c r="J63" i="36"/>
  <c r="J76" i="36" s="1"/>
  <c r="J77" i="36" s="1"/>
  <c r="F54" i="36"/>
  <c r="F67" i="36" s="1"/>
  <c r="F80" i="36" s="1"/>
  <c r="N39" i="19" s="1"/>
  <c r="D60" i="36"/>
  <c r="D73" i="36" s="1"/>
  <c r="D72" i="36" s="1"/>
  <c r="J57" i="36"/>
  <c r="J70" i="36" s="1"/>
  <c r="J71" i="36" s="1"/>
  <c r="D63" i="36"/>
  <c r="D76" i="36" s="1"/>
  <c r="D75" i="36" s="1"/>
  <c r="T60" i="36"/>
  <c r="T73" i="36" s="1"/>
  <c r="T86" i="36" s="1"/>
  <c r="N213" i="19" s="1"/>
  <c r="D54" i="36"/>
  <c r="D67" i="36" s="1"/>
  <c r="D81" i="36" s="1"/>
  <c r="N16" i="19" s="1"/>
  <c r="J91" i="36"/>
  <c r="N98" i="19" s="1"/>
  <c r="C54" i="36"/>
  <c r="C67" i="36" s="1"/>
  <c r="C81" i="36" s="1"/>
  <c r="N4" i="19" s="1"/>
  <c r="D88" i="36"/>
  <c r="N23" i="19" s="1"/>
  <c r="I34" i="36"/>
  <c r="O85" i="36"/>
  <c r="N152" i="19" s="1"/>
  <c r="J54" i="36"/>
  <c r="J67" i="36" s="1"/>
  <c r="O60" i="36"/>
  <c r="O73" i="36" s="1"/>
  <c r="O72" i="36" s="1"/>
  <c r="G60" i="36"/>
  <c r="G73" i="36" s="1"/>
  <c r="G86" i="36" s="1"/>
  <c r="N57" i="19" s="1"/>
  <c r="F57" i="36"/>
  <c r="F70" i="36" s="1"/>
  <c r="F69" i="36" s="1"/>
  <c r="G88" i="36"/>
  <c r="N59" i="19" s="1"/>
  <c r="Q57" i="36"/>
  <c r="Q70" i="36" s="1"/>
  <c r="Q71" i="36" s="1"/>
  <c r="J82" i="36"/>
  <c r="T57" i="36"/>
  <c r="T70" i="36" s="1"/>
  <c r="T69" i="36" s="1"/>
  <c r="S57" i="36"/>
  <c r="S70" i="36" s="1"/>
  <c r="S71" i="36" s="1"/>
  <c r="W20" i="36"/>
  <c r="W13" i="36" s="1"/>
  <c r="W16" i="36" s="1"/>
  <c r="H60" i="36"/>
  <c r="H73" i="36" s="1"/>
  <c r="H72" i="36" s="1"/>
  <c r="O88" i="36"/>
  <c r="M85" i="36"/>
  <c r="K54" i="36"/>
  <c r="K67" i="36" s="1"/>
  <c r="K66" i="36" s="1"/>
  <c r="K85" i="36"/>
  <c r="N104" i="19" s="1"/>
  <c r="E34" i="36"/>
  <c r="S63" i="36"/>
  <c r="S76" i="36" s="1"/>
  <c r="S77" i="36" s="1"/>
  <c r="K63" i="36"/>
  <c r="K76" i="36" s="1"/>
  <c r="K77" i="36" s="1"/>
  <c r="S60" i="36"/>
  <c r="S73" i="36" s="1"/>
  <c r="S87" i="36" s="1"/>
  <c r="N202" i="19" s="1"/>
  <c r="S88" i="36"/>
  <c r="N203" i="19" s="1"/>
  <c r="R34" i="36"/>
  <c r="K60" i="36"/>
  <c r="K73" i="36" s="1"/>
  <c r="K74" i="36" s="1"/>
  <c r="O54" i="36"/>
  <c r="O67" i="36" s="1"/>
  <c r="O81" i="36" s="1"/>
  <c r="N148" i="19" s="1"/>
  <c r="J60" i="36"/>
  <c r="J73" i="36" s="1"/>
  <c r="J74" i="36" s="1"/>
  <c r="W85" i="36"/>
  <c r="N248" i="19" s="1"/>
  <c r="W57" i="36"/>
  <c r="W70" i="36" s="1"/>
  <c r="R75" i="36"/>
  <c r="R77" i="36"/>
  <c r="I90" i="36"/>
  <c r="N85" i="19" s="1"/>
  <c r="I89" i="36"/>
  <c r="N84" i="19" s="1"/>
  <c r="I77" i="36"/>
  <c r="I75" i="36"/>
  <c r="N71" i="36"/>
  <c r="N69" i="36"/>
  <c r="P54" i="36"/>
  <c r="P67" i="36" s="1"/>
  <c r="P81" i="36" s="1"/>
  <c r="N160" i="19" s="1"/>
  <c r="P82" i="36"/>
  <c r="N161" i="19" s="1"/>
  <c r="T34" i="36"/>
  <c r="T91" i="36"/>
  <c r="N218" i="19" s="1"/>
  <c r="T63" i="36"/>
  <c r="T76" i="36" s="1"/>
  <c r="T89" i="36" s="1"/>
  <c r="N216" i="19" s="1"/>
  <c r="Q72" i="36"/>
  <c r="Q74" i="36"/>
  <c r="I82" i="36"/>
  <c r="N77" i="19" s="1"/>
  <c r="I54" i="36"/>
  <c r="I67" i="36" s="1"/>
  <c r="I81" i="36" s="1"/>
  <c r="N76" i="19" s="1"/>
  <c r="M54" i="36"/>
  <c r="M67" i="36" s="1"/>
  <c r="M82" i="36"/>
  <c r="N125" i="19" s="1"/>
  <c r="U88" i="36"/>
  <c r="N227" i="19" s="1"/>
  <c r="U60" i="36"/>
  <c r="U73" i="36" s="1"/>
  <c r="U57" i="36"/>
  <c r="U70" i="36" s="1"/>
  <c r="U85" i="36"/>
  <c r="N224" i="19" s="1"/>
  <c r="W82" i="36"/>
  <c r="N245" i="19" s="1"/>
  <c r="W54" i="36"/>
  <c r="W67" i="36" s="1"/>
  <c r="W80" i="36" s="1"/>
  <c r="N243" i="19" s="1"/>
  <c r="N72" i="36"/>
  <c r="R89" i="36"/>
  <c r="N192" i="19" s="1"/>
  <c r="R90" i="36"/>
  <c r="N193" i="19" s="1"/>
  <c r="T82" i="36"/>
  <c r="N209" i="19" s="1"/>
  <c r="T54" i="36"/>
  <c r="T67" i="36" s="1"/>
  <c r="T80" i="36" s="1"/>
  <c r="N207" i="19" s="1"/>
  <c r="S82" i="36"/>
  <c r="N197" i="19" s="1"/>
  <c r="S54" i="36"/>
  <c r="S67" i="36" s="1"/>
  <c r="P91" i="36"/>
  <c r="N170" i="19" s="1"/>
  <c r="P63" i="36"/>
  <c r="P76" i="36" s="1"/>
  <c r="Y19" i="36"/>
  <c r="U82" i="36"/>
  <c r="N221" i="19" s="1"/>
  <c r="U54" i="36"/>
  <c r="U67" i="36" s="1"/>
  <c r="N86" i="36"/>
  <c r="N141" i="19" s="1"/>
  <c r="N82" i="36"/>
  <c r="N137" i="19" s="1"/>
  <c r="N54" i="36"/>
  <c r="N67" i="36" s="1"/>
  <c r="S34" i="36"/>
  <c r="R54" i="36"/>
  <c r="R67" i="36" s="1"/>
  <c r="R82" i="36"/>
  <c r="N185" i="19" s="1"/>
  <c r="N34" i="36"/>
  <c r="P34" i="36"/>
  <c r="L91" i="36"/>
  <c r="N122" i="19" s="1"/>
  <c r="L63" i="36"/>
  <c r="L76" i="36" s="1"/>
  <c r="L90" i="36" s="1"/>
  <c r="N121" i="19" s="1"/>
  <c r="M74" i="36"/>
  <c r="M72" i="36"/>
  <c r="Q90" i="36"/>
  <c r="N181" i="19" s="1"/>
  <c r="Q89" i="36"/>
  <c r="N180" i="19" s="1"/>
  <c r="U34" i="36"/>
  <c r="U63" i="36"/>
  <c r="U76" i="36" s="1"/>
  <c r="E88" i="36"/>
  <c r="N35" i="19" s="1"/>
  <c r="E60" i="36"/>
  <c r="E73" i="36" s="1"/>
  <c r="E87" i="36" s="1"/>
  <c r="N34" i="19" s="1"/>
  <c r="G82" i="36"/>
  <c r="N53" i="19" s="1"/>
  <c r="G54" i="36"/>
  <c r="G67" i="36" s="1"/>
  <c r="V82" i="36"/>
  <c r="N233" i="19" s="1"/>
  <c r="V54" i="36"/>
  <c r="V67" i="36" s="1"/>
  <c r="M89" i="36"/>
  <c r="N132" i="19" s="1"/>
  <c r="M90" i="36"/>
  <c r="N133" i="19" s="1"/>
  <c r="Q82" i="36"/>
  <c r="N173" i="19" s="1"/>
  <c r="Q54" i="36"/>
  <c r="Q67" i="36" s="1"/>
  <c r="P57" i="36"/>
  <c r="P70" i="36" s="1"/>
  <c r="R57" i="36"/>
  <c r="R70" i="36" s="1"/>
  <c r="I74" i="36"/>
  <c r="I72" i="36"/>
  <c r="G57" i="36"/>
  <c r="G70" i="36" s="1"/>
  <c r="Q34" i="36"/>
  <c r="Q75" i="36"/>
  <c r="Q77" i="36"/>
  <c r="M34" i="36"/>
  <c r="E82" i="36"/>
  <c r="N29" i="19" s="1"/>
  <c r="E54" i="36"/>
  <c r="E67" i="36" s="1"/>
  <c r="M75" i="36"/>
  <c r="M77" i="36"/>
  <c r="J26" i="39"/>
  <c r="J27" i="39" s="1"/>
  <c r="J28" i="39" s="1"/>
  <c r="J29" i="39" s="1"/>
  <c r="J30" i="39" s="1"/>
  <c r="J31" i="39" s="1"/>
  <c r="J32" i="39" s="1"/>
  <c r="J33" i="39" s="1"/>
  <c r="J34" i="39" s="1"/>
  <c r="J35" i="39" s="1"/>
  <c r="J36" i="39" s="1"/>
  <c r="K25" i="39" s="1"/>
  <c r="O38" i="39"/>
  <c r="S28" i="39"/>
  <c r="S25" i="39"/>
  <c r="K207" i="19" s="1"/>
  <c r="V38" i="39"/>
  <c r="C38" i="39"/>
  <c r="H26" i="39"/>
  <c r="H27" i="39" s="1"/>
  <c r="H28" i="39" s="1"/>
  <c r="H29" i="39" s="1"/>
  <c r="H30" i="39" s="1"/>
  <c r="H31" i="39" s="1"/>
  <c r="H32" i="39" s="1"/>
  <c r="H33" i="39" s="1"/>
  <c r="H34" i="39" s="1"/>
  <c r="H35" i="39" s="1"/>
  <c r="H36" i="39" s="1"/>
  <c r="I25" i="39" s="1"/>
  <c r="G38" i="39"/>
  <c r="P20" i="35"/>
  <c r="G25" i="35" s="1"/>
  <c r="H25" i="35" s="1"/>
  <c r="Q6" i="35"/>
  <c r="P19" i="35"/>
  <c r="S37" i="35"/>
  <c r="N87" i="36" l="1"/>
  <c r="N142" i="19" s="1"/>
  <c r="D272" i="19"/>
  <c r="D223" i="43" s="1"/>
  <c r="R72" i="36"/>
  <c r="D277" i="19"/>
  <c r="D228" i="43" s="1"/>
  <c r="T29" i="35"/>
  <c r="T36" i="35"/>
  <c r="T30" i="35" s="1"/>
  <c r="T43" i="35"/>
  <c r="E94" i="9" s="1"/>
  <c r="F74" i="36"/>
  <c r="F86" i="36"/>
  <c r="N45" i="19" s="1"/>
  <c r="F87" i="36"/>
  <c r="N46" i="19" s="1"/>
  <c r="K93" i="9"/>
  <c r="G302" i="24" s="1"/>
  <c r="J93" i="9"/>
  <c r="F302" i="24" s="1"/>
  <c r="M93" i="9"/>
  <c r="I302" i="24" s="1"/>
  <c r="I93" i="9"/>
  <c r="E302" i="24" s="1"/>
  <c r="L93" i="9"/>
  <c r="H93" i="9"/>
  <c r="D302" i="24" s="1"/>
  <c r="G94" i="9"/>
  <c r="AD144" i="19"/>
  <c r="U144" i="19"/>
  <c r="V144" i="19" s="1"/>
  <c r="AD138" i="19"/>
  <c r="U138" i="19"/>
  <c r="V138" i="19" s="1"/>
  <c r="AD141" i="19"/>
  <c r="U141" i="19"/>
  <c r="V141" i="19" s="1"/>
  <c r="AD136" i="19"/>
  <c r="U136" i="19"/>
  <c r="V136" i="19" s="1"/>
  <c r="AD145" i="19"/>
  <c r="U145" i="19"/>
  <c r="V145" i="19" s="1"/>
  <c r="AD139" i="19"/>
  <c r="U139" i="19"/>
  <c r="V139" i="19" s="1"/>
  <c r="AD51" i="19"/>
  <c r="U51" i="19"/>
  <c r="V51" i="19" s="1"/>
  <c r="AD137" i="19"/>
  <c r="U137" i="19"/>
  <c r="V137" i="19" s="1"/>
  <c r="AD142" i="19"/>
  <c r="U142" i="19"/>
  <c r="V142" i="19" s="1"/>
  <c r="AD143" i="19"/>
  <c r="U143" i="19"/>
  <c r="V143" i="19" s="1"/>
  <c r="AD140" i="19"/>
  <c r="U140" i="19"/>
  <c r="V140" i="19" s="1"/>
  <c r="AD146" i="19"/>
  <c r="U146" i="19"/>
  <c r="V146" i="19" s="1"/>
  <c r="AD135" i="19"/>
  <c r="U135" i="19"/>
  <c r="V135" i="19" s="1"/>
  <c r="O89" i="36"/>
  <c r="N156" i="19" s="1"/>
  <c r="R81" i="36"/>
  <c r="N184" i="19" s="1"/>
  <c r="K84" i="36"/>
  <c r="N103" i="19" s="1"/>
  <c r="V72" i="36"/>
  <c r="I71" i="36"/>
  <c r="V86" i="36"/>
  <c r="N237" i="19" s="1"/>
  <c r="R87" i="36"/>
  <c r="N190" i="19" s="1"/>
  <c r="O71" i="36"/>
  <c r="K71" i="36"/>
  <c r="O84" i="36"/>
  <c r="N151" i="19" s="1"/>
  <c r="K83" i="36"/>
  <c r="N102" i="19" s="1"/>
  <c r="V74" i="36"/>
  <c r="N75" i="36"/>
  <c r="R74" i="36"/>
  <c r="H75" i="36"/>
  <c r="O83" i="36"/>
  <c r="N150" i="19" s="1"/>
  <c r="R38" i="39"/>
  <c r="G284" i="24"/>
  <c r="U35" i="35"/>
  <c r="F81" i="36"/>
  <c r="N40" i="19" s="1"/>
  <c r="H68" i="36"/>
  <c r="S81" i="36"/>
  <c r="N196" i="19" s="1"/>
  <c r="H66" i="36"/>
  <c r="H83" i="36"/>
  <c r="N66" i="19" s="1"/>
  <c r="O66" i="36"/>
  <c r="E69" i="36"/>
  <c r="H84" i="36"/>
  <c r="N67" i="19" s="1"/>
  <c r="E75" i="36"/>
  <c r="M71" i="36"/>
  <c r="K148" i="19"/>
  <c r="P38" i="39"/>
  <c r="M28" i="39"/>
  <c r="K137" i="19"/>
  <c r="L28" i="39"/>
  <c r="K125" i="19"/>
  <c r="H90" i="36"/>
  <c r="N73" i="19" s="1"/>
  <c r="O90" i="36"/>
  <c r="N157" i="19" s="1"/>
  <c r="N155" i="19"/>
  <c r="Q87" i="36"/>
  <c r="N178" i="19" s="1"/>
  <c r="N176" i="19"/>
  <c r="P72" i="36"/>
  <c r="C71" i="36"/>
  <c r="C84" i="36"/>
  <c r="N7" i="19" s="1"/>
  <c r="L72" i="36"/>
  <c r="J84" i="36"/>
  <c r="N91" i="19" s="1"/>
  <c r="N89" i="19"/>
  <c r="I87" i="36"/>
  <c r="N82" i="19" s="1"/>
  <c r="N80" i="19"/>
  <c r="M86" i="36"/>
  <c r="N129" i="19" s="1"/>
  <c r="N128" i="19"/>
  <c r="L66" i="36"/>
  <c r="K184" i="19"/>
  <c r="Q38" i="39"/>
  <c r="U38" i="39"/>
  <c r="T38" i="39"/>
  <c r="S29" i="39"/>
  <c r="K211" i="19" s="1"/>
  <c r="K210" i="19"/>
  <c r="V71" i="36"/>
  <c r="H69" i="36"/>
  <c r="C89" i="36"/>
  <c r="N12" i="19" s="1"/>
  <c r="F90" i="36"/>
  <c r="N49" i="19" s="1"/>
  <c r="F83" i="36"/>
  <c r="N42" i="19" s="1"/>
  <c r="H87" i="36"/>
  <c r="N70" i="19" s="1"/>
  <c r="V77" i="36"/>
  <c r="I86" i="36"/>
  <c r="N81" i="19" s="1"/>
  <c r="C90" i="36"/>
  <c r="N13" i="19" s="1"/>
  <c r="F71" i="36"/>
  <c r="D84" i="36"/>
  <c r="N19" i="19" s="1"/>
  <c r="C75" i="36"/>
  <c r="N90" i="36"/>
  <c r="N145" i="19" s="1"/>
  <c r="H80" i="36"/>
  <c r="N63" i="19" s="1"/>
  <c r="D74" i="36"/>
  <c r="V90" i="36"/>
  <c r="N241" i="19" s="1"/>
  <c r="F84" i="36"/>
  <c r="N43" i="19" s="1"/>
  <c r="W81" i="36"/>
  <c r="N244" i="19" s="1"/>
  <c r="V89" i="36"/>
  <c r="N240" i="19" s="1"/>
  <c r="H74" i="36"/>
  <c r="O77" i="36"/>
  <c r="G74" i="36"/>
  <c r="J80" i="36"/>
  <c r="N87" i="19" s="1"/>
  <c r="F89" i="36"/>
  <c r="N48" i="19" s="1"/>
  <c r="K75" i="36"/>
  <c r="H89" i="36"/>
  <c r="N72" i="19" s="1"/>
  <c r="F66" i="36"/>
  <c r="F77" i="36"/>
  <c r="L87" i="36"/>
  <c r="N118" i="19" s="1"/>
  <c r="C72" i="36"/>
  <c r="N89" i="36"/>
  <c r="N144" i="19" s="1"/>
  <c r="P74" i="36"/>
  <c r="C69" i="36"/>
  <c r="T71" i="36"/>
  <c r="J89" i="36"/>
  <c r="N96" i="19" s="1"/>
  <c r="P86" i="36"/>
  <c r="N165" i="19" s="1"/>
  <c r="L81" i="36"/>
  <c r="N112" i="19" s="1"/>
  <c r="J81" i="36"/>
  <c r="N88" i="19" s="1"/>
  <c r="J69" i="36"/>
  <c r="L57" i="36"/>
  <c r="L70" i="36" s="1"/>
  <c r="L71" i="36" s="1"/>
  <c r="L74" i="36"/>
  <c r="H86" i="36"/>
  <c r="N69" i="19" s="1"/>
  <c r="L80" i="36"/>
  <c r="N111" i="19" s="1"/>
  <c r="D90" i="36"/>
  <c r="N25" i="19" s="1"/>
  <c r="Q69" i="36"/>
  <c r="S89" i="36"/>
  <c r="N204" i="19" s="1"/>
  <c r="S69" i="36"/>
  <c r="F68" i="36"/>
  <c r="C86" i="36"/>
  <c r="N9" i="19" s="1"/>
  <c r="G75" i="36"/>
  <c r="D89" i="36"/>
  <c r="N24" i="19" s="1"/>
  <c r="M87" i="36"/>
  <c r="N130" i="19" s="1"/>
  <c r="O86" i="36"/>
  <c r="N153" i="19" s="1"/>
  <c r="T87" i="36"/>
  <c r="N214" i="19" s="1"/>
  <c r="D87" i="36"/>
  <c r="N22" i="19" s="1"/>
  <c r="T72" i="36"/>
  <c r="C87" i="36"/>
  <c r="N10" i="19" s="1"/>
  <c r="O74" i="36"/>
  <c r="G90" i="36"/>
  <c r="N61" i="19" s="1"/>
  <c r="J90" i="36"/>
  <c r="N97" i="19" s="1"/>
  <c r="C68" i="36"/>
  <c r="D77" i="36"/>
  <c r="T74" i="36"/>
  <c r="O87" i="36"/>
  <c r="N154" i="19" s="1"/>
  <c r="G89" i="36"/>
  <c r="N60" i="19" s="1"/>
  <c r="D69" i="36"/>
  <c r="I80" i="36"/>
  <c r="N75" i="19" s="1"/>
  <c r="J66" i="36"/>
  <c r="L82" i="36"/>
  <c r="N113" i="19" s="1"/>
  <c r="J83" i="36"/>
  <c r="N90" i="19" s="1"/>
  <c r="K90" i="36"/>
  <c r="N109" i="19" s="1"/>
  <c r="K72" i="36"/>
  <c r="S90" i="36"/>
  <c r="N205" i="19" s="1"/>
  <c r="T81" i="36"/>
  <c r="N208" i="19" s="1"/>
  <c r="D86" i="36"/>
  <c r="N21" i="19" s="1"/>
  <c r="J72" i="36"/>
  <c r="J87" i="36"/>
  <c r="N94" i="19" s="1"/>
  <c r="D71" i="36"/>
  <c r="J68" i="36"/>
  <c r="C80" i="36"/>
  <c r="N3" i="19" s="1"/>
  <c r="C66" i="36"/>
  <c r="K81" i="36"/>
  <c r="N100" i="19" s="1"/>
  <c r="J75" i="36"/>
  <c r="K89" i="36"/>
  <c r="N108" i="19" s="1"/>
  <c r="W21" i="36"/>
  <c r="G72" i="36"/>
  <c r="G87" i="36"/>
  <c r="N58" i="19" s="1"/>
  <c r="D68" i="36"/>
  <c r="S75" i="36"/>
  <c r="D80" i="36"/>
  <c r="N15" i="19" s="1"/>
  <c r="W30" i="36"/>
  <c r="W46" i="36" s="1"/>
  <c r="W88" i="36" s="1"/>
  <c r="N251" i="19" s="1"/>
  <c r="D66" i="36"/>
  <c r="K80" i="36"/>
  <c r="N99" i="19" s="1"/>
  <c r="K68" i="36"/>
  <c r="P80" i="36"/>
  <c r="N159" i="19" s="1"/>
  <c r="K87" i="36"/>
  <c r="N106" i="19" s="1"/>
  <c r="S86" i="36"/>
  <c r="N201" i="19" s="1"/>
  <c r="T90" i="36"/>
  <c r="N217" i="19" s="1"/>
  <c r="S74" i="36"/>
  <c r="R80" i="36"/>
  <c r="N183" i="19" s="1"/>
  <c r="J86" i="36"/>
  <c r="N93" i="19" s="1"/>
  <c r="S80" i="36"/>
  <c r="N195" i="19" s="1"/>
  <c r="K86" i="36"/>
  <c r="N105" i="19" s="1"/>
  <c r="O68" i="36"/>
  <c r="S72" i="36"/>
  <c r="O80" i="36"/>
  <c r="N147" i="19" s="1"/>
  <c r="R71" i="36"/>
  <c r="R69" i="36"/>
  <c r="G68" i="36"/>
  <c r="G66" i="36"/>
  <c r="G80" i="36"/>
  <c r="N51" i="19" s="1"/>
  <c r="G81" i="36"/>
  <c r="N52" i="19" s="1"/>
  <c r="M80" i="36"/>
  <c r="N123" i="19" s="1"/>
  <c r="M81" i="36"/>
  <c r="N124" i="19" s="1"/>
  <c r="N68" i="36"/>
  <c r="N66" i="36"/>
  <c r="P77" i="36"/>
  <c r="P75" i="36"/>
  <c r="P90" i="36"/>
  <c r="N169" i="19" s="1"/>
  <c r="P89" i="36"/>
  <c r="N168" i="19" s="1"/>
  <c r="S68" i="36"/>
  <c r="S66" i="36"/>
  <c r="U71" i="36"/>
  <c r="U69" i="36"/>
  <c r="P83" i="36"/>
  <c r="N162" i="19" s="1"/>
  <c r="P84" i="36"/>
  <c r="N163" i="19" s="1"/>
  <c r="W69" i="36"/>
  <c r="W71" i="36"/>
  <c r="G83" i="36"/>
  <c r="N54" i="19" s="1"/>
  <c r="G84" i="36"/>
  <c r="N55" i="19" s="1"/>
  <c r="R83" i="36"/>
  <c r="N186" i="19" s="1"/>
  <c r="R84" i="36"/>
  <c r="N187" i="19" s="1"/>
  <c r="N84" i="36"/>
  <c r="N139" i="19" s="1"/>
  <c r="N83" i="36"/>
  <c r="N138" i="19" s="1"/>
  <c r="U68" i="36"/>
  <c r="U66" i="36"/>
  <c r="Q80" i="36"/>
  <c r="N171" i="19" s="1"/>
  <c r="Q81" i="36"/>
  <c r="N172" i="19" s="1"/>
  <c r="S84" i="36"/>
  <c r="N199" i="19" s="1"/>
  <c r="S83" i="36"/>
  <c r="N198" i="19" s="1"/>
  <c r="U72" i="36"/>
  <c r="U74" i="36"/>
  <c r="M84" i="36"/>
  <c r="N127" i="19" s="1"/>
  <c r="M83" i="36"/>
  <c r="N126" i="19" s="1"/>
  <c r="I66" i="36"/>
  <c r="I68" i="36"/>
  <c r="T77" i="36"/>
  <c r="T75" i="36"/>
  <c r="P66" i="36"/>
  <c r="P68" i="36"/>
  <c r="E68" i="36"/>
  <c r="E66" i="36"/>
  <c r="G69" i="36"/>
  <c r="G71" i="36"/>
  <c r="Q66" i="36"/>
  <c r="Q68" i="36"/>
  <c r="V68" i="36"/>
  <c r="V66" i="36"/>
  <c r="V81" i="36"/>
  <c r="N232" i="19" s="1"/>
  <c r="V80" i="36"/>
  <c r="N231" i="19" s="1"/>
  <c r="E72" i="36"/>
  <c r="E74" i="36"/>
  <c r="N80" i="36"/>
  <c r="N135" i="19" s="1"/>
  <c r="R68" i="36"/>
  <c r="R66" i="36"/>
  <c r="U84" i="36"/>
  <c r="N223" i="19" s="1"/>
  <c r="U83" i="36"/>
  <c r="N222" i="19" s="1"/>
  <c r="T66" i="36"/>
  <c r="T68" i="36"/>
  <c r="W68" i="36"/>
  <c r="W66" i="36"/>
  <c r="U90" i="36"/>
  <c r="N229" i="19" s="1"/>
  <c r="U89" i="36"/>
  <c r="N228" i="19" s="1"/>
  <c r="M68" i="36"/>
  <c r="M66" i="36"/>
  <c r="I84" i="36"/>
  <c r="N79" i="19" s="1"/>
  <c r="I83" i="36"/>
  <c r="N78" i="19" s="1"/>
  <c r="U80" i="36"/>
  <c r="N219" i="19" s="1"/>
  <c r="U81" i="36"/>
  <c r="N220" i="19" s="1"/>
  <c r="E81" i="36"/>
  <c r="N28" i="19" s="1"/>
  <c r="E84" i="36"/>
  <c r="N31" i="19" s="1"/>
  <c r="E83" i="36"/>
  <c r="N30" i="19" s="1"/>
  <c r="P69" i="36"/>
  <c r="P71" i="36"/>
  <c r="Q84" i="36"/>
  <c r="N175" i="19" s="1"/>
  <c r="Q83" i="36"/>
  <c r="N174" i="19" s="1"/>
  <c r="V84" i="36"/>
  <c r="N235" i="19" s="1"/>
  <c r="V83" i="36"/>
  <c r="N234" i="19" s="1"/>
  <c r="E89" i="36"/>
  <c r="N36" i="19" s="1"/>
  <c r="E90" i="36"/>
  <c r="N37" i="19" s="1"/>
  <c r="N81" i="36"/>
  <c r="N136" i="19" s="1"/>
  <c r="E86" i="36"/>
  <c r="N33" i="19" s="1"/>
  <c r="U77" i="36"/>
  <c r="U75" i="36"/>
  <c r="L77" i="36"/>
  <c r="L75" i="36"/>
  <c r="L89" i="36"/>
  <c r="N120" i="19" s="1"/>
  <c r="T83" i="36"/>
  <c r="N210" i="19" s="1"/>
  <c r="T84" i="36"/>
  <c r="N211" i="19" s="1"/>
  <c r="W83" i="36"/>
  <c r="N246" i="19" s="1"/>
  <c r="W84" i="36"/>
  <c r="N247" i="19" s="1"/>
  <c r="U87" i="36"/>
  <c r="N226" i="19" s="1"/>
  <c r="U86" i="36"/>
  <c r="N225" i="19" s="1"/>
  <c r="E80" i="36"/>
  <c r="N27" i="19" s="1"/>
  <c r="W33" i="36"/>
  <c r="X7" i="36"/>
  <c r="I26" i="39"/>
  <c r="I27" i="39" s="1"/>
  <c r="I28" i="39" s="1"/>
  <c r="I29" i="39" s="1"/>
  <c r="I30" i="39" s="1"/>
  <c r="I31" i="39" s="1"/>
  <c r="I32" i="39" s="1"/>
  <c r="I33" i="39" s="1"/>
  <c r="I34" i="39" s="1"/>
  <c r="I35" i="39" s="1"/>
  <c r="K26" i="39"/>
  <c r="K27" i="39" s="1"/>
  <c r="K28" i="39" s="1"/>
  <c r="K29" i="39" s="1"/>
  <c r="K30" i="39" s="1"/>
  <c r="K31" i="39" s="1"/>
  <c r="K32" i="39" s="1"/>
  <c r="K33" i="39" s="1"/>
  <c r="K34" i="39" s="1"/>
  <c r="K35" i="39" s="1"/>
  <c r="H38" i="39"/>
  <c r="S26" i="39"/>
  <c r="J38" i="39"/>
  <c r="Q7" i="35"/>
  <c r="Q8" i="35" s="1"/>
  <c r="Q9" i="35" s="1"/>
  <c r="Q10" i="35" s="1"/>
  <c r="Q11" i="35" s="1"/>
  <c r="Q12" i="35" s="1"/>
  <c r="Q13" i="35" s="1"/>
  <c r="Q14" i="35" s="1"/>
  <c r="Q15" i="35" s="1"/>
  <c r="Q16" i="35" s="1"/>
  <c r="Q17" i="35" s="1"/>
  <c r="J24" i="35"/>
  <c r="G279" i="24" l="1"/>
  <c r="U30" i="35"/>
  <c r="G278" i="24"/>
  <c r="T31" i="35"/>
  <c r="U31" i="35" s="1"/>
  <c r="U29" i="35"/>
  <c r="M94" i="9"/>
  <c r="I303" i="24" s="1"/>
  <c r="I94" i="9"/>
  <c r="E303" i="24" s="1"/>
  <c r="L94" i="9"/>
  <c r="H94" i="9"/>
  <c r="D303" i="24" s="1"/>
  <c r="K94" i="9"/>
  <c r="G303" i="24" s="1"/>
  <c r="J94" i="9"/>
  <c r="F303" i="24" s="1"/>
  <c r="U36" i="35"/>
  <c r="G285" i="24"/>
  <c r="L29" i="39"/>
  <c r="K126" i="19"/>
  <c r="M29" i="39"/>
  <c r="K139" i="19" s="1"/>
  <c r="K138" i="19"/>
  <c r="S38" i="39"/>
  <c r="K208" i="19"/>
  <c r="L84" i="36"/>
  <c r="N115" i="19" s="1"/>
  <c r="L69" i="36"/>
  <c r="L83" i="36"/>
  <c r="N114" i="19" s="1"/>
  <c r="W60" i="36"/>
  <c r="W73" i="36" s="1"/>
  <c r="W87" i="36" s="1"/>
  <c r="N250" i="19" s="1"/>
  <c r="W49" i="36"/>
  <c r="W34" i="36"/>
  <c r="X24" i="36"/>
  <c r="X40" i="36" s="1"/>
  <c r="Z7" i="36"/>
  <c r="X10" i="36"/>
  <c r="K38" i="39"/>
  <c r="I38" i="39"/>
  <c r="K24" i="35"/>
  <c r="Q20" i="35"/>
  <c r="G26" i="35" s="1"/>
  <c r="H26" i="35" s="1"/>
  <c r="R6" i="35" s="1"/>
  <c r="T37" i="35"/>
  <c r="U37" i="35" s="1"/>
  <c r="Q19" i="35"/>
  <c r="M38" i="39" l="1"/>
  <c r="L30" i="39"/>
  <c r="K127" i="19"/>
  <c r="W72" i="36"/>
  <c r="W74" i="36"/>
  <c r="W86" i="36"/>
  <c r="N249" i="19" s="1"/>
  <c r="X54" i="36"/>
  <c r="X67" i="36" s="1"/>
  <c r="X82" i="36"/>
  <c r="N257" i="19" s="1"/>
  <c r="Z40" i="36"/>
  <c r="X27" i="36"/>
  <c r="X43" i="36" s="1"/>
  <c r="Z10" i="36"/>
  <c r="X13" i="36"/>
  <c r="W91" i="36"/>
  <c r="N254" i="19" s="1"/>
  <c r="W63" i="36"/>
  <c r="W76" i="36" s="1"/>
  <c r="R7" i="35"/>
  <c r="R8" i="35" s="1"/>
  <c r="R9" i="35" s="1"/>
  <c r="R10" i="35" s="1"/>
  <c r="R11" i="35" s="1"/>
  <c r="R12" i="35" s="1"/>
  <c r="R13" i="35" s="1"/>
  <c r="R14" i="35" s="1"/>
  <c r="R15" i="35" s="1"/>
  <c r="R16" i="35" s="1"/>
  <c r="R17" i="35" s="1"/>
  <c r="R19" i="35"/>
  <c r="J26" i="35" s="1"/>
  <c r="K26" i="35" s="1"/>
  <c r="J25" i="35"/>
  <c r="L31" i="39" l="1"/>
  <c r="K128" i="19"/>
  <c r="X16" i="36"/>
  <c r="Z13" i="36"/>
  <c r="X30" i="36"/>
  <c r="X46" i="36" s="1"/>
  <c r="X85" i="36"/>
  <c r="N260" i="19" s="1"/>
  <c r="Z43" i="36"/>
  <c r="X57" i="36"/>
  <c r="X70" i="36" s="1"/>
  <c r="X83" i="36" s="1"/>
  <c r="N258" i="19" s="1"/>
  <c r="W75" i="36"/>
  <c r="W77" i="36"/>
  <c r="W90" i="36"/>
  <c r="N253" i="19" s="1"/>
  <c r="W89" i="36"/>
  <c r="N252" i="19" s="1"/>
  <c r="X81" i="36"/>
  <c r="N256" i="19" s="1"/>
  <c r="W98" i="36"/>
  <c r="W99" i="36" s="1"/>
  <c r="X80" i="36"/>
  <c r="N255" i="19" s="1"/>
  <c r="X66" i="36"/>
  <c r="X68" i="36"/>
  <c r="K25" i="35"/>
  <c r="S6" i="35"/>
  <c r="R20" i="35"/>
  <c r="G27" i="35" s="1"/>
  <c r="H27" i="35" s="1"/>
  <c r="L32" i="39" l="1"/>
  <c r="K129" i="19"/>
  <c r="X71" i="36"/>
  <c r="X69" i="36"/>
  <c r="Z46" i="36"/>
  <c r="X88" i="36"/>
  <c r="N263" i="19" s="1"/>
  <c r="X60" i="36"/>
  <c r="X73" i="36" s="1"/>
  <c r="X87" i="36" s="1"/>
  <c r="N262" i="19" s="1"/>
  <c r="X33" i="36"/>
  <c r="X49" i="36" s="1"/>
  <c r="Z16" i="36"/>
  <c r="Y7" i="36"/>
  <c r="X84" i="36"/>
  <c r="N259" i="19" s="1"/>
  <c r="X21" i="36"/>
  <c r="S7" i="35"/>
  <c r="S8" i="35" s="1"/>
  <c r="S9" i="35" s="1"/>
  <c r="S10" i="35" s="1"/>
  <c r="S11" i="35" s="1"/>
  <c r="S12" i="35" s="1"/>
  <c r="S13" i="35" s="1"/>
  <c r="S14" i="35" s="1"/>
  <c r="S15" i="35" s="1"/>
  <c r="S16" i="35" s="1"/>
  <c r="S17" i="35" s="1"/>
  <c r="L33" i="39" l="1"/>
  <c r="K130" i="19"/>
  <c r="X86" i="36"/>
  <c r="N261" i="19" s="1"/>
  <c r="Y24" i="36"/>
  <c r="Y40" i="36" s="1"/>
  <c r="AA7" i="36"/>
  <c r="Y10" i="36"/>
  <c r="X63" i="36"/>
  <c r="X76" i="36" s="1"/>
  <c r="X91" i="36"/>
  <c r="N266" i="19" s="1"/>
  <c r="Z49" i="36"/>
  <c r="X34" i="36"/>
  <c r="X74" i="36"/>
  <c r="X72" i="36"/>
  <c r="S20" i="35"/>
  <c r="G28" i="35" s="1"/>
  <c r="H28" i="35" s="1"/>
  <c r="T6" i="35" s="1"/>
  <c r="S19" i="35"/>
  <c r="L34" i="39" l="1"/>
  <c r="K131" i="19"/>
  <c r="X77" i="36"/>
  <c r="X75" i="36"/>
  <c r="Y13" i="36"/>
  <c r="Y27" i="36"/>
  <c r="Y43" i="36" s="1"/>
  <c r="AA10" i="36"/>
  <c r="X90" i="36"/>
  <c r="N265" i="19" s="1"/>
  <c r="X89" i="36"/>
  <c r="N264" i="19" s="1"/>
  <c r="Y82" i="36"/>
  <c r="N269" i="19" s="1"/>
  <c r="N311" i="19" s="1"/>
  <c r="Y54" i="36"/>
  <c r="Y67" i="36" s="1"/>
  <c r="Y80" i="36" s="1"/>
  <c r="N267" i="19" s="1"/>
  <c r="N309" i="19" s="1"/>
  <c r="AA40" i="36"/>
  <c r="X98" i="36"/>
  <c r="X99" i="36" s="1"/>
  <c r="T7" i="35"/>
  <c r="T8" i="35" s="1"/>
  <c r="T9" i="35" s="1"/>
  <c r="T10" i="35" s="1"/>
  <c r="T11" i="35" s="1"/>
  <c r="T12" i="35" s="1"/>
  <c r="T13" i="35" s="1"/>
  <c r="T14" i="35" s="1"/>
  <c r="T15" i="35" s="1"/>
  <c r="T16" i="35" s="1"/>
  <c r="T17" i="35" s="1"/>
  <c r="J27" i="35"/>
  <c r="N325" i="19" l="1"/>
  <c r="N327" i="19"/>
  <c r="L35" i="39"/>
  <c r="K132" i="19"/>
  <c r="Y81" i="36"/>
  <c r="N268" i="19" s="1"/>
  <c r="N310" i="19" s="1"/>
  <c r="Y85" i="36"/>
  <c r="N272" i="19" s="1"/>
  <c r="N314" i="19" s="1"/>
  <c r="Y57" i="36"/>
  <c r="Y70" i="36" s="1"/>
  <c r="AA43" i="36"/>
  <c r="Y30" i="36"/>
  <c r="Y46" i="36" s="1"/>
  <c r="Y16" i="36"/>
  <c r="AA13" i="36"/>
  <c r="Y66" i="36"/>
  <c r="Y68" i="36"/>
  <c r="K27" i="35"/>
  <c r="T20" i="35"/>
  <c r="G29" i="35" s="1"/>
  <c r="H29" i="35" s="1"/>
  <c r="U6" i="35"/>
  <c r="T19" i="35"/>
  <c r="N330" i="19" l="1"/>
  <c r="N326" i="19"/>
  <c r="K133" i="19"/>
  <c r="L38" i="39"/>
  <c r="Y33" i="36"/>
  <c r="Y49" i="36" s="1"/>
  <c r="AA16" i="36"/>
  <c r="Y71" i="36"/>
  <c r="Y69" i="36"/>
  <c r="Y88" i="36"/>
  <c r="N275" i="19" s="1"/>
  <c r="N317" i="19" s="1"/>
  <c r="AA46" i="36"/>
  <c r="Y60" i="36"/>
  <c r="Y73" i="36" s="1"/>
  <c r="Y87" i="36" s="1"/>
  <c r="N274" i="19" s="1"/>
  <c r="N316" i="19" s="1"/>
  <c r="Y83" i="36"/>
  <c r="N270" i="19" s="1"/>
  <c r="N312" i="19" s="1"/>
  <c r="Y21" i="36"/>
  <c r="Y84" i="36"/>
  <c r="N271" i="19" s="1"/>
  <c r="N313" i="19" s="1"/>
  <c r="U7" i="35"/>
  <c r="U8" i="35" s="1"/>
  <c r="U9" i="35" s="1"/>
  <c r="U10" i="35" s="1"/>
  <c r="U11" i="35" s="1"/>
  <c r="U12" i="35" s="1"/>
  <c r="U13" i="35" s="1"/>
  <c r="U14" i="35" s="1"/>
  <c r="U15" i="35" s="1"/>
  <c r="U16" i="35" s="1"/>
  <c r="U17" i="35" s="1"/>
  <c r="J28" i="35"/>
  <c r="N329" i="19" l="1"/>
  <c r="N333" i="19"/>
  <c r="N328" i="19"/>
  <c r="N332" i="19"/>
  <c r="Y34" i="36"/>
  <c r="Y74" i="36"/>
  <c r="Y72" i="36"/>
  <c r="Y86" i="36"/>
  <c r="N273" i="19" s="1"/>
  <c r="N315" i="19" s="1"/>
  <c r="Y91" i="36"/>
  <c r="AA49" i="36"/>
  <c r="Y63" i="36"/>
  <c r="Y76" i="36" s="1"/>
  <c r="K28" i="35"/>
  <c r="U20" i="35"/>
  <c r="G30" i="35" s="1"/>
  <c r="H30" i="35" s="1"/>
  <c r="V6" i="35" s="1"/>
  <c r="M243" i="19" s="1"/>
  <c r="U19" i="35"/>
  <c r="J29" i="35" s="1"/>
  <c r="K29" i="35" s="1"/>
  <c r="T243" i="19" l="1"/>
  <c r="H194" i="43"/>
  <c r="N331" i="19"/>
  <c r="Y98" i="36"/>
  <c r="Y99" i="36" s="1"/>
  <c r="N278" i="19"/>
  <c r="N320" i="19" s="1"/>
  <c r="Y77" i="36"/>
  <c r="Y75" i="36"/>
  <c r="Y89" i="36"/>
  <c r="N276" i="19" s="1"/>
  <c r="N318" i="19" s="1"/>
  <c r="Y90" i="36"/>
  <c r="N277" i="19" s="1"/>
  <c r="N319" i="19" s="1"/>
  <c r="V7" i="35"/>
  <c r="U243" i="19" l="1"/>
  <c r="V243" i="19" s="1"/>
  <c r="J194" i="43"/>
  <c r="AD243" i="19"/>
  <c r="V8" i="35"/>
  <c r="M244" i="19"/>
  <c r="N335" i="19"/>
  <c r="N336" i="19"/>
  <c r="N334" i="19"/>
  <c r="T244" i="19" l="1"/>
  <c r="H195" i="43"/>
  <c r="V9" i="35"/>
  <c r="M245" i="19"/>
  <c r="U244" i="19" l="1"/>
  <c r="V244" i="19" s="1"/>
  <c r="J195" i="43"/>
  <c r="AD244" i="19"/>
  <c r="T245" i="19"/>
  <c r="H196" i="43"/>
  <c r="V10" i="35"/>
  <c r="M246" i="19"/>
  <c r="AD245" i="19" l="1"/>
  <c r="J196" i="43"/>
  <c r="U245" i="19"/>
  <c r="V245" i="19" s="1"/>
  <c r="T246" i="19"/>
  <c r="H197" i="43"/>
  <c r="V11" i="35"/>
  <c r="M247" i="19"/>
  <c r="U246" i="19" l="1"/>
  <c r="V246" i="19" s="1"/>
  <c r="J197" i="43"/>
  <c r="AD246" i="19"/>
  <c r="T247" i="19"/>
  <c r="H198" i="43"/>
  <c r="V12" i="35"/>
  <c r="M248" i="19"/>
  <c r="AD247" i="19" l="1"/>
  <c r="J198" i="43"/>
  <c r="U247" i="19"/>
  <c r="V247" i="19" s="1"/>
  <c r="T248" i="19"/>
  <c r="H199" i="43"/>
  <c r="V13" i="35"/>
  <c r="M249" i="19"/>
  <c r="AD248" i="19" l="1"/>
  <c r="J199" i="43"/>
  <c r="U248" i="19"/>
  <c r="V248" i="19" s="1"/>
  <c r="T249" i="19"/>
  <c r="H200" i="43"/>
  <c r="V14" i="35"/>
  <c r="M250" i="19"/>
  <c r="AD249" i="19" l="1"/>
  <c r="J200" i="43"/>
  <c r="U249" i="19"/>
  <c r="V249" i="19" s="1"/>
  <c r="T250" i="19"/>
  <c r="H201" i="43"/>
  <c r="V15" i="35"/>
  <c r="M251" i="19"/>
  <c r="C58" i="30"/>
  <c r="C56" i="30"/>
  <c r="C53" i="30"/>
  <c r="C52" i="30"/>
  <c r="C51" i="30"/>
  <c r="C34" i="30"/>
  <c r="C32" i="30"/>
  <c r="C29" i="30"/>
  <c r="C28" i="30"/>
  <c r="C27" i="30"/>
  <c r="A4" i="30"/>
  <c r="A17" i="30" s="1"/>
  <c r="A29" i="30" s="1"/>
  <c r="A41" i="30" s="1"/>
  <c r="A53" i="30" s="1"/>
  <c r="A65" i="30" s="1"/>
  <c r="A77" i="30" s="1"/>
  <c r="A3" i="30"/>
  <c r="A16" i="30" s="1"/>
  <c r="A28" i="30" s="1"/>
  <c r="A40" i="30" s="1"/>
  <c r="A52" i="30" s="1"/>
  <c r="A64" i="30" s="1"/>
  <c r="A76" i="30" s="1"/>
  <c r="A2" i="30"/>
  <c r="A15" i="30" s="1"/>
  <c r="A27" i="30" s="1"/>
  <c r="A39" i="30" s="1"/>
  <c r="A51" i="30" s="1"/>
  <c r="A63" i="30" s="1"/>
  <c r="A75" i="30" s="1"/>
  <c r="A63" i="29"/>
  <c r="A75" i="29" s="1"/>
  <c r="C52" i="29"/>
  <c r="C53" i="29"/>
  <c r="C56" i="29"/>
  <c r="C58" i="29"/>
  <c r="C51" i="29"/>
  <c r="C28" i="29"/>
  <c r="C29" i="29"/>
  <c r="C32" i="29"/>
  <c r="C34" i="29"/>
  <c r="A4" i="29"/>
  <c r="A17" i="29" s="1"/>
  <c r="A29" i="29" s="1"/>
  <c r="A41" i="29" s="1"/>
  <c r="A53" i="29" s="1"/>
  <c r="A65" i="29" s="1"/>
  <c r="A77" i="29" s="1"/>
  <c r="A3" i="29"/>
  <c r="A16" i="29" s="1"/>
  <c r="A28" i="29" s="1"/>
  <c r="A40" i="29" s="1"/>
  <c r="A52" i="29" s="1"/>
  <c r="A64" i="29" s="1"/>
  <c r="A76" i="29" s="1"/>
  <c r="A2" i="29"/>
  <c r="A15" i="29" s="1"/>
  <c r="A27" i="29" s="1"/>
  <c r="A39" i="29" s="1"/>
  <c r="A51" i="29" s="1"/>
  <c r="B23" i="18"/>
  <c r="B24" i="18"/>
  <c r="B25" i="18"/>
  <c r="B26" i="18"/>
  <c r="B27" i="18"/>
  <c r="A25" i="9"/>
  <c r="A51" i="9" s="1"/>
  <c r="C39" i="17"/>
  <c r="D39" i="17"/>
  <c r="G39" i="17"/>
  <c r="I39" i="17"/>
  <c r="B39" i="17"/>
  <c r="B298" i="19"/>
  <c r="B297" i="19"/>
  <c r="D156" i="24" s="1"/>
  <c r="B296" i="19"/>
  <c r="D155" i="24" s="1"/>
  <c r="B295" i="19"/>
  <c r="D154" i="24" s="1"/>
  <c r="B294" i="19"/>
  <c r="D153" i="24" s="1"/>
  <c r="B293" i="19"/>
  <c r="D152" i="24" s="1"/>
  <c r="B292" i="19"/>
  <c r="D151" i="24" s="1"/>
  <c r="B291" i="19"/>
  <c r="D150" i="24" s="1"/>
  <c r="B290" i="19"/>
  <c r="D149" i="24" s="1"/>
  <c r="B289" i="19"/>
  <c r="D148" i="24" s="1"/>
  <c r="B288" i="19"/>
  <c r="D147" i="24" s="1"/>
  <c r="B287" i="19"/>
  <c r="D146" i="24" s="1"/>
  <c r="B286" i="19"/>
  <c r="D145" i="24" s="1"/>
  <c r="B285" i="19"/>
  <c r="D144" i="24" s="1"/>
  <c r="B284" i="19"/>
  <c r="D143" i="24" s="1"/>
  <c r="B283" i="19"/>
  <c r="D142" i="24" s="1"/>
  <c r="B282" i="19"/>
  <c r="D141" i="24" s="1"/>
  <c r="AD250" i="19" l="1"/>
  <c r="J201" i="43"/>
  <c r="U250" i="19"/>
  <c r="V250" i="19" s="1"/>
  <c r="T251" i="19"/>
  <c r="H202" i="43"/>
  <c r="V16" i="35"/>
  <c r="M252" i="19"/>
  <c r="N4" i="11"/>
  <c r="D157" i="24"/>
  <c r="B23" i="9"/>
  <c r="B302" i="19"/>
  <c r="C27" i="29"/>
  <c r="U251" i="19" l="1"/>
  <c r="V251" i="19" s="1"/>
  <c r="J202" i="43"/>
  <c r="AD251" i="19"/>
  <c r="T252" i="19"/>
  <c r="H203" i="43"/>
  <c r="V17" i="35"/>
  <c r="M253" i="19"/>
  <c r="AD252" i="19"/>
  <c r="H356" i="24"/>
  <c r="R65" i="11"/>
  <c r="R68" i="11" s="1"/>
  <c r="C268" i="19"/>
  <c r="C219" i="43" s="1"/>
  <c r="C269" i="19"/>
  <c r="C220" i="43" s="1"/>
  <c r="C270" i="19"/>
  <c r="C221" i="43" s="1"/>
  <c r="C271" i="19"/>
  <c r="C222" i="43" s="1"/>
  <c r="C272" i="19"/>
  <c r="C223" i="43" s="1"/>
  <c r="C273" i="19"/>
  <c r="C224" i="43" s="1"/>
  <c r="C274" i="19"/>
  <c r="C225" i="43" s="1"/>
  <c r="C275" i="19"/>
  <c r="C226" i="43" s="1"/>
  <c r="C276" i="19"/>
  <c r="C227" i="43" s="1"/>
  <c r="C277" i="19"/>
  <c r="C228" i="43" s="1"/>
  <c r="C278" i="19"/>
  <c r="C229" i="43" s="1"/>
  <c r="C267" i="19"/>
  <c r="C218" i="43" s="1"/>
  <c r="E7" i="18"/>
  <c r="F56" i="11" s="1"/>
  <c r="D401" i="24"/>
  <c r="D386" i="24"/>
  <c r="D376" i="24"/>
  <c r="J289" i="24"/>
  <c r="J294" i="24" s="1"/>
  <c r="G312" i="24" s="1"/>
  <c r="G347" i="24" s="1"/>
  <c r="G257" i="24"/>
  <c r="I257" i="24"/>
  <c r="F257" i="24"/>
  <c r="A168" i="24"/>
  <c r="A185" i="24" s="1"/>
  <c r="A209" i="24" s="1"/>
  <c r="A226" i="24" s="1"/>
  <c r="A314" i="24" s="1"/>
  <c r="A331" i="24" s="1"/>
  <c r="A169" i="24"/>
  <c r="A186" i="24" s="1"/>
  <c r="A210" i="24" s="1"/>
  <c r="A227" i="24" s="1"/>
  <c r="A315" i="24" s="1"/>
  <c r="A332" i="24" s="1"/>
  <c r="C65" i="11"/>
  <c r="C68" i="11" s="1"/>
  <c r="D65" i="11"/>
  <c r="D68" i="11" s="1"/>
  <c r="E65" i="11"/>
  <c r="E68" i="11" s="1"/>
  <c r="B65" i="11"/>
  <c r="B68" i="11" s="1"/>
  <c r="D136" i="24"/>
  <c r="A136" i="24"/>
  <c r="D130" i="24"/>
  <c r="D131" i="24"/>
  <c r="D132" i="24"/>
  <c r="D133" i="24"/>
  <c r="D134" i="24"/>
  <c r="D135" i="24"/>
  <c r="D129" i="24"/>
  <c r="A133" i="24"/>
  <c r="A134" i="24"/>
  <c r="A135" i="24"/>
  <c r="A132" i="24"/>
  <c r="A131" i="24"/>
  <c r="A130" i="24"/>
  <c r="A129" i="24"/>
  <c r="D127" i="24"/>
  <c r="D125" i="24"/>
  <c r="D124" i="24"/>
  <c r="A72" i="24"/>
  <c r="A92" i="24" s="1"/>
  <c r="A73" i="24"/>
  <c r="A93" i="24" s="1"/>
  <c r="E67" i="24"/>
  <c r="E166" i="24" s="1"/>
  <c r="E183" i="24" s="1"/>
  <c r="E201" i="24" s="1"/>
  <c r="E207" i="24" s="1"/>
  <c r="E224" i="24" s="1"/>
  <c r="E242" i="24" s="1"/>
  <c r="E248" i="24" s="1"/>
  <c r="F67" i="24"/>
  <c r="F166" i="24" s="1"/>
  <c r="F183" i="24" s="1"/>
  <c r="F201" i="24" s="1"/>
  <c r="F207" i="24" s="1"/>
  <c r="F224" i="24" s="1"/>
  <c r="F242" i="24" s="1"/>
  <c r="F248" i="24" s="1"/>
  <c r="G67" i="24"/>
  <c r="G166" i="24" s="1"/>
  <c r="G183" i="24" s="1"/>
  <c r="G201" i="24" s="1"/>
  <c r="G207" i="24" s="1"/>
  <c r="G224" i="24" s="1"/>
  <c r="G242" i="24" s="1"/>
  <c r="G248" i="24" s="1"/>
  <c r="H67" i="24"/>
  <c r="H166" i="24" s="1"/>
  <c r="H183" i="24" s="1"/>
  <c r="H201" i="24" s="1"/>
  <c r="H207" i="24" s="1"/>
  <c r="H224" i="24" s="1"/>
  <c r="I67" i="24"/>
  <c r="I166" i="24" s="1"/>
  <c r="I183" i="24" s="1"/>
  <c r="I201" i="24" s="1"/>
  <c r="I207" i="24" s="1"/>
  <c r="I224" i="24" s="1"/>
  <c r="I242" i="24" s="1"/>
  <c r="I248" i="24" s="1"/>
  <c r="J48" i="24"/>
  <c r="G6" i="24" s="1"/>
  <c r="D395" i="24" s="1"/>
  <c r="A30" i="24"/>
  <c r="A50" i="24" s="1"/>
  <c r="A31" i="24"/>
  <c r="A51" i="24" s="1"/>
  <c r="A376" i="24"/>
  <c r="A386" i="24" s="1"/>
  <c r="D370" i="24"/>
  <c r="D366" i="24"/>
  <c r="D362" i="24"/>
  <c r="A300" i="24"/>
  <c r="A303" i="24" s="1"/>
  <c r="A306" i="24" s="1"/>
  <c r="A299" i="24"/>
  <c r="A302" i="24" s="1"/>
  <c r="A305" i="24" s="1"/>
  <c r="A239" i="24"/>
  <c r="A179" i="24"/>
  <c r="A196" i="24" s="1"/>
  <c r="A220" i="24" s="1"/>
  <c r="A237" i="24" s="1"/>
  <c r="A325" i="24" s="1"/>
  <c r="A342" i="24" s="1"/>
  <c r="A178" i="24"/>
  <c r="A195" i="24" s="1"/>
  <c r="A219" i="24" s="1"/>
  <c r="A236" i="24" s="1"/>
  <c r="A324" i="24" s="1"/>
  <c r="A341" i="24" s="1"/>
  <c r="A177" i="24"/>
  <c r="A194" i="24" s="1"/>
  <c r="A218" i="24" s="1"/>
  <c r="A235" i="24" s="1"/>
  <c r="A323" i="24" s="1"/>
  <c r="A340" i="24" s="1"/>
  <c r="A176" i="24"/>
  <c r="A193" i="24" s="1"/>
  <c r="A217" i="24" s="1"/>
  <c r="A234" i="24" s="1"/>
  <c r="A322" i="24" s="1"/>
  <c r="A339" i="24" s="1"/>
  <c r="A175" i="24"/>
  <c r="A192" i="24" s="1"/>
  <c r="A216" i="24" s="1"/>
  <c r="A233" i="24" s="1"/>
  <c r="A321" i="24" s="1"/>
  <c r="A338" i="24" s="1"/>
  <c r="A174" i="24"/>
  <c r="A191" i="24" s="1"/>
  <c r="A215" i="24" s="1"/>
  <c r="A232" i="24" s="1"/>
  <c r="A320" i="24" s="1"/>
  <c r="A337" i="24" s="1"/>
  <c r="A173" i="24"/>
  <c r="A190" i="24" s="1"/>
  <c r="A214" i="24" s="1"/>
  <c r="A231" i="24" s="1"/>
  <c r="A319" i="24" s="1"/>
  <c r="A336" i="24" s="1"/>
  <c r="A172" i="24"/>
  <c r="A189" i="24" s="1"/>
  <c r="A213" i="24" s="1"/>
  <c r="A230" i="24" s="1"/>
  <c r="A318" i="24" s="1"/>
  <c r="A335" i="24" s="1"/>
  <c r="A171" i="24"/>
  <c r="A188" i="24" s="1"/>
  <c r="A212" i="24" s="1"/>
  <c r="A229" i="24" s="1"/>
  <c r="A317" i="24" s="1"/>
  <c r="A334" i="24" s="1"/>
  <c r="A170" i="24"/>
  <c r="A187" i="24" s="1"/>
  <c r="A211" i="24" s="1"/>
  <c r="A228" i="24" s="1"/>
  <c r="A316" i="24" s="1"/>
  <c r="A333" i="24" s="1"/>
  <c r="A85" i="24"/>
  <c r="A105" i="24" s="1"/>
  <c r="A84" i="24"/>
  <c r="A104" i="24" s="1"/>
  <c r="A83" i="24"/>
  <c r="A103" i="24" s="1"/>
  <c r="A82" i="24"/>
  <c r="A102" i="24" s="1"/>
  <c r="A81" i="24"/>
  <c r="A101" i="24" s="1"/>
  <c r="A80" i="24"/>
  <c r="A100" i="24" s="1"/>
  <c r="A79" i="24"/>
  <c r="A99" i="24" s="1"/>
  <c r="A78" i="24"/>
  <c r="A98" i="24" s="1"/>
  <c r="A77" i="24"/>
  <c r="A97" i="24" s="1"/>
  <c r="A76" i="24"/>
  <c r="A96" i="24" s="1"/>
  <c r="A75" i="24"/>
  <c r="A95" i="24" s="1"/>
  <c r="A74" i="24"/>
  <c r="A94" i="24" s="1"/>
  <c r="D67" i="24"/>
  <c r="D166" i="24" s="1"/>
  <c r="D183" i="24" s="1"/>
  <c r="D201" i="24" s="1"/>
  <c r="D207" i="24" s="1"/>
  <c r="D224" i="24" s="1"/>
  <c r="D242" i="24" s="1"/>
  <c r="D248" i="24" s="1"/>
  <c r="A43" i="24"/>
  <c r="A63" i="24" s="1"/>
  <c r="A42" i="24"/>
  <c r="A62" i="24" s="1"/>
  <c r="A41" i="24"/>
  <c r="A61" i="24" s="1"/>
  <c r="A40" i="24"/>
  <c r="A60" i="24" s="1"/>
  <c r="A39" i="24"/>
  <c r="A59" i="24" s="1"/>
  <c r="A38" i="24"/>
  <c r="A58" i="24" s="1"/>
  <c r="A37" i="24"/>
  <c r="A57" i="24" s="1"/>
  <c r="A36" i="24"/>
  <c r="A56" i="24" s="1"/>
  <c r="A35" i="24"/>
  <c r="A55" i="24" s="1"/>
  <c r="A34" i="24"/>
  <c r="A54" i="24" s="1"/>
  <c r="A33" i="24"/>
  <c r="A53" i="24" s="1"/>
  <c r="A32" i="24"/>
  <c r="A52" i="24" s="1"/>
  <c r="J28" i="24"/>
  <c r="D6" i="24" s="1"/>
  <c r="D396" i="24" s="1"/>
  <c r="A28" i="24"/>
  <c r="A48" i="24" s="1"/>
  <c r="A70" i="24" s="1"/>
  <c r="C21" i="11"/>
  <c r="D17" i="11"/>
  <c r="D46" i="11"/>
  <c r="B14" i="9"/>
  <c r="E13" i="11"/>
  <c r="D33" i="24" s="1"/>
  <c r="G14" i="9"/>
  <c r="E55" i="11" s="1"/>
  <c r="E21" i="11"/>
  <c r="F33" i="24" s="1"/>
  <c r="B15" i="9"/>
  <c r="F13" i="11"/>
  <c r="D34" i="24" s="1"/>
  <c r="B16" i="9"/>
  <c r="G36" i="11"/>
  <c r="G35" i="24" s="1"/>
  <c r="K42" i="9"/>
  <c r="G46" i="11"/>
  <c r="B17" i="9"/>
  <c r="H13" i="11"/>
  <c r="D36" i="24" s="1"/>
  <c r="H17" i="11"/>
  <c r="E36" i="24" s="1"/>
  <c r="B18" i="9"/>
  <c r="I17" i="11"/>
  <c r="E37" i="24" s="1"/>
  <c r="C27" i="18"/>
  <c r="E338" i="24" s="1"/>
  <c r="L44" i="9"/>
  <c r="I46" i="11"/>
  <c r="B19" i="9"/>
  <c r="B20" i="9"/>
  <c r="B21" i="9"/>
  <c r="B22" i="9"/>
  <c r="D22" i="11"/>
  <c r="D37" i="11"/>
  <c r="G170" i="24"/>
  <c r="H170" i="24"/>
  <c r="I170" i="24"/>
  <c r="C45" i="11"/>
  <c r="D172" i="24"/>
  <c r="G31" i="17"/>
  <c r="G173" i="24"/>
  <c r="I43" i="9"/>
  <c r="H16" i="11"/>
  <c r="E56" i="24" s="1"/>
  <c r="E175" i="24"/>
  <c r="E176" i="24"/>
  <c r="J16" i="11"/>
  <c r="F175" i="24"/>
  <c r="K44" i="9"/>
  <c r="G35" i="17"/>
  <c r="K12" i="11"/>
  <c r="R16" i="17" s="1"/>
  <c r="F177" i="24"/>
  <c r="G177" i="24"/>
  <c r="K45" i="11"/>
  <c r="V16" i="17" s="1"/>
  <c r="D178" i="24"/>
  <c r="G178" i="24"/>
  <c r="I37" i="17"/>
  <c r="E179" i="24"/>
  <c r="E197" i="24" s="1"/>
  <c r="I38" i="17"/>
  <c r="G171" i="24"/>
  <c r="F21" i="11"/>
  <c r="F34" i="24" s="1"/>
  <c r="D318" i="24"/>
  <c r="E318" i="24"/>
  <c r="E319" i="24"/>
  <c r="F319" i="24"/>
  <c r="E320" i="24"/>
  <c r="H37" i="11"/>
  <c r="D338" i="24"/>
  <c r="B22" i="11"/>
  <c r="B37" i="11"/>
  <c r="C17" i="11"/>
  <c r="B17" i="11"/>
  <c r="B36" i="11"/>
  <c r="B45" i="11"/>
  <c r="A44" i="11"/>
  <c r="H84" i="9"/>
  <c r="D257" i="24" s="1"/>
  <c r="A7" i="9"/>
  <c r="A33" i="9" s="1"/>
  <c r="A8" i="9"/>
  <c r="A34" i="9" s="1"/>
  <c r="A9" i="9"/>
  <c r="A35" i="9" s="1"/>
  <c r="H2" i="17"/>
  <c r="I2" i="17"/>
  <c r="M4" i="11"/>
  <c r="A24" i="9"/>
  <c r="A50" i="9" s="1"/>
  <c r="L4" i="11"/>
  <c r="A23" i="9"/>
  <c r="A49" i="9" s="1"/>
  <c r="A10" i="9"/>
  <c r="A36" i="9" s="1"/>
  <c r="A11" i="9"/>
  <c r="A37" i="9" s="1"/>
  <c r="A12" i="9"/>
  <c r="A38" i="9" s="1"/>
  <c r="A13" i="9"/>
  <c r="A39" i="9" s="1"/>
  <c r="A14" i="9"/>
  <c r="A40" i="9" s="1"/>
  <c r="A15" i="9"/>
  <c r="A41" i="9" s="1"/>
  <c r="A16" i="9"/>
  <c r="A42" i="9" s="1"/>
  <c r="A17" i="9"/>
  <c r="A43" i="9" s="1"/>
  <c r="A18" i="9"/>
  <c r="A44" i="9" s="1"/>
  <c r="A19" i="9"/>
  <c r="A45" i="9" s="1"/>
  <c r="A20" i="9"/>
  <c r="A46" i="9" s="1"/>
  <c r="A21" i="9"/>
  <c r="A47" i="9" s="1"/>
  <c r="A22" i="9"/>
  <c r="A48" i="9" s="1"/>
  <c r="E2" i="17"/>
  <c r="F2" i="17"/>
  <c r="K4" i="11"/>
  <c r="E356" i="24" s="1"/>
  <c r="A15" i="11"/>
  <c r="A11" i="11"/>
  <c r="C2" i="17"/>
  <c r="D2" i="17"/>
  <c r="B2" i="18" s="1"/>
  <c r="G2" i="17"/>
  <c r="B2" i="17"/>
  <c r="A34" i="11"/>
  <c r="A19" i="11"/>
  <c r="J4" i="11"/>
  <c r="N65" i="11" s="1"/>
  <c r="N68" i="11" s="1"/>
  <c r="I4" i="11"/>
  <c r="M65" i="11" s="1"/>
  <c r="M68" i="11" s="1"/>
  <c r="H4" i="11"/>
  <c r="L65" i="11" s="1"/>
  <c r="L68" i="11" s="1"/>
  <c r="G4" i="11"/>
  <c r="K65" i="11" s="1"/>
  <c r="K68" i="11" s="1"/>
  <c r="F4" i="11"/>
  <c r="J65" i="11" s="1"/>
  <c r="J68" i="11" s="1"/>
  <c r="E4" i="11"/>
  <c r="I65" i="11" s="1"/>
  <c r="I68" i="11" s="1"/>
  <c r="D4" i="11"/>
  <c r="H65" i="11" s="1"/>
  <c r="H68" i="11" s="1"/>
  <c r="C4" i="11"/>
  <c r="G65" i="11" s="1"/>
  <c r="G68" i="11" s="1"/>
  <c r="B4" i="11"/>
  <c r="F65" i="11" s="1"/>
  <c r="F68" i="11" s="1"/>
  <c r="E17" i="11"/>
  <c r="E33" i="24" s="1"/>
  <c r="K35" i="11"/>
  <c r="E376" i="24" s="1"/>
  <c r="B21" i="11"/>
  <c r="C22" i="11"/>
  <c r="G37" i="11"/>
  <c r="G35" i="11"/>
  <c r="G55" i="24" s="1"/>
  <c r="E22" i="11"/>
  <c r="I36" i="11"/>
  <c r="G37" i="24" s="1"/>
  <c r="H46" i="11"/>
  <c r="I36" i="24" s="1"/>
  <c r="M16" i="11"/>
  <c r="S18" i="17" s="1"/>
  <c r="C34" i="17"/>
  <c r="D35" i="11"/>
  <c r="G52" i="24" s="1"/>
  <c r="C36" i="11"/>
  <c r="D25" i="18"/>
  <c r="F336" i="24" s="1"/>
  <c r="I30" i="17"/>
  <c r="G37" i="17"/>
  <c r="I44" i="9"/>
  <c r="I16" i="11"/>
  <c r="E57" i="24" s="1"/>
  <c r="E46" i="11"/>
  <c r="C35" i="17"/>
  <c r="L12" i="11"/>
  <c r="R17" i="17" s="1"/>
  <c r="H41" i="9"/>
  <c r="G21" i="11"/>
  <c r="F35" i="24" s="1"/>
  <c r="D335" i="24"/>
  <c r="F22" i="11"/>
  <c r="C25" i="18"/>
  <c r="E336" i="24" s="1"/>
  <c r="B20" i="11"/>
  <c r="F12" i="11"/>
  <c r="B35" i="11"/>
  <c r="L35" i="11"/>
  <c r="F376" i="24" s="1"/>
  <c r="I21" i="11"/>
  <c r="F37" i="24" s="1"/>
  <c r="B13" i="11"/>
  <c r="M12" i="11"/>
  <c r="R18" i="17" s="1"/>
  <c r="I20" i="11"/>
  <c r="F57" i="24" s="1"/>
  <c r="D26" i="18"/>
  <c r="F337" i="24" s="1"/>
  <c r="D13" i="11"/>
  <c r="K20" i="11"/>
  <c r="T16" i="17" s="1"/>
  <c r="J44" i="9"/>
  <c r="H56" i="24"/>
  <c r="H78" i="24" s="1"/>
  <c r="C12" i="11"/>
  <c r="D36" i="11"/>
  <c r="B46" i="11"/>
  <c r="I40" i="9"/>
  <c r="C30" i="17"/>
  <c r="E16" i="11"/>
  <c r="E53" i="24" s="1"/>
  <c r="E171" i="24"/>
  <c r="I177" i="24"/>
  <c r="I36" i="17"/>
  <c r="D176" i="24"/>
  <c r="J12" i="11"/>
  <c r="R15" i="17" s="1"/>
  <c r="B36" i="17"/>
  <c r="D170" i="24"/>
  <c r="E36" i="11"/>
  <c r="G33" i="24" s="1"/>
  <c r="K40" i="9"/>
  <c r="G33" i="17"/>
  <c r="D320" i="24"/>
  <c r="H22" i="11"/>
  <c r="F318" i="24"/>
  <c r="D24" i="18"/>
  <c r="F335" i="24" s="1"/>
  <c r="E3" i="18"/>
  <c r="B56" i="11" s="1"/>
  <c r="D321" i="24"/>
  <c r="I22" i="11"/>
  <c r="B31" i="17"/>
  <c r="I178" i="24"/>
  <c r="L45" i="11"/>
  <c r="V17" i="17" s="1"/>
  <c r="E177" i="24"/>
  <c r="J16" i="17"/>
  <c r="G264" i="24"/>
  <c r="H264" i="24" s="1"/>
  <c r="E321" i="24"/>
  <c r="I37" i="11"/>
  <c r="F320" i="24"/>
  <c r="D174" i="24"/>
  <c r="J20" i="11"/>
  <c r="F16" i="11"/>
  <c r="E54" i="24" s="1"/>
  <c r="I175" i="24"/>
  <c r="I45" i="11"/>
  <c r="I57" i="24" s="1"/>
  <c r="I79" i="24" s="1"/>
  <c r="E174" i="24"/>
  <c r="D45" i="11"/>
  <c r="I52" i="24" s="1"/>
  <c r="F179" i="24"/>
  <c r="F197" i="24" s="1"/>
  <c r="F321" i="24"/>
  <c r="D27" i="18"/>
  <c r="F338" i="24" s="1"/>
  <c r="E10" i="18"/>
  <c r="I56" i="11" s="1"/>
  <c r="G17" i="11"/>
  <c r="E35" i="24" s="1"/>
  <c r="F20" i="11"/>
  <c r="F54" i="24" s="1"/>
  <c r="F172" i="24"/>
  <c r="J41" i="9"/>
  <c r="D31" i="17"/>
  <c r="F46" i="11"/>
  <c r="M41" i="9"/>
  <c r="E170" i="24"/>
  <c r="D16" i="11"/>
  <c r="E52" i="24" s="1"/>
  <c r="I34" i="17"/>
  <c r="M44" i="9"/>
  <c r="G22" i="11"/>
  <c r="I179" i="24"/>
  <c r="I197" i="24" s="1"/>
  <c r="M45" i="11"/>
  <c r="L20" i="11"/>
  <c r="T17" i="17" s="1"/>
  <c r="D37" i="17"/>
  <c r="F178" i="24"/>
  <c r="C36" i="17"/>
  <c r="K16" i="11"/>
  <c r="B16" i="11"/>
  <c r="D334" i="24"/>
  <c r="D317" i="24"/>
  <c r="E35" i="11"/>
  <c r="G53" i="24" s="1"/>
  <c r="G75" i="24" s="1"/>
  <c r="G30" i="17"/>
  <c r="E173" i="24"/>
  <c r="F171" i="24"/>
  <c r="J40" i="9"/>
  <c r="I174" i="24"/>
  <c r="H45" i="11"/>
  <c r="I56" i="24" s="1"/>
  <c r="M43" i="9"/>
  <c r="F45" i="11"/>
  <c r="I54" i="24" s="1"/>
  <c r="I76" i="24" s="1"/>
  <c r="I172" i="24"/>
  <c r="E317" i="24"/>
  <c r="I12" i="11"/>
  <c r="L42" i="9"/>
  <c r="H173" i="24"/>
  <c r="C20" i="11"/>
  <c r="C54" i="11"/>
  <c r="D12" i="11"/>
  <c r="B30" i="17"/>
  <c r="E12" i="11"/>
  <c r="J10" i="17"/>
  <c r="E54" i="11" s="1"/>
  <c r="G11" i="24" s="1"/>
  <c r="D171" i="24"/>
  <c r="H40" i="9"/>
  <c r="G179" i="24"/>
  <c r="G197" i="24" s="1"/>
  <c r="G38" i="17"/>
  <c r="M35" i="11"/>
  <c r="G376" i="24" s="1"/>
  <c r="I35" i="11"/>
  <c r="G57" i="24" s="1"/>
  <c r="G34" i="17"/>
  <c r="G175" i="24"/>
  <c r="D175" i="24"/>
  <c r="B34" i="17"/>
  <c r="J14" i="17"/>
  <c r="I54" i="11" s="1"/>
  <c r="G15" i="24" s="1"/>
  <c r="G174" i="24"/>
  <c r="H35" i="11"/>
  <c r="G56" i="24" s="1"/>
  <c r="H12" i="11"/>
  <c r="J13" i="17"/>
  <c r="H54" i="11" s="1"/>
  <c r="G14" i="24" s="1"/>
  <c r="H43" i="9"/>
  <c r="G20" i="11"/>
  <c r="F55" i="24" s="1"/>
  <c r="F173" i="24"/>
  <c r="J42" i="9"/>
  <c r="D33" i="17"/>
  <c r="D32" i="17"/>
  <c r="L41" i="9"/>
  <c r="H54" i="24"/>
  <c r="H76" i="24" s="1"/>
  <c r="H172" i="24"/>
  <c r="J11" i="17"/>
  <c r="F54" i="11" s="1"/>
  <c r="G12" i="24" s="1"/>
  <c r="C35" i="11"/>
  <c r="F170" i="24"/>
  <c r="D20" i="11"/>
  <c r="F52" i="24" s="1"/>
  <c r="C37" i="11"/>
  <c r="B35" i="17"/>
  <c r="H55" i="24"/>
  <c r="H77" i="24" s="1"/>
  <c r="B12" i="11"/>
  <c r="B54" i="11"/>
  <c r="C23" i="18"/>
  <c r="E334" i="24" s="1"/>
  <c r="E6" i="18"/>
  <c r="E56" i="11" s="1"/>
  <c r="E37" i="11"/>
  <c r="E8" i="18"/>
  <c r="G56" i="11" s="1"/>
  <c r="D319" i="24"/>
  <c r="D336" i="24"/>
  <c r="D177" i="24"/>
  <c r="B37" i="17"/>
  <c r="G176" i="24"/>
  <c r="J35" i="11"/>
  <c r="G58" i="24" s="1"/>
  <c r="G36" i="17"/>
  <c r="L40" i="9"/>
  <c r="H53" i="24"/>
  <c r="H75" i="24" s="1"/>
  <c r="H171" i="24"/>
  <c r="I176" i="24"/>
  <c r="J45" i="11"/>
  <c r="I35" i="17"/>
  <c r="E20" i="11"/>
  <c r="F53" i="24" s="1"/>
  <c r="D30" i="17"/>
  <c r="I33" i="17"/>
  <c r="I32" i="17"/>
  <c r="G172" i="24"/>
  <c r="F35" i="11"/>
  <c r="G54" i="24" s="1"/>
  <c r="G32" i="17"/>
  <c r="C13" i="11"/>
  <c r="J9" i="17"/>
  <c r="D54" i="11" s="1"/>
  <c r="G10" i="24" s="1"/>
  <c r="E4" i="18"/>
  <c r="C56" i="11" s="1"/>
  <c r="G18" i="9"/>
  <c r="I55" i="11" s="1"/>
  <c r="I13" i="11"/>
  <c r="D37" i="24" s="1"/>
  <c r="H44" i="9"/>
  <c r="H36" i="11"/>
  <c r="G36" i="24" s="1"/>
  <c r="K43" i="9"/>
  <c r="C26" i="18"/>
  <c r="E337" i="24" s="1"/>
  <c r="G13" i="11"/>
  <c r="D35" i="24" s="1"/>
  <c r="G16" i="9"/>
  <c r="G8" i="11" s="1"/>
  <c r="D13" i="24" s="1"/>
  <c r="H42" i="9"/>
  <c r="K41" i="9"/>
  <c r="F36" i="11"/>
  <c r="G34" i="24" s="1"/>
  <c r="I41" i="9"/>
  <c r="G15" i="9"/>
  <c r="F55" i="11" s="1"/>
  <c r="F17" i="11"/>
  <c r="E34" i="24" s="1"/>
  <c r="D8" i="11"/>
  <c r="D21" i="11"/>
  <c r="C46" i="11"/>
  <c r="C55" i="11"/>
  <c r="B33" i="17"/>
  <c r="J12" i="17"/>
  <c r="G54" i="11" s="1"/>
  <c r="G13" i="24" s="1"/>
  <c r="G12" i="11"/>
  <c r="D173" i="24"/>
  <c r="B32" i="17"/>
  <c r="C16" i="11"/>
  <c r="E45" i="11"/>
  <c r="I53" i="24" s="1"/>
  <c r="I75" i="24" s="1"/>
  <c r="M40" i="9"/>
  <c r="I31" i="17"/>
  <c r="I171" i="24"/>
  <c r="D38" i="17"/>
  <c r="M20" i="11"/>
  <c r="H58" i="24"/>
  <c r="H176" i="24"/>
  <c r="F176" i="24"/>
  <c r="D36" i="17"/>
  <c r="D35" i="17"/>
  <c r="J15" i="17"/>
  <c r="G45" i="11"/>
  <c r="I55" i="24" s="1"/>
  <c r="I77" i="24" s="1"/>
  <c r="I173" i="24"/>
  <c r="M42" i="9"/>
  <c r="L16" i="11"/>
  <c r="C38" i="17"/>
  <c r="E178" i="24"/>
  <c r="J17" i="17"/>
  <c r="L54" i="11" s="1"/>
  <c r="C37" i="17"/>
  <c r="J43" i="9"/>
  <c r="D337" i="24"/>
  <c r="H21" i="11"/>
  <c r="F36" i="24" s="1"/>
  <c r="B55" i="11"/>
  <c r="C24" i="18"/>
  <c r="E335" i="24" s="1"/>
  <c r="F37" i="11"/>
  <c r="H174" i="24"/>
  <c r="L43" i="9"/>
  <c r="H20" i="11"/>
  <c r="F56" i="24" s="1"/>
  <c r="F174" i="24"/>
  <c r="D34" i="17"/>
  <c r="C33" i="17"/>
  <c r="I42" i="9"/>
  <c r="G16" i="11"/>
  <c r="E55" i="24" s="1"/>
  <c r="C32" i="17"/>
  <c r="C31" i="17"/>
  <c r="E172" i="24"/>
  <c r="H52" i="24"/>
  <c r="F317" i="24"/>
  <c r="D23" i="18"/>
  <c r="F334" i="24" s="1"/>
  <c r="D179" i="24"/>
  <c r="D197" i="24" s="1"/>
  <c r="B38" i="17"/>
  <c r="J18" i="17"/>
  <c r="M54" i="11" s="1"/>
  <c r="H175" i="24"/>
  <c r="G17" i="9"/>
  <c r="E5" i="18"/>
  <c r="D56" i="11" s="1"/>
  <c r="E9" i="18"/>
  <c r="H56" i="11" s="1"/>
  <c r="U252" i="19" l="1"/>
  <c r="V252" i="19" s="1"/>
  <c r="J203" i="43"/>
  <c r="F61" i="24"/>
  <c r="T18" i="17"/>
  <c r="I58" i="24"/>
  <c r="V15" i="17"/>
  <c r="E59" i="24"/>
  <c r="S16" i="17"/>
  <c r="Y16" i="17" s="1"/>
  <c r="F58" i="24"/>
  <c r="T15" i="17"/>
  <c r="E58" i="24"/>
  <c r="S15" i="17"/>
  <c r="F366" i="24"/>
  <c r="S17" i="17"/>
  <c r="W17" i="17" s="1"/>
  <c r="B49" i="11"/>
  <c r="I61" i="24"/>
  <c r="V18" i="17"/>
  <c r="W18" i="17" s="1"/>
  <c r="X18" i="17" s="1"/>
  <c r="T253" i="19"/>
  <c r="H204" i="43"/>
  <c r="M254" i="19"/>
  <c r="V20" i="35"/>
  <c r="G31" i="35" s="1"/>
  <c r="H31" i="35" s="1"/>
  <c r="W6" i="35" s="1"/>
  <c r="V19" i="35"/>
  <c r="F189" i="24"/>
  <c r="I78" i="24"/>
  <c r="I215" i="24" s="1"/>
  <c r="F190" i="24"/>
  <c r="H248" i="24"/>
  <c r="H255" i="24" s="1"/>
  <c r="H294" i="24" s="1"/>
  <c r="F312" i="24" s="1"/>
  <c r="H242" i="24"/>
  <c r="J54" i="11"/>
  <c r="G16" i="24" s="1"/>
  <c r="H16" i="24" s="1"/>
  <c r="I16" i="24" s="1"/>
  <c r="K54" i="11"/>
  <c r="B26" i="9"/>
  <c r="D390" i="24"/>
  <c r="F78" i="24"/>
  <c r="F215" i="24" s="1"/>
  <c r="H55" i="11"/>
  <c r="E77" i="24"/>
  <c r="E214" i="24" s="1"/>
  <c r="E79" i="24"/>
  <c r="E216" i="24" s="1"/>
  <c r="F79" i="24"/>
  <c r="F216" i="24" s="1"/>
  <c r="G77" i="24"/>
  <c r="G195" i="24"/>
  <c r="H188" i="24"/>
  <c r="I192" i="24"/>
  <c r="F76" i="24"/>
  <c r="F213" i="24" s="1"/>
  <c r="F75" i="24"/>
  <c r="G194" i="24"/>
  <c r="G76" i="24"/>
  <c r="G213" i="24" s="1"/>
  <c r="E76" i="24"/>
  <c r="E78" i="24"/>
  <c r="E215" i="24" s="1"/>
  <c r="F77" i="24"/>
  <c r="G78" i="24"/>
  <c r="G215" i="24" s="1"/>
  <c r="G79" i="24"/>
  <c r="G216" i="24" s="1"/>
  <c r="E75" i="24"/>
  <c r="I193" i="24"/>
  <c r="F191" i="24"/>
  <c r="G188" i="24"/>
  <c r="D400" i="24"/>
  <c r="D255" i="24"/>
  <c r="D294" i="24" s="1"/>
  <c r="D289" i="24"/>
  <c r="E255" i="24"/>
  <c r="E294" i="24" s="1"/>
  <c r="A365" i="24" s="1"/>
  <c r="E289" i="24"/>
  <c r="F255" i="24"/>
  <c r="F294" i="24" s="1"/>
  <c r="D312" i="24" s="1"/>
  <c r="F289" i="24"/>
  <c r="G255" i="24"/>
  <c r="G294" i="24" s="1"/>
  <c r="E312" i="24" s="1"/>
  <c r="G289" i="24"/>
  <c r="I289" i="24"/>
  <c r="I255" i="24"/>
  <c r="I294" i="24" s="1"/>
  <c r="E195" i="24"/>
  <c r="B43" i="17"/>
  <c r="C49" i="11"/>
  <c r="C59" i="11" s="1"/>
  <c r="E49" i="11"/>
  <c r="E59" i="11" s="1"/>
  <c r="D57" i="24"/>
  <c r="D79" i="24" s="1"/>
  <c r="I49" i="11"/>
  <c r="I59" i="11" s="1"/>
  <c r="D58" i="24"/>
  <c r="J49" i="11"/>
  <c r="D60" i="24"/>
  <c r="L49" i="11"/>
  <c r="H49" i="11"/>
  <c r="H59" i="11" s="1"/>
  <c r="D52" i="24"/>
  <c r="J52" i="24" s="1"/>
  <c r="D49" i="11"/>
  <c r="D59" i="11" s="1"/>
  <c r="D54" i="24"/>
  <c r="D76" i="24" s="1"/>
  <c r="D213" i="24" s="1"/>
  <c r="F49" i="11"/>
  <c r="F59" i="11" s="1"/>
  <c r="D55" i="24"/>
  <c r="G49" i="11"/>
  <c r="G59" i="11" s="1"/>
  <c r="M49" i="11"/>
  <c r="D59" i="24"/>
  <c r="K49" i="11"/>
  <c r="I43" i="17"/>
  <c r="I189" i="24"/>
  <c r="G43" i="17"/>
  <c r="D43" i="17"/>
  <c r="C43" i="17"/>
  <c r="D191" i="24"/>
  <c r="E188" i="24"/>
  <c r="D196" i="24"/>
  <c r="C2" i="18"/>
  <c r="A7" i="29"/>
  <c r="A20" i="29" s="1"/>
  <c r="A32" i="29" s="1"/>
  <c r="A44" i="29" s="1"/>
  <c r="A56" i="29" s="1"/>
  <c r="A68" i="29" s="1"/>
  <c r="A80" i="29" s="1"/>
  <c r="A7" i="30"/>
  <c r="A20" i="30" s="1"/>
  <c r="A32" i="30" s="1"/>
  <c r="A44" i="30" s="1"/>
  <c r="A56" i="30" s="1"/>
  <c r="A68" i="30" s="1"/>
  <c r="A80" i="30" s="1"/>
  <c r="D2" i="18"/>
  <c r="A8" i="29"/>
  <c r="A21" i="29" s="1"/>
  <c r="A33" i="29" s="1"/>
  <c r="A45" i="29" s="1"/>
  <c r="A57" i="29" s="1"/>
  <c r="A69" i="29" s="1"/>
  <c r="A81" i="29" s="1"/>
  <c r="A8" i="30"/>
  <c r="A21" i="30" s="1"/>
  <c r="A33" i="30" s="1"/>
  <c r="A45" i="30" s="1"/>
  <c r="A57" i="30" s="1"/>
  <c r="A69" i="30" s="1"/>
  <c r="A81" i="30" s="1"/>
  <c r="I191" i="24"/>
  <c r="H191" i="24"/>
  <c r="A9" i="30"/>
  <c r="A22" i="30" s="1"/>
  <c r="A34" i="30" s="1"/>
  <c r="A46" i="30" s="1"/>
  <c r="A58" i="30" s="1"/>
  <c r="A70" i="30" s="1"/>
  <c r="A82" i="30" s="1"/>
  <c r="A9" i="29"/>
  <c r="A22" i="29" s="1"/>
  <c r="A34" i="29" s="1"/>
  <c r="A46" i="29" s="1"/>
  <c r="A58" i="29" s="1"/>
  <c r="A70" i="29" s="1"/>
  <c r="A82" i="29" s="1"/>
  <c r="E196" i="24"/>
  <c r="G192" i="24"/>
  <c r="E189" i="24"/>
  <c r="J178" i="24"/>
  <c r="G319" i="24"/>
  <c r="G318" i="24"/>
  <c r="G320" i="24"/>
  <c r="G317" i="24"/>
  <c r="G321" i="24"/>
  <c r="I8" i="11"/>
  <c r="D15" i="24" s="1"/>
  <c r="C8" i="11"/>
  <c r="M63" i="9"/>
  <c r="E8" i="11"/>
  <c r="G59" i="24"/>
  <c r="F8" i="11"/>
  <c r="D12" i="24" s="1"/>
  <c r="I84" i="9"/>
  <c r="E257" i="24" s="1"/>
  <c r="L63" i="9"/>
  <c r="I51" i="11"/>
  <c r="I61" i="11" s="1"/>
  <c r="D55" i="11"/>
  <c r="G370" i="24"/>
  <c r="J35" i="24"/>
  <c r="H8" i="11"/>
  <c r="E60" i="24"/>
  <c r="B8" i="11"/>
  <c r="J64" i="9"/>
  <c r="F17" i="9"/>
  <c r="E51" i="11"/>
  <c r="E61" i="11" s="1"/>
  <c r="G60" i="24"/>
  <c r="J36" i="24"/>
  <c r="G212" i="24"/>
  <c r="G51" i="11"/>
  <c r="G61" i="11" s="1"/>
  <c r="C50" i="11"/>
  <c r="C60" i="11" s="1"/>
  <c r="J37" i="24"/>
  <c r="H51" i="11"/>
  <c r="H61" i="11" s="1"/>
  <c r="H50" i="11"/>
  <c r="H60" i="11" s="1"/>
  <c r="F51" i="11"/>
  <c r="F61" i="11" s="1"/>
  <c r="H212" i="24"/>
  <c r="I63" i="9"/>
  <c r="F15" i="9"/>
  <c r="H213" i="24"/>
  <c r="F50" i="11"/>
  <c r="F60" i="11" s="1"/>
  <c r="B50" i="11"/>
  <c r="B60" i="11" s="1"/>
  <c r="J33" i="24"/>
  <c r="E50" i="11"/>
  <c r="E60" i="11" s="1"/>
  <c r="B51" i="11"/>
  <c r="B61" i="11" s="1"/>
  <c r="D51" i="11"/>
  <c r="D61" i="11" s="1"/>
  <c r="D50" i="11"/>
  <c r="I212" i="24"/>
  <c r="I50" i="11"/>
  <c r="I60" i="11" s="1"/>
  <c r="G50" i="11"/>
  <c r="H215" i="24"/>
  <c r="C51" i="11"/>
  <c r="C61" i="11" s="1"/>
  <c r="F18" i="9"/>
  <c r="G55" i="11"/>
  <c r="K61" i="9"/>
  <c r="H214" i="24"/>
  <c r="I213" i="24"/>
  <c r="I216" i="24"/>
  <c r="F16" i="9"/>
  <c r="F14" i="9"/>
  <c r="J63" i="9"/>
  <c r="I61" i="9"/>
  <c r="H62" i="9"/>
  <c r="J62" i="9"/>
  <c r="L64" i="9"/>
  <c r="T283" i="19"/>
  <c r="G268" i="24"/>
  <c r="H268" i="24" s="1"/>
  <c r="G266" i="24"/>
  <c r="H266" i="24" s="1"/>
  <c r="G261" i="24"/>
  <c r="G263" i="24"/>
  <c r="H263" i="24" s="1"/>
  <c r="G265" i="24"/>
  <c r="H265" i="24" s="1"/>
  <c r="D286" i="24"/>
  <c r="H113" i="24"/>
  <c r="G267" i="24"/>
  <c r="H267" i="24" s="1"/>
  <c r="G61" i="24"/>
  <c r="M62" i="9"/>
  <c r="H192" i="24"/>
  <c r="I62" i="9"/>
  <c r="K64" i="9"/>
  <c r="D195" i="24"/>
  <c r="F196" i="24"/>
  <c r="F192" i="24"/>
  <c r="J172" i="24"/>
  <c r="K62" i="9"/>
  <c r="H13" i="24"/>
  <c r="I13" i="24" s="1"/>
  <c r="I196" i="24"/>
  <c r="F188" i="24"/>
  <c r="G386" i="24"/>
  <c r="E190" i="24"/>
  <c r="J173" i="24"/>
  <c r="H193" i="24"/>
  <c r="D194" i="24"/>
  <c r="D193" i="24"/>
  <c r="D192" i="24"/>
  <c r="J175" i="24"/>
  <c r="E362" i="24"/>
  <c r="F370" i="24"/>
  <c r="F60" i="24"/>
  <c r="F362" i="24"/>
  <c r="F195" i="24"/>
  <c r="E192" i="24"/>
  <c r="J171" i="24"/>
  <c r="I188" i="24"/>
  <c r="D56" i="24"/>
  <c r="D78" i="24" s="1"/>
  <c r="D189" i="24"/>
  <c r="D188" i="24"/>
  <c r="F386" i="24"/>
  <c r="I60" i="24"/>
  <c r="F193" i="24"/>
  <c r="G193" i="24"/>
  <c r="H61" i="9"/>
  <c r="E191" i="24"/>
  <c r="J174" i="24"/>
  <c r="J170" i="24"/>
  <c r="I190" i="24"/>
  <c r="M61" i="9"/>
  <c r="H64" i="9"/>
  <c r="H11" i="24"/>
  <c r="I11" i="24" s="1"/>
  <c r="J61" i="9"/>
  <c r="I64" i="9"/>
  <c r="J176" i="24"/>
  <c r="D190" i="24"/>
  <c r="G191" i="24"/>
  <c r="M64" i="9"/>
  <c r="E193" i="24"/>
  <c r="E370" i="24"/>
  <c r="F59" i="24"/>
  <c r="H14" i="24"/>
  <c r="I14" i="24" s="1"/>
  <c r="G196" i="24"/>
  <c r="D53" i="24"/>
  <c r="D75" i="24" s="1"/>
  <c r="H63" i="9"/>
  <c r="H12" i="24"/>
  <c r="I12" i="24" s="1"/>
  <c r="E194" i="24"/>
  <c r="J177" i="24"/>
  <c r="E386" i="24"/>
  <c r="I59" i="24"/>
  <c r="F194" i="24"/>
  <c r="B59" i="11"/>
  <c r="L62" i="9"/>
  <c r="L61" i="9"/>
  <c r="E61" i="24"/>
  <c r="G366" i="24"/>
  <c r="H57" i="24"/>
  <c r="H79" i="24" s="1"/>
  <c r="J179" i="24"/>
  <c r="K63" i="9"/>
  <c r="H189" i="24"/>
  <c r="H190" i="24"/>
  <c r="H15" i="24"/>
  <c r="I15" i="24" s="1"/>
  <c r="I194" i="24"/>
  <c r="I195" i="24"/>
  <c r="D61" i="24"/>
  <c r="G362" i="24"/>
  <c r="E366" i="24"/>
  <c r="G189" i="24"/>
  <c r="G190" i="24"/>
  <c r="O65" i="11"/>
  <c r="O68" i="11" s="1"/>
  <c r="T291" i="19"/>
  <c r="E150" i="24" s="1"/>
  <c r="T288" i="19"/>
  <c r="E147" i="24" s="1"/>
  <c r="T284" i="19"/>
  <c r="E143" i="24" s="1"/>
  <c r="T285" i="19"/>
  <c r="E144" i="24" s="1"/>
  <c r="T289" i="19"/>
  <c r="T287" i="19"/>
  <c r="T286" i="19"/>
  <c r="T290" i="19"/>
  <c r="P65" i="11"/>
  <c r="P68" i="11" s="1"/>
  <c r="F356" i="24"/>
  <c r="T282" i="19"/>
  <c r="E141" i="24" s="1"/>
  <c r="G356" i="24"/>
  <c r="Q65" i="11"/>
  <c r="Q68" i="11" s="1"/>
  <c r="U253" i="19" l="1"/>
  <c r="V253" i="19" s="1"/>
  <c r="J204" i="43"/>
  <c r="Y15" i="17"/>
  <c r="D399" i="24"/>
  <c r="V49" i="11"/>
  <c r="Z17" i="17"/>
  <c r="Z16" i="17"/>
  <c r="W16" i="17"/>
  <c r="X17" i="17" s="1"/>
  <c r="W15" i="17"/>
  <c r="AD253" i="19"/>
  <c r="T254" i="19"/>
  <c r="H205" i="43"/>
  <c r="M255" i="19"/>
  <c r="T255" i="19" s="1"/>
  <c r="J206" i="43" s="1"/>
  <c r="W7" i="35"/>
  <c r="AD254" i="19"/>
  <c r="J30" i="35"/>
  <c r="J59" i="11"/>
  <c r="H289" i="24"/>
  <c r="H261" i="24"/>
  <c r="W64" i="9"/>
  <c r="N233" i="24" s="1"/>
  <c r="G390" i="24"/>
  <c r="E390" i="24"/>
  <c r="J54" i="24"/>
  <c r="F390" i="24"/>
  <c r="W63" i="9"/>
  <c r="N232" i="24" s="1"/>
  <c r="C14" i="9"/>
  <c r="D14" i="9" s="1"/>
  <c r="E14" i="9" s="1"/>
  <c r="E148" i="24"/>
  <c r="W61" i="9"/>
  <c r="N230" i="24" s="1"/>
  <c r="U283" i="19"/>
  <c r="V283" i="19" s="1"/>
  <c r="E142" i="24"/>
  <c r="F142" i="24" s="1"/>
  <c r="U287" i="19"/>
  <c r="V287" i="19" s="1"/>
  <c r="E146" i="24"/>
  <c r="F146" i="24" s="1"/>
  <c r="U290" i="19"/>
  <c r="V290" i="19" s="1"/>
  <c r="E149" i="24"/>
  <c r="F149" i="24" s="1"/>
  <c r="W62" i="9"/>
  <c r="N231" i="24" s="1"/>
  <c r="U286" i="19"/>
  <c r="V286" i="19" s="1"/>
  <c r="E145" i="24"/>
  <c r="F145" i="24" s="1"/>
  <c r="J55" i="24"/>
  <c r="D77" i="24"/>
  <c r="D214" i="24" s="1"/>
  <c r="D231" i="24" s="1"/>
  <c r="D14" i="24"/>
  <c r="E14" i="24" s="1"/>
  <c r="F14" i="24" s="1"/>
  <c r="D11" i="24"/>
  <c r="E12" i="24" s="1"/>
  <c r="F12" i="24" s="1"/>
  <c r="D347" i="24"/>
  <c r="D329" i="24"/>
  <c r="F347" i="24"/>
  <c r="F329" i="24"/>
  <c r="E347" i="24"/>
  <c r="E329" i="24"/>
  <c r="J58" i="24"/>
  <c r="D60" i="11"/>
  <c r="E5" i="11"/>
  <c r="E6" i="11" s="1"/>
  <c r="E233" i="24"/>
  <c r="G97" i="24"/>
  <c r="I233" i="24"/>
  <c r="J34" i="24"/>
  <c r="E13" i="24"/>
  <c r="F13" i="24" s="1"/>
  <c r="G233" i="24"/>
  <c r="E99" i="24"/>
  <c r="G96" i="24"/>
  <c r="E232" i="24"/>
  <c r="I98" i="24"/>
  <c r="F96" i="24"/>
  <c r="G98" i="24"/>
  <c r="F99" i="24"/>
  <c r="G99" i="24"/>
  <c r="F98" i="24"/>
  <c r="I99" i="24"/>
  <c r="F212" i="24"/>
  <c r="F230" i="24" s="1"/>
  <c r="I96" i="24"/>
  <c r="I97" i="24"/>
  <c r="G214" i="24"/>
  <c r="G231" i="24" s="1"/>
  <c r="D216" i="24"/>
  <c r="H96" i="24"/>
  <c r="H97" i="24"/>
  <c r="I214" i="24"/>
  <c r="I232" i="24" s="1"/>
  <c r="F97" i="24"/>
  <c r="F214" i="24"/>
  <c r="F231" i="24" s="1"/>
  <c r="G60" i="11"/>
  <c r="J56" i="24"/>
  <c r="E98" i="24"/>
  <c r="I230" i="24"/>
  <c r="H98" i="24"/>
  <c r="E96" i="24"/>
  <c r="U284" i="19"/>
  <c r="V284" i="19" s="1"/>
  <c r="F147" i="24"/>
  <c r="U288" i="19"/>
  <c r="V288" i="19" s="1"/>
  <c r="D5" i="11"/>
  <c r="H66" i="11" s="1"/>
  <c r="H69" i="11" s="1"/>
  <c r="F148" i="24"/>
  <c r="U289" i="19"/>
  <c r="V289" i="19" s="1"/>
  <c r="D66" i="11"/>
  <c r="D69" i="11" s="1"/>
  <c r="F143" i="24"/>
  <c r="U285" i="19"/>
  <c r="V285" i="19" s="1"/>
  <c r="G5" i="11"/>
  <c r="K66" i="11" s="1"/>
  <c r="K69" i="11" s="1"/>
  <c r="U291" i="19"/>
  <c r="V291" i="19" s="1"/>
  <c r="H282" i="24"/>
  <c r="G262" i="24"/>
  <c r="G270" i="24" s="1"/>
  <c r="H276" i="24"/>
  <c r="D280" i="24"/>
  <c r="G19" i="24"/>
  <c r="M59" i="11"/>
  <c r="G395" i="24"/>
  <c r="G230" i="24"/>
  <c r="D215" i="24"/>
  <c r="D99" i="24"/>
  <c r="K59" i="11"/>
  <c r="G17" i="24"/>
  <c r="H17" i="24" s="1"/>
  <c r="I17" i="24" s="1"/>
  <c r="E395" i="24"/>
  <c r="H99" i="24"/>
  <c r="H216" i="24"/>
  <c r="J60" i="24"/>
  <c r="J61" i="24"/>
  <c r="E198" i="24"/>
  <c r="C41" i="17"/>
  <c r="C20" i="17" s="1"/>
  <c r="O16" i="11" s="1"/>
  <c r="S20" i="17" s="1"/>
  <c r="N228" i="24"/>
  <c r="H231" i="24"/>
  <c r="H232" i="24"/>
  <c r="B41" i="17"/>
  <c r="B20" i="17" s="1"/>
  <c r="D198" i="24"/>
  <c r="D203" i="24" s="1"/>
  <c r="N227" i="24"/>
  <c r="G198" i="24"/>
  <c r="G41" i="17"/>
  <c r="G20" i="17" s="1"/>
  <c r="D41" i="17"/>
  <c r="D20" i="17" s="1"/>
  <c r="F198" i="24"/>
  <c r="N229" i="24"/>
  <c r="H230" i="24"/>
  <c r="E213" i="24"/>
  <c r="L59" i="11"/>
  <c r="F395" i="24"/>
  <c r="G18" i="24"/>
  <c r="I41" i="17"/>
  <c r="I20" i="17" s="1"/>
  <c r="I198" i="24"/>
  <c r="J57" i="24"/>
  <c r="J53" i="24"/>
  <c r="E97" i="24"/>
  <c r="J59" i="24"/>
  <c r="F233" i="24"/>
  <c r="C16" i="9"/>
  <c r="D16" i="9" s="1"/>
  <c r="E16" i="9" s="1"/>
  <c r="F150" i="24"/>
  <c r="E66" i="11"/>
  <c r="E69" i="11" s="1"/>
  <c r="F144" i="24"/>
  <c r="B66" i="11"/>
  <c r="B69" i="11" s="1"/>
  <c r="F141" i="24"/>
  <c r="U282" i="19"/>
  <c r="V282" i="19" s="1"/>
  <c r="C66" i="11"/>
  <c r="C69" i="11" s="1"/>
  <c r="C5" i="11"/>
  <c r="F5" i="11"/>
  <c r="C15" i="9"/>
  <c r="D15" i="9" s="1"/>
  <c r="E15" i="9" s="1"/>
  <c r="B5" i="11"/>
  <c r="U254" i="19" l="1"/>
  <c r="V254" i="19" s="1"/>
  <c r="J205" i="43"/>
  <c r="X16" i="17"/>
  <c r="AD256" i="19"/>
  <c r="AD255" i="19"/>
  <c r="K30" i="35"/>
  <c r="W8" i="35"/>
  <c r="M256" i="19"/>
  <c r="T256" i="19" s="1"/>
  <c r="J207" i="43" s="1"/>
  <c r="I21" i="17"/>
  <c r="W199" i="39"/>
  <c r="W201" i="39" s="1"/>
  <c r="G21" i="17"/>
  <c r="W219" i="39"/>
  <c r="W221" i="39" s="1"/>
  <c r="G203" i="24"/>
  <c r="G204" i="24" s="1"/>
  <c r="E203" i="24"/>
  <c r="I203" i="24"/>
  <c r="I204" i="24" s="1"/>
  <c r="F203" i="24"/>
  <c r="F204" i="24" s="1"/>
  <c r="E11" i="24"/>
  <c r="E15" i="24"/>
  <c r="F15" i="24" s="1"/>
  <c r="G399" i="24"/>
  <c r="C21" i="17"/>
  <c r="P16" i="11" s="1"/>
  <c r="W78" i="39"/>
  <c r="W80" i="39" s="1"/>
  <c r="D21" i="17"/>
  <c r="P20" i="11" s="1"/>
  <c r="W98" i="39"/>
  <c r="W100" i="39" s="1"/>
  <c r="D98" i="24"/>
  <c r="D97" i="24"/>
  <c r="B21" i="17"/>
  <c r="X58" i="39" s="1"/>
  <c r="W58" i="39"/>
  <c r="I66" i="11"/>
  <c r="I69" i="11" s="1"/>
  <c r="D6" i="11"/>
  <c r="G6" i="11"/>
  <c r="F232" i="24"/>
  <c r="G232" i="24"/>
  <c r="I231" i="24"/>
  <c r="E212" i="24"/>
  <c r="H262" i="24"/>
  <c r="H270" i="24"/>
  <c r="E280" i="24"/>
  <c r="F399" i="24"/>
  <c r="D232" i="24"/>
  <c r="D233" i="24"/>
  <c r="H18" i="24"/>
  <c r="I18" i="24" s="1"/>
  <c r="H19" i="24"/>
  <c r="I19" i="24" s="1"/>
  <c r="N35" i="11"/>
  <c r="H376" i="24" s="1"/>
  <c r="O35" i="11"/>
  <c r="I376" i="24" s="1"/>
  <c r="D204" i="24"/>
  <c r="H233" i="24"/>
  <c r="N20" i="11"/>
  <c r="O20" i="11"/>
  <c r="D212" i="24"/>
  <c r="D96" i="24"/>
  <c r="N45" i="11"/>
  <c r="O45" i="11"/>
  <c r="V20" i="17" s="1"/>
  <c r="E231" i="24"/>
  <c r="N12" i="11"/>
  <c r="J19" i="17"/>
  <c r="N54" i="11" s="1"/>
  <c r="N16" i="11"/>
  <c r="I366" i="24"/>
  <c r="E399" i="24"/>
  <c r="C6" i="11"/>
  <c r="G66" i="11"/>
  <c r="G69" i="11" s="1"/>
  <c r="J66" i="11"/>
  <c r="J69" i="11" s="1"/>
  <c r="F6" i="11"/>
  <c r="B6" i="11"/>
  <c r="F66" i="11"/>
  <c r="F69" i="11" s="1"/>
  <c r="H366" i="24" l="1"/>
  <c r="S19" i="17"/>
  <c r="I370" i="24"/>
  <c r="T20" i="17"/>
  <c r="W16" i="11"/>
  <c r="X16" i="11" s="1"/>
  <c r="S21" i="17"/>
  <c r="H386" i="24"/>
  <c r="V19" i="17"/>
  <c r="H370" i="24"/>
  <c r="T19" i="17"/>
  <c r="H362" i="24"/>
  <c r="H390" i="24" s="1"/>
  <c r="R19" i="17"/>
  <c r="W19" i="17" s="1"/>
  <c r="X19" i="17" s="1"/>
  <c r="W20" i="11"/>
  <c r="X20" i="11" s="1"/>
  <c r="T21" i="17"/>
  <c r="AD257" i="19"/>
  <c r="W9" i="35"/>
  <c r="M257" i="19"/>
  <c r="T257" i="19" s="1"/>
  <c r="J208" i="43" s="1"/>
  <c r="P35" i="11"/>
  <c r="W35" i="11" s="1"/>
  <c r="X35" i="11" s="1"/>
  <c r="X219" i="39"/>
  <c r="X221" i="39" s="1"/>
  <c r="P45" i="11"/>
  <c r="V21" i="17" s="1"/>
  <c r="X199" i="39"/>
  <c r="X201" i="39" s="1"/>
  <c r="J203" i="24"/>
  <c r="E204" i="24"/>
  <c r="J204" i="24" s="1"/>
  <c r="X98" i="39"/>
  <c r="X100" i="39" s="1"/>
  <c r="J21" i="17"/>
  <c r="P54" i="11" s="1"/>
  <c r="X78" i="39"/>
  <c r="X80" i="39" s="1"/>
  <c r="N49" i="11"/>
  <c r="H395" i="24" s="1"/>
  <c r="H399" i="24" s="1"/>
  <c r="P12" i="11"/>
  <c r="W36" i="39"/>
  <c r="W60" i="39"/>
  <c r="X60" i="39"/>
  <c r="E230" i="24"/>
  <c r="M232" i="24"/>
  <c r="O232" i="24" s="1"/>
  <c r="M231" i="24"/>
  <c r="O231" i="24" s="1"/>
  <c r="H277" i="24"/>
  <c r="F280" i="24"/>
  <c r="E286" i="24"/>
  <c r="M233" i="24"/>
  <c r="O233" i="24" s="1"/>
  <c r="E63" i="24"/>
  <c r="D62" i="24"/>
  <c r="D230" i="24"/>
  <c r="M229" i="24"/>
  <c r="O229" i="24" s="1"/>
  <c r="J20" i="17"/>
  <c r="O54" i="11" s="1"/>
  <c r="O12" i="11"/>
  <c r="R20" i="17" s="1"/>
  <c r="J386" i="24"/>
  <c r="I63" i="24"/>
  <c r="F63" i="24"/>
  <c r="G62" i="24"/>
  <c r="E62" i="24"/>
  <c r="I62" i="24"/>
  <c r="I386" i="24"/>
  <c r="M227" i="24"/>
  <c r="O227" i="24" s="1"/>
  <c r="M228" i="24"/>
  <c r="O228" i="24" s="1"/>
  <c r="F62" i="24"/>
  <c r="G63" i="24"/>
  <c r="W20" i="17" l="1"/>
  <c r="X20" i="17" s="1"/>
  <c r="Y20" i="17"/>
  <c r="Z20" i="17" s="1"/>
  <c r="W12" i="11"/>
  <c r="X12" i="11" s="1"/>
  <c r="R21" i="17"/>
  <c r="I64" i="24"/>
  <c r="W45" i="11"/>
  <c r="X45" i="11" s="1"/>
  <c r="X8" i="19"/>
  <c r="D126" i="24" s="1"/>
  <c r="W10" i="35"/>
  <c r="M258" i="19"/>
  <c r="T258" i="19" s="1"/>
  <c r="J209" i="43" s="1"/>
  <c r="J376" i="24"/>
  <c r="G64" i="24"/>
  <c r="J370" i="24"/>
  <c r="F64" i="24"/>
  <c r="O49" i="11"/>
  <c r="I395" i="24" s="1"/>
  <c r="I362" i="24"/>
  <c r="I390" i="24" s="1"/>
  <c r="J362" i="24"/>
  <c r="D64" i="24"/>
  <c r="J366" i="24"/>
  <c r="E64" i="24"/>
  <c r="X36" i="39"/>
  <c r="K278" i="19" s="1"/>
  <c r="K320" i="19" s="1"/>
  <c r="K336" i="19" s="1"/>
  <c r="M230" i="24"/>
  <c r="O230" i="24" s="1"/>
  <c r="P49" i="11"/>
  <c r="W49" i="11" s="1"/>
  <c r="X49" i="11" s="1"/>
  <c r="K266" i="19"/>
  <c r="W25" i="39"/>
  <c r="F286" i="24"/>
  <c r="N59" i="11"/>
  <c r="G20" i="24"/>
  <c r="H20" i="24" s="1"/>
  <c r="I20" i="24" s="1"/>
  <c r="D63" i="24"/>
  <c r="J62" i="24"/>
  <c r="W21" i="17" l="1"/>
  <c r="X21" i="17" s="1"/>
  <c r="Y21" i="17"/>
  <c r="Z21" i="17" s="1"/>
  <c r="W11" i="35"/>
  <c r="M259" i="19"/>
  <c r="T259" i="19" s="1"/>
  <c r="J210" i="43" s="1"/>
  <c r="J64" i="24"/>
  <c r="J390" i="24"/>
  <c r="P59" i="11"/>
  <c r="J395" i="24"/>
  <c r="G22" i="24"/>
  <c r="X25" i="39"/>
  <c r="X26" i="39" s="1"/>
  <c r="J63" i="24"/>
  <c r="W26" i="39"/>
  <c r="K255" i="19"/>
  <c r="H284" i="24"/>
  <c r="H278" i="24"/>
  <c r="H283" i="24"/>
  <c r="I399" i="24"/>
  <c r="O59" i="11"/>
  <c r="G21" i="24"/>
  <c r="W12" i="35" l="1"/>
  <c r="M260" i="19"/>
  <c r="T260" i="19" s="1"/>
  <c r="J211" i="43" s="1"/>
  <c r="J399" i="24"/>
  <c r="K267" i="19"/>
  <c r="K309" i="19" s="1"/>
  <c r="K325" i="19" s="1"/>
  <c r="H21" i="24"/>
  <c r="I21" i="24" s="1"/>
  <c r="H22" i="24"/>
  <c r="I22" i="24" s="1"/>
  <c r="X27" i="39"/>
  <c r="K268" i="19"/>
  <c r="K310" i="19" s="1"/>
  <c r="K326" i="19" s="1"/>
  <c r="W27" i="39"/>
  <c r="K256" i="19"/>
  <c r="H279" i="24"/>
  <c r="G280" i="24"/>
  <c r="H280" i="24" s="1"/>
  <c r="W13" i="35" l="1"/>
  <c r="M261" i="19"/>
  <c r="T261" i="19" s="1"/>
  <c r="J212" i="43" s="1"/>
  <c r="W28" i="39"/>
  <c r="K257" i="19"/>
  <c r="X28" i="39"/>
  <c r="K269" i="19"/>
  <c r="K311" i="19" s="1"/>
  <c r="K327" i="19" s="1"/>
  <c r="H285" i="24"/>
  <c r="G286" i="24"/>
  <c r="W14" i="35" l="1"/>
  <c r="M262" i="19"/>
  <c r="T262" i="19" s="1"/>
  <c r="J213" i="43" s="1"/>
  <c r="H286" i="24"/>
  <c r="X29" i="39"/>
  <c r="K270" i="19"/>
  <c r="K312" i="19" s="1"/>
  <c r="K328" i="19" s="1"/>
  <c r="W29" i="39"/>
  <c r="K258" i="19"/>
  <c r="W15" i="35" l="1"/>
  <c r="M263" i="19"/>
  <c r="T263" i="19" s="1"/>
  <c r="J214" i="43" s="1"/>
  <c r="W30" i="39"/>
  <c r="K259" i="19"/>
  <c r="X30" i="39"/>
  <c r="K271" i="19"/>
  <c r="K313" i="19" s="1"/>
  <c r="K329" i="19" s="1"/>
  <c r="W16" i="35" l="1"/>
  <c r="M264" i="19"/>
  <c r="T264" i="19" s="1"/>
  <c r="J215" i="43" s="1"/>
  <c r="X31" i="39"/>
  <c r="K272" i="19"/>
  <c r="K314" i="19" s="1"/>
  <c r="K330" i="19" s="1"/>
  <c r="W31" i="39"/>
  <c r="K260" i="19"/>
  <c r="T292" i="19"/>
  <c r="E151" i="24" s="1"/>
  <c r="W17" i="35" l="1"/>
  <c r="M265" i="19"/>
  <c r="T265" i="19" s="1"/>
  <c r="J216" i="43" s="1"/>
  <c r="W32" i="39"/>
  <c r="K261" i="19"/>
  <c r="X32" i="39"/>
  <c r="K273" i="19"/>
  <c r="K315" i="19" s="1"/>
  <c r="K331" i="19" s="1"/>
  <c r="U292" i="19"/>
  <c r="V292" i="19" s="1"/>
  <c r="H5" i="11"/>
  <c r="F151" i="24"/>
  <c r="C17" i="9"/>
  <c r="D17" i="9" s="1"/>
  <c r="E17" i="9" s="1"/>
  <c r="M266" i="19" l="1"/>
  <c r="T266" i="19" s="1"/>
  <c r="J217" i="43" s="1"/>
  <c r="W20" i="35"/>
  <c r="G32" i="35" s="1"/>
  <c r="H32" i="35" s="1"/>
  <c r="X6" i="35" s="1"/>
  <c r="W19" i="35"/>
  <c r="X33" i="39"/>
  <c r="K274" i="19"/>
  <c r="K316" i="19" s="1"/>
  <c r="K332" i="19" s="1"/>
  <c r="W33" i="39"/>
  <c r="K262" i="19"/>
  <c r="L66" i="11"/>
  <c r="L69" i="11" s="1"/>
  <c r="H6" i="11"/>
  <c r="J31" i="35" l="1"/>
  <c r="M267" i="19"/>
  <c r="X7" i="35"/>
  <c r="W34" i="39"/>
  <c r="K263" i="19"/>
  <c r="X34" i="39"/>
  <c r="K275" i="19"/>
  <c r="K317" i="19" s="1"/>
  <c r="K333" i="19" s="1"/>
  <c r="X8" i="35" l="1"/>
  <c r="M268" i="19"/>
  <c r="M309" i="19"/>
  <c r="T267" i="19"/>
  <c r="J218" i="43" s="1"/>
  <c r="K31" i="35"/>
  <c r="X35" i="39"/>
  <c r="K276" i="19"/>
  <c r="K318" i="19" s="1"/>
  <c r="K334" i="19" s="1"/>
  <c r="W35" i="39"/>
  <c r="K264" i="19"/>
  <c r="M310" i="19" l="1"/>
  <c r="T268" i="19"/>
  <c r="J219" i="43" s="1"/>
  <c r="M325" i="19"/>
  <c r="T325" i="19" s="1"/>
  <c r="T309" i="19"/>
  <c r="X9" i="35"/>
  <c r="M269" i="19"/>
  <c r="K277" i="19"/>
  <c r="K319" i="19" s="1"/>
  <c r="K335" i="19" s="1"/>
  <c r="X38" i="39"/>
  <c r="K265" i="19"/>
  <c r="W38" i="39"/>
  <c r="M311" i="19" l="1"/>
  <c r="T269" i="19"/>
  <c r="J220" i="43" s="1"/>
  <c r="X10" i="35"/>
  <c r="M270" i="19"/>
  <c r="M326" i="19"/>
  <c r="T326" i="19" s="1"/>
  <c r="T310" i="19"/>
  <c r="T293" i="19"/>
  <c r="E152" i="24" s="1"/>
  <c r="M312" i="19" l="1"/>
  <c r="T270" i="19"/>
  <c r="J221" i="43" s="1"/>
  <c r="X11" i="35"/>
  <c r="M271" i="19"/>
  <c r="M327" i="19"/>
  <c r="T327" i="19" s="1"/>
  <c r="T311" i="19"/>
  <c r="U293" i="19"/>
  <c r="V293" i="19" s="1"/>
  <c r="I5" i="11"/>
  <c r="C18" i="9"/>
  <c r="D18" i="9" s="1"/>
  <c r="E18" i="9" s="1"/>
  <c r="F152" i="24"/>
  <c r="M313" i="19" l="1"/>
  <c r="T271" i="19"/>
  <c r="J222" i="43" s="1"/>
  <c r="X12" i="35"/>
  <c r="M272" i="19"/>
  <c r="M328" i="19"/>
  <c r="T328" i="19" s="1"/>
  <c r="T312" i="19"/>
  <c r="I6" i="11"/>
  <c r="M66" i="11"/>
  <c r="M69" i="11" s="1"/>
  <c r="M314" i="19" l="1"/>
  <c r="T272" i="19"/>
  <c r="J223" i="43" s="1"/>
  <c r="X13" i="35"/>
  <c r="M273" i="19"/>
  <c r="M329" i="19"/>
  <c r="T329" i="19" s="1"/>
  <c r="T313" i="19"/>
  <c r="T294" i="19"/>
  <c r="E153" i="24" s="1"/>
  <c r="M315" i="19" l="1"/>
  <c r="T273" i="19"/>
  <c r="J224" i="43" s="1"/>
  <c r="X14" i="35"/>
  <c r="M274" i="19"/>
  <c r="M330" i="19"/>
  <c r="T330" i="19" s="1"/>
  <c r="T314" i="19"/>
  <c r="F153" i="24"/>
  <c r="U294" i="19"/>
  <c r="V294" i="19" s="1"/>
  <c r="C19" i="9"/>
  <c r="D19" i="9" s="1"/>
  <c r="E19" i="9" s="1"/>
  <c r="J5" i="11"/>
  <c r="X15" i="35" l="1"/>
  <c r="M275" i="19"/>
  <c r="M316" i="19"/>
  <c r="T274" i="19"/>
  <c r="J225" i="43" s="1"/>
  <c r="M331" i="19"/>
  <c r="T331" i="19" s="1"/>
  <c r="T315" i="19"/>
  <c r="N66" i="11"/>
  <c r="N69" i="11" s="1"/>
  <c r="J6" i="11"/>
  <c r="M332" i="19" l="1"/>
  <c r="T332" i="19" s="1"/>
  <c r="T316" i="19"/>
  <c r="M317" i="19"/>
  <c r="T275" i="19"/>
  <c r="J226" i="43" s="1"/>
  <c r="X16" i="35"/>
  <c r="M276" i="19"/>
  <c r="T295" i="19"/>
  <c r="E154" i="24" s="1"/>
  <c r="M333" i="19" l="1"/>
  <c r="T333" i="19" s="1"/>
  <c r="T317" i="19"/>
  <c r="M318" i="19"/>
  <c r="T276" i="19"/>
  <c r="J227" i="43" s="1"/>
  <c r="X17" i="35"/>
  <c r="M277" i="19"/>
  <c r="C20" i="9"/>
  <c r="D20" i="9" s="1"/>
  <c r="E20" i="9" s="1"/>
  <c r="U295" i="19"/>
  <c r="V295" i="19" s="1"/>
  <c r="K5" i="11"/>
  <c r="F154" i="24"/>
  <c r="M334" i="19" l="1"/>
  <c r="T334" i="19" s="1"/>
  <c r="T318" i="19"/>
  <c r="M319" i="19"/>
  <c r="T277" i="19"/>
  <c r="J228" i="43" s="1"/>
  <c r="X20" i="35"/>
  <c r="M278" i="19"/>
  <c r="D41" i="35" s="1"/>
  <c r="X19" i="35"/>
  <c r="E357" i="24"/>
  <c r="E358" i="24" s="1"/>
  <c r="O66" i="11"/>
  <c r="O69" i="11" s="1"/>
  <c r="K6" i="11"/>
  <c r="J32" i="35" l="1"/>
  <c r="K34" i="35"/>
  <c r="M335" i="19"/>
  <c r="T335" i="19" s="1"/>
  <c r="T319" i="19"/>
  <c r="M320" i="19"/>
  <c r="T278" i="19"/>
  <c r="J229" i="43" s="1"/>
  <c r="T296" i="19"/>
  <c r="E155" i="24" s="1"/>
  <c r="M336" i="19" l="1"/>
  <c r="T336" i="19" s="1"/>
  <c r="T320" i="19"/>
  <c r="K32" i="35"/>
  <c r="K33" i="35" s="1"/>
  <c r="J33" i="35"/>
  <c r="U296" i="19"/>
  <c r="V296" i="19" s="1"/>
  <c r="L5" i="11"/>
  <c r="C21" i="9"/>
  <c r="F155" i="24"/>
  <c r="D21" i="9" l="1"/>
  <c r="E21" i="9" s="1"/>
  <c r="F357" i="24"/>
  <c r="F358" i="24" s="1"/>
  <c r="L6" i="11"/>
  <c r="P66" i="11"/>
  <c r="P69" i="11" s="1"/>
  <c r="T297" i="19" l="1"/>
  <c r="E156" i="24" s="1"/>
  <c r="M5" i="11" l="1"/>
  <c r="U297" i="19"/>
  <c r="V297" i="19" s="1"/>
  <c r="F156" i="24"/>
  <c r="C22" i="9"/>
  <c r="D22" i="9" l="1"/>
  <c r="E22" i="9" s="1"/>
  <c r="M6" i="11"/>
  <c r="G357" i="24"/>
  <c r="G358" i="24" s="1"/>
  <c r="Q66" i="11"/>
  <c r="Q69" i="11" s="1"/>
  <c r="T298" i="19" l="1"/>
  <c r="E157" i="24" s="1"/>
  <c r="F157" i="24" s="1"/>
  <c r="C23" i="9" l="1"/>
  <c r="D23" i="9" s="1"/>
  <c r="E23" i="9" s="1"/>
  <c r="U298" i="19"/>
  <c r="V298" i="19" s="1"/>
  <c r="N5" i="11"/>
  <c r="R66" i="11" s="1"/>
  <c r="R69" i="11" s="1"/>
  <c r="T302" i="19"/>
  <c r="U302" i="19" s="1"/>
  <c r="N6" i="11" l="1"/>
  <c r="H357" i="24"/>
  <c r="H358" i="24" s="1"/>
  <c r="T299" i="19" l="1"/>
  <c r="C24" i="9" l="1"/>
  <c r="E158" i="24"/>
  <c r="O5" i="11"/>
  <c r="I357" i="24" s="1"/>
  <c r="U320" i="19"/>
  <c r="E160" i="24" s="1"/>
  <c r="U336" i="19"/>
  <c r="E161" i="24" s="1"/>
  <c r="T280" i="19" l="1"/>
  <c r="T300" i="19"/>
  <c r="P5" i="11" l="1"/>
  <c r="J357" i="24" s="1"/>
  <c r="E159" i="24"/>
  <c r="T304" i="19"/>
  <c r="U304" i="19" s="1"/>
  <c r="C25" i="9"/>
  <c r="O39" i="19" l="1"/>
  <c r="O27" i="19"/>
  <c r="O15" i="19"/>
  <c r="O3" i="19"/>
  <c r="O40" i="19" l="1"/>
  <c r="O16" i="19"/>
  <c r="O28" i="19"/>
  <c r="O4" i="19"/>
  <c r="O41" i="19" l="1"/>
  <c r="O17" i="19"/>
  <c r="O29" i="19"/>
  <c r="O5" i="19"/>
  <c r="O42" i="19" l="1"/>
  <c r="O30" i="19"/>
  <c r="O18" i="19"/>
  <c r="O6" i="19"/>
  <c r="O43" i="19" l="1"/>
  <c r="O19" i="19"/>
  <c r="O31" i="19"/>
  <c r="O7" i="19"/>
  <c r="O44" i="19" l="1"/>
  <c r="O32" i="19"/>
  <c r="O20" i="19"/>
  <c r="O8" i="19"/>
  <c r="O45" i="19" l="1"/>
  <c r="O33" i="19"/>
  <c r="O21" i="19"/>
  <c r="O9" i="19"/>
  <c r="O46" i="19" l="1"/>
  <c r="O22" i="19"/>
  <c r="O34" i="19"/>
  <c r="O10" i="19"/>
  <c r="O47" i="19" l="1"/>
  <c r="O35" i="19"/>
  <c r="O23" i="19"/>
  <c r="O11" i="19"/>
  <c r="O49" i="19" l="1"/>
  <c r="O48" i="19"/>
  <c r="O37" i="19"/>
  <c r="O36" i="19"/>
  <c r="O25" i="19"/>
  <c r="O24" i="19"/>
  <c r="O13" i="19"/>
  <c r="O12" i="19"/>
  <c r="P41" i="11" l="1"/>
  <c r="P42" i="11"/>
  <c r="O41" i="11" l="1"/>
  <c r="O42" i="11"/>
  <c r="D9" i="29" l="1"/>
  <c r="D7" i="29"/>
  <c r="D4" i="29"/>
  <c r="D3" i="29"/>
  <c r="D2" i="29"/>
  <c r="D3" i="30" l="1"/>
  <c r="D4" i="30"/>
  <c r="D7" i="30"/>
  <c r="D2" i="30"/>
  <c r="D9" i="30"/>
  <c r="T21" i="31" l="1"/>
  <c r="S21" i="31"/>
  <c r="T26" i="41" l="1"/>
  <c r="H21" i="9" s="1"/>
  <c r="T46" i="41"/>
  <c r="I21" i="9" s="1"/>
  <c r="T66" i="41"/>
  <c r="T25" i="40"/>
  <c r="T86" i="41"/>
  <c r="K21" i="9" s="1"/>
  <c r="T45" i="40"/>
  <c r="C13" i="18" s="1"/>
  <c r="T106" i="41"/>
  <c r="M21" i="9" s="1"/>
  <c r="U66" i="41"/>
  <c r="U25" i="40"/>
  <c r="U86" i="41"/>
  <c r="K22" i="9" s="1"/>
  <c r="U45" i="40"/>
  <c r="C14" i="18" s="1"/>
  <c r="U106" i="41"/>
  <c r="M22" i="9" s="1"/>
  <c r="V106" i="41"/>
  <c r="M23" i="9" s="1"/>
  <c r="V45" i="40"/>
  <c r="C15" i="18" s="1"/>
  <c r="V25" i="40"/>
  <c r="U26" i="41" l="1"/>
  <c r="H22" i="9" s="1"/>
  <c r="M13" i="11" s="1"/>
  <c r="M48" i="9"/>
  <c r="M46" i="11"/>
  <c r="U4" i="40"/>
  <c r="K14" i="18"/>
  <c r="B14" i="18" s="1"/>
  <c r="M37" i="11"/>
  <c r="G378" i="24" s="1"/>
  <c r="E325" i="24"/>
  <c r="E326" i="24"/>
  <c r="N37" i="11"/>
  <c r="H378" i="24" s="1"/>
  <c r="V4" i="40"/>
  <c r="K15" i="18"/>
  <c r="B15" i="18" s="1"/>
  <c r="M49" i="9"/>
  <c r="N46" i="11"/>
  <c r="C31" i="18"/>
  <c r="E342" i="24" s="1"/>
  <c r="M36" i="11"/>
  <c r="K48" i="9"/>
  <c r="J22" i="9"/>
  <c r="L46" i="11"/>
  <c r="M47" i="9"/>
  <c r="L17" i="11"/>
  <c r="I47" i="9"/>
  <c r="H47" i="9"/>
  <c r="L13" i="11"/>
  <c r="L37" i="11"/>
  <c r="F378" i="24" s="1"/>
  <c r="E324" i="24"/>
  <c r="K13" i="18"/>
  <c r="B13" i="18" s="1"/>
  <c r="T4" i="40"/>
  <c r="K47" i="9"/>
  <c r="C30" i="18"/>
  <c r="E341" i="24" s="1"/>
  <c r="L36" i="11"/>
  <c r="J21" i="9"/>
  <c r="T6" i="41"/>
  <c r="V26" i="41"/>
  <c r="H48" i="9" l="1"/>
  <c r="H68" i="9" s="1"/>
  <c r="M69" i="9"/>
  <c r="M68" i="9"/>
  <c r="M22" i="11"/>
  <c r="E14" i="18"/>
  <c r="M56" i="11" s="1"/>
  <c r="D325" i="24"/>
  <c r="G325" i="24" s="1"/>
  <c r="D41" i="24"/>
  <c r="D83" i="24" s="1"/>
  <c r="D220" i="24" s="1"/>
  <c r="D421" i="24" s="1"/>
  <c r="G363" i="24"/>
  <c r="I41" i="24"/>
  <c r="I83" i="24" s="1"/>
  <c r="I220" i="24" s="1"/>
  <c r="I421" i="24" s="1"/>
  <c r="G387" i="24"/>
  <c r="V86" i="41"/>
  <c r="K23" i="9" s="1"/>
  <c r="I42" i="24"/>
  <c r="I84" i="24" s="1"/>
  <c r="H387" i="24"/>
  <c r="H23" i="9"/>
  <c r="V46" i="41"/>
  <c r="I23" i="9" s="1"/>
  <c r="V66" i="41"/>
  <c r="J23" i="9" s="1"/>
  <c r="D326" i="24"/>
  <c r="G326" i="24" s="1"/>
  <c r="E15" i="18"/>
  <c r="N56" i="11" s="1"/>
  <c r="N22" i="11"/>
  <c r="K68" i="9"/>
  <c r="B31" i="18"/>
  <c r="D342" i="24" s="1"/>
  <c r="M21" i="11"/>
  <c r="J48" i="9"/>
  <c r="G41" i="24"/>
  <c r="G83" i="24" s="1"/>
  <c r="G377" i="24"/>
  <c r="E40" i="24"/>
  <c r="E82" i="24" s="1"/>
  <c r="F367" i="24"/>
  <c r="D40" i="24"/>
  <c r="D82" i="24" s="1"/>
  <c r="F363" i="24"/>
  <c r="I40" i="24"/>
  <c r="I82" i="24" s="1"/>
  <c r="F387" i="24"/>
  <c r="E13" i="18"/>
  <c r="L56" i="11" s="1"/>
  <c r="L22" i="11"/>
  <c r="D324" i="24"/>
  <c r="G324" i="24" s="1"/>
  <c r="G40" i="24"/>
  <c r="G82" i="24" s="1"/>
  <c r="F377" i="24"/>
  <c r="L21" i="11"/>
  <c r="J47" i="9"/>
  <c r="B30" i="18"/>
  <c r="D341" i="24" s="1"/>
  <c r="G21" i="9"/>
  <c r="U46" i="41" l="1"/>
  <c r="I22" i="9" s="1"/>
  <c r="G372" i="24"/>
  <c r="M51" i="11"/>
  <c r="N17" i="11"/>
  <c r="I49" i="9"/>
  <c r="N21" i="11"/>
  <c r="J49" i="9"/>
  <c r="J69" i="9" s="1"/>
  <c r="I221" i="24"/>
  <c r="I104" i="24"/>
  <c r="N13" i="11"/>
  <c r="H49" i="9"/>
  <c r="H69" i="9" s="1"/>
  <c r="G23" i="9"/>
  <c r="N36" i="11"/>
  <c r="K49" i="9"/>
  <c r="K69" i="9" s="1"/>
  <c r="C32" i="18"/>
  <c r="E343" i="24" s="1"/>
  <c r="H372" i="24"/>
  <c r="N51" i="11"/>
  <c r="B32" i="18"/>
  <c r="D343" i="24" s="1"/>
  <c r="V6" i="41"/>
  <c r="G220" i="24"/>
  <c r="G421" i="24" s="1"/>
  <c r="F41" i="24"/>
  <c r="G371" i="24"/>
  <c r="J68" i="9"/>
  <c r="D219" i="24"/>
  <c r="D103" i="24"/>
  <c r="I219" i="24"/>
  <c r="I103" i="24"/>
  <c r="E219" i="24"/>
  <c r="E420" i="24" s="1"/>
  <c r="F372" i="24"/>
  <c r="L51" i="11"/>
  <c r="G103" i="24"/>
  <c r="G219" i="24"/>
  <c r="G420" i="24" s="1"/>
  <c r="L55" i="11"/>
  <c r="F21" i="9"/>
  <c r="L8" i="11"/>
  <c r="F40" i="24"/>
  <c r="F371" i="24"/>
  <c r="L50" i="11"/>
  <c r="I238" i="24" l="1"/>
  <c r="I422" i="24"/>
  <c r="I237" i="24"/>
  <c r="I420" i="24"/>
  <c r="D237" i="24"/>
  <c r="D420" i="24"/>
  <c r="G392" i="24"/>
  <c r="F391" i="24"/>
  <c r="F392" i="24"/>
  <c r="H392" i="24"/>
  <c r="D18" i="24"/>
  <c r="U6" i="41"/>
  <c r="G237" i="24"/>
  <c r="G397" i="24"/>
  <c r="M61" i="11"/>
  <c r="I48" i="9"/>
  <c r="I68" i="9" s="1"/>
  <c r="W68" i="9" s="1"/>
  <c r="N237" i="24" s="1"/>
  <c r="M17" i="11"/>
  <c r="G22" i="9"/>
  <c r="H363" i="24"/>
  <c r="D42" i="24"/>
  <c r="N50" i="11"/>
  <c r="H377" i="24"/>
  <c r="G42" i="24"/>
  <c r="G84" i="24" s="1"/>
  <c r="N8" i="11"/>
  <c r="N55" i="11"/>
  <c r="F23" i="9"/>
  <c r="H397" i="24"/>
  <c r="N61" i="11"/>
  <c r="F42" i="24"/>
  <c r="F84" i="24" s="1"/>
  <c r="F221" i="24" s="1"/>
  <c r="F422" i="24" s="1"/>
  <c r="H371" i="24"/>
  <c r="H367" i="24"/>
  <c r="E42" i="24"/>
  <c r="E84" i="24" s="1"/>
  <c r="F83" i="24"/>
  <c r="L61" i="11"/>
  <c r="F397" i="24"/>
  <c r="F82" i="24"/>
  <c r="J40" i="24"/>
  <c r="F396" i="24"/>
  <c r="L60" i="11"/>
  <c r="F400" i="24" l="1"/>
  <c r="G401" i="24"/>
  <c r="H401" i="24"/>
  <c r="F401" i="24"/>
  <c r="D20" i="24"/>
  <c r="I69" i="9"/>
  <c r="W69" i="9" s="1"/>
  <c r="G367" i="24"/>
  <c r="E41" i="24"/>
  <c r="M50" i="11"/>
  <c r="F22" i="9"/>
  <c r="M55" i="11"/>
  <c r="M8" i="11"/>
  <c r="D84" i="24"/>
  <c r="J42" i="24"/>
  <c r="E221" i="24"/>
  <c r="E422" i="24" s="1"/>
  <c r="H396" i="24"/>
  <c r="N60" i="11"/>
  <c r="G221" i="24"/>
  <c r="G104" i="24"/>
  <c r="H391" i="24"/>
  <c r="F220" i="24"/>
  <c r="F104" i="24"/>
  <c r="F219" i="24"/>
  <c r="F420" i="24" s="1"/>
  <c r="F103" i="24"/>
  <c r="G238" i="24" l="1"/>
  <c r="G422" i="24"/>
  <c r="F238" i="24"/>
  <c r="F421" i="24"/>
  <c r="D19" i="24"/>
  <c r="E19" i="24" s="1"/>
  <c r="F19" i="24" s="1"/>
  <c r="G391" i="24"/>
  <c r="G396" i="24"/>
  <c r="M60" i="11"/>
  <c r="E83" i="24"/>
  <c r="J41" i="24"/>
  <c r="H400" i="24"/>
  <c r="D221" i="24"/>
  <c r="D104" i="24"/>
  <c r="F237" i="24"/>
  <c r="D238" i="24" l="1"/>
  <c r="D422" i="24"/>
  <c r="E20" i="24"/>
  <c r="F20" i="24" s="1"/>
  <c r="G400" i="24"/>
  <c r="E220" i="24"/>
  <c r="E421" i="24" s="1"/>
  <c r="E103" i="24"/>
  <c r="E104" i="24"/>
  <c r="E237" i="24" l="1"/>
  <c r="M237" i="24" s="1"/>
  <c r="O237" i="24" s="1"/>
  <c r="E238" i="24"/>
  <c r="N94" i="9" l="1"/>
  <c r="J303" i="24"/>
  <c r="J302" i="24"/>
  <c r="N93" i="9"/>
  <c r="S65" i="40" l="1"/>
  <c r="D12" i="18" s="1"/>
  <c r="S126" i="41"/>
  <c r="L20" i="9" s="1"/>
  <c r="K41" i="11" s="1"/>
  <c r="S45" i="40"/>
  <c r="C12" i="18" s="1"/>
  <c r="S25" i="40"/>
  <c r="R65" i="40"/>
  <c r="D11" i="18" s="1"/>
  <c r="R126" i="41"/>
  <c r="L19" i="9" s="1"/>
  <c r="R45" i="40"/>
  <c r="C11" i="18" s="1"/>
  <c r="R86" i="41"/>
  <c r="K19" i="9" s="1"/>
  <c r="R25" i="40"/>
  <c r="R66" i="41"/>
  <c r="J19" i="9" s="1"/>
  <c r="J42" i="11" l="1"/>
  <c r="F322" i="24"/>
  <c r="D28" i="18"/>
  <c r="F339" i="24" s="1"/>
  <c r="K37" i="11"/>
  <c r="E378" i="24" s="1"/>
  <c r="E323" i="24"/>
  <c r="J21" i="11"/>
  <c r="F38" i="24" s="1"/>
  <c r="F80" i="24" s="1"/>
  <c r="J45" i="9"/>
  <c r="J65" i="9" s="1"/>
  <c r="C28" i="18"/>
  <c r="J37" i="11"/>
  <c r="E322" i="24"/>
  <c r="K12" i="18"/>
  <c r="B12" i="18" s="1"/>
  <c r="S4" i="40"/>
  <c r="K45" i="9"/>
  <c r="K65" i="9" s="1"/>
  <c r="J36" i="11"/>
  <c r="G38" i="24" s="1"/>
  <c r="G80" i="24" s="1"/>
  <c r="R4" i="40"/>
  <c r="K11" i="18"/>
  <c r="B11" i="18" s="1"/>
  <c r="H39" i="24"/>
  <c r="E382" i="24"/>
  <c r="L45" i="9"/>
  <c r="J41" i="11"/>
  <c r="H38" i="24" s="1"/>
  <c r="H80" i="24" s="1"/>
  <c r="F323" i="24"/>
  <c r="D29" i="18"/>
  <c r="F340" i="24" s="1"/>
  <c r="K42" i="11"/>
  <c r="E383" i="24" s="1"/>
  <c r="S66" i="41"/>
  <c r="J20" i="9" s="1"/>
  <c r="S86" i="41"/>
  <c r="K20" i="9" s="1"/>
  <c r="S26" i="41"/>
  <c r="R26" i="41"/>
  <c r="H20" i="9" l="1"/>
  <c r="K36" i="11"/>
  <c r="K46" i="9"/>
  <c r="L65" i="9"/>
  <c r="L66" i="9"/>
  <c r="K22" i="11"/>
  <c r="B29" i="18"/>
  <c r="D340" i="24" s="1"/>
  <c r="E12" i="18"/>
  <c r="K56" i="11" s="1"/>
  <c r="D323" i="24"/>
  <c r="G323" i="24" s="1"/>
  <c r="K21" i="11"/>
  <c r="J46" i="9"/>
  <c r="G100" i="24"/>
  <c r="G217" i="24"/>
  <c r="F217" i="24"/>
  <c r="F100" i="24"/>
  <c r="H19" i="9"/>
  <c r="C29" i="18"/>
  <c r="E340" i="24" s="1"/>
  <c r="H217" i="24"/>
  <c r="H100" i="24"/>
  <c r="B28" i="18"/>
  <c r="D322" i="24"/>
  <c r="G322" i="24" s="1"/>
  <c r="J22" i="11"/>
  <c r="J51" i="11" s="1"/>
  <c r="E11" i="18"/>
  <c r="J56" i="11" s="1"/>
  <c r="E339" i="24"/>
  <c r="C34" i="18"/>
  <c r="R46" i="41"/>
  <c r="I19" i="9" s="1"/>
  <c r="H234" i="24" l="1"/>
  <c r="H418" i="24"/>
  <c r="F234" i="24"/>
  <c r="F418" i="24"/>
  <c r="G234" i="24"/>
  <c r="G418" i="24"/>
  <c r="E344" i="24"/>
  <c r="D339" i="24"/>
  <c r="D344" i="24" s="1"/>
  <c r="B34" i="18"/>
  <c r="F39" i="24"/>
  <c r="F81" i="24" s="1"/>
  <c r="E371" i="24"/>
  <c r="K67" i="9"/>
  <c r="K66" i="9"/>
  <c r="K51" i="11"/>
  <c r="E372" i="24"/>
  <c r="E377" i="24"/>
  <c r="G39" i="24"/>
  <c r="G81" i="24" s="1"/>
  <c r="I45" i="9"/>
  <c r="I65" i="9" s="1"/>
  <c r="J17" i="11"/>
  <c r="E38" i="24" s="1"/>
  <c r="E80" i="24" s="1"/>
  <c r="J61" i="11"/>
  <c r="J13" i="11"/>
  <c r="H45" i="9"/>
  <c r="H65" i="9" s="1"/>
  <c r="J67" i="9"/>
  <c r="J66" i="9"/>
  <c r="H46" i="9"/>
  <c r="K13" i="11"/>
  <c r="S46" i="41"/>
  <c r="S106" i="41"/>
  <c r="M20" i="9" s="1"/>
  <c r="R106" i="41"/>
  <c r="M19" i="9" s="1"/>
  <c r="J73" i="9" l="1"/>
  <c r="F239" i="24" s="1"/>
  <c r="F244" i="24" s="1"/>
  <c r="K73" i="9"/>
  <c r="G239" i="24" s="1"/>
  <c r="G244" i="24" s="1"/>
  <c r="E392" i="24"/>
  <c r="D7" i="42"/>
  <c r="D9" i="42" s="1"/>
  <c r="J46" i="11"/>
  <c r="I38" i="24" s="1"/>
  <c r="I80" i="24" s="1"/>
  <c r="M45" i="9"/>
  <c r="M65" i="9" s="1"/>
  <c r="H67" i="9"/>
  <c r="H66" i="9"/>
  <c r="K61" i="11"/>
  <c r="E397" i="24"/>
  <c r="K46" i="11"/>
  <c r="M46" i="9"/>
  <c r="D38" i="24"/>
  <c r="G218" i="24"/>
  <c r="G419" i="24" s="1"/>
  <c r="G90" i="24"/>
  <c r="G101" i="24"/>
  <c r="G102" i="24"/>
  <c r="R6" i="41"/>
  <c r="F218" i="24"/>
  <c r="F419" i="24" s="1"/>
  <c r="F101" i="24"/>
  <c r="F90" i="24"/>
  <c r="F102" i="24"/>
  <c r="I20" i="9"/>
  <c r="S6" i="41"/>
  <c r="D39" i="24"/>
  <c r="E363" i="24"/>
  <c r="G19" i="9"/>
  <c r="E217" i="24"/>
  <c r="E100" i="24"/>
  <c r="E234" i="24" l="1"/>
  <c r="E418" i="24"/>
  <c r="E401" i="24"/>
  <c r="H73" i="9"/>
  <c r="D239" i="24" s="1"/>
  <c r="J71" i="9"/>
  <c r="J50" i="9" s="1"/>
  <c r="J76" i="9" s="1"/>
  <c r="W65" i="9"/>
  <c r="N234" i="24" s="1"/>
  <c r="K71" i="9"/>
  <c r="K50" i="9" s="1"/>
  <c r="K51" i="9" s="1"/>
  <c r="K77" i="9" s="1"/>
  <c r="J50" i="11"/>
  <c r="F19" i="9"/>
  <c r="J55" i="11"/>
  <c r="J8" i="11"/>
  <c r="G245" i="24"/>
  <c r="G251" i="24" s="1"/>
  <c r="G250" i="24"/>
  <c r="G296" i="24" s="1"/>
  <c r="G235" i="24"/>
  <c r="G236" i="24"/>
  <c r="F250" i="24"/>
  <c r="F296" i="24" s="1"/>
  <c r="F245" i="24"/>
  <c r="F251" i="24" s="1"/>
  <c r="M67" i="9"/>
  <c r="M66" i="9"/>
  <c r="D80" i="24"/>
  <c r="J38" i="24"/>
  <c r="E387" i="24"/>
  <c r="I39" i="24"/>
  <c r="I81" i="24" s="1"/>
  <c r="D81" i="24"/>
  <c r="K17" i="11"/>
  <c r="I46" i="9"/>
  <c r="G20" i="9"/>
  <c r="G26" i="9" s="1"/>
  <c r="F235" i="24"/>
  <c r="F236" i="24"/>
  <c r="I217" i="24"/>
  <c r="I100" i="24"/>
  <c r="I234" i="24" l="1"/>
  <c r="I418" i="24"/>
  <c r="K76" i="9"/>
  <c r="K85" i="9" s="1"/>
  <c r="J51" i="9"/>
  <c r="J77" i="9" s="1"/>
  <c r="J86" i="9" s="1"/>
  <c r="D16" i="24"/>
  <c r="E16" i="24" s="1"/>
  <c r="F16" i="24" s="1"/>
  <c r="M73" i="9"/>
  <c r="M71" i="9" s="1"/>
  <c r="M50" i="9" s="1"/>
  <c r="F297" i="24"/>
  <c r="G297" i="24"/>
  <c r="H71" i="9"/>
  <c r="H50" i="9" s="1"/>
  <c r="H76" i="9" s="1"/>
  <c r="J60" i="11"/>
  <c r="J85" i="9"/>
  <c r="I66" i="9"/>
  <c r="I67" i="9"/>
  <c r="W67" i="9" s="1"/>
  <c r="N236" i="24" s="1"/>
  <c r="D100" i="24"/>
  <c r="D217" i="24"/>
  <c r="D244" i="24"/>
  <c r="E39" i="24"/>
  <c r="E367" i="24"/>
  <c r="K50" i="11"/>
  <c r="I90" i="24"/>
  <c r="I101" i="24"/>
  <c r="I218" i="24"/>
  <c r="I419" i="24" s="1"/>
  <c r="I102" i="24"/>
  <c r="K55" i="11"/>
  <c r="K8" i="11"/>
  <c r="F20" i="9"/>
  <c r="F28" i="9" s="1"/>
  <c r="D90" i="24"/>
  <c r="D102" i="24"/>
  <c r="D218" i="24"/>
  <c r="D419" i="24" s="1"/>
  <c r="D101" i="24"/>
  <c r="K86" i="9"/>
  <c r="D234" i="24" l="1"/>
  <c r="M234" i="24" s="1"/>
  <c r="O234" i="24" s="1"/>
  <c r="D418" i="24"/>
  <c r="D17" i="24"/>
  <c r="E17" i="24" s="1"/>
  <c r="F17" i="24" s="1"/>
  <c r="E391" i="24"/>
  <c r="I73" i="9"/>
  <c r="H51" i="9"/>
  <c r="H77" i="9" s="1"/>
  <c r="H86" i="9" s="1"/>
  <c r="I239" i="24"/>
  <c r="I244" i="24" s="1"/>
  <c r="I245" i="24" s="1"/>
  <c r="I251" i="24" s="1"/>
  <c r="G24" i="9"/>
  <c r="G80" i="9" s="1"/>
  <c r="G25" i="9"/>
  <c r="G81" i="9" s="1"/>
  <c r="I235" i="24"/>
  <c r="I236" i="24"/>
  <c r="E396" i="24"/>
  <c r="K60" i="11"/>
  <c r="D250" i="24"/>
  <c r="D245" i="24"/>
  <c r="D251" i="24" s="1"/>
  <c r="M76" i="9"/>
  <c r="M51" i="9"/>
  <c r="M77" i="9" s="1"/>
  <c r="W66" i="9"/>
  <c r="N235" i="24" s="1"/>
  <c r="D236" i="24"/>
  <c r="D235" i="24"/>
  <c r="H85" i="9"/>
  <c r="E81" i="24"/>
  <c r="J39" i="24"/>
  <c r="E18" i="24" l="1"/>
  <c r="F18" i="24" s="1"/>
  <c r="E400" i="24"/>
  <c r="I297" i="24"/>
  <c r="I250" i="24"/>
  <c r="I296" i="24" s="1"/>
  <c r="M86" i="9"/>
  <c r="E218" i="24"/>
  <c r="E419" i="24" s="1"/>
  <c r="E102" i="24"/>
  <c r="E90" i="24"/>
  <c r="E101" i="24"/>
  <c r="M85" i="9"/>
  <c r="D297" i="24"/>
  <c r="E239" i="24"/>
  <c r="I71" i="9"/>
  <c r="I50" i="9" s="1"/>
  <c r="W73" i="9"/>
  <c r="N239" i="24" s="1"/>
  <c r="D296" i="24"/>
  <c r="E235" i="24" l="1"/>
  <c r="M235" i="24" s="1"/>
  <c r="O235" i="24" s="1"/>
  <c r="E236" i="24"/>
  <c r="M236" i="24" s="1"/>
  <c r="O236" i="24" s="1"/>
  <c r="I51" i="9"/>
  <c r="I77" i="9" s="1"/>
  <c r="I76" i="9"/>
  <c r="E244" i="24"/>
  <c r="M239" i="24"/>
  <c r="O239" i="24" s="1"/>
  <c r="I85" i="9" l="1"/>
  <c r="G76" i="9"/>
  <c r="G85" i="9" s="1"/>
  <c r="E250" i="24"/>
  <c r="E245" i="24"/>
  <c r="E251" i="24" s="1"/>
  <c r="I86" i="9"/>
  <c r="G77" i="9"/>
  <c r="G86" i="9" l="1"/>
  <c r="E296" i="24"/>
  <c r="J250" i="24"/>
  <c r="K250" i="24" s="1"/>
  <c r="N86" i="9"/>
  <c r="E297" i="24"/>
  <c r="J251" i="24"/>
  <c r="N85" i="9"/>
  <c r="I89" i="9" s="1"/>
  <c r="J296" i="24" l="1"/>
  <c r="J297" i="24"/>
  <c r="K251" i="24"/>
  <c r="I90" i="9"/>
  <c r="K90" i="9"/>
  <c r="J90" i="9"/>
  <c r="J81" i="9" s="1"/>
  <c r="B17" i="18" s="1"/>
  <c r="H90" i="9"/>
  <c r="M90" i="9"/>
  <c r="E299" i="24"/>
  <c r="E308" i="24" s="1"/>
  <c r="I80" i="9"/>
  <c r="O17" i="11" s="1"/>
  <c r="K89" i="9"/>
  <c r="J89" i="9"/>
  <c r="H89" i="9"/>
  <c r="M89" i="9"/>
  <c r="E300" i="24" l="1"/>
  <c r="E309" i="24" s="1"/>
  <c r="I81" i="9"/>
  <c r="P17" i="11" s="1"/>
  <c r="W17" i="11" s="1"/>
  <c r="X17" i="11" s="1"/>
  <c r="O283" i="24"/>
  <c r="O284" i="24" s="1"/>
  <c r="O285" i="24" s="1"/>
  <c r="R282" i="24"/>
  <c r="B3" i="29"/>
  <c r="E43" i="24"/>
  <c r="E85" i="24" s="1"/>
  <c r="E105" i="24" s="1"/>
  <c r="I367" i="24"/>
  <c r="E424" i="24" s="1"/>
  <c r="F300" i="24"/>
  <c r="G300" i="24"/>
  <c r="K81" i="9"/>
  <c r="I299" i="24"/>
  <c r="I308" i="24" s="1"/>
  <c r="M80" i="9"/>
  <c r="O46" i="11" s="1"/>
  <c r="F299" i="24"/>
  <c r="J80" i="9"/>
  <c r="I300" i="24"/>
  <c r="I309" i="24" s="1"/>
  <c r="M81" i="9"/>
  <c r="P46" i="11" s="1"/>
  <c r="W46" i="11" s="1"/>
  <c r="X46" i="11" s="1"/>
  <c r="N89" i="9"/>
  <c r="D299" i="24"/>
  <c r="D308" i="24" s="1"/>
  <c r="H80" i="9"/>
  <c r="G299" i="24"/>
  <c r="K80" i="9"/>
  <c r="D300" i="24"/>
  <c r="D309" i="24" s="1"/>
  <c r="N90" i="9"/>
  <c r="H81" i="9"/>
  <c r="I290" i="24" l="1"/>
  <c r="G308" i="24"/>
  <c r="E349" i="24" s="1"/>
  <c r="F309" i="24"/>
  <c r="F308" i="24"/>
  <c r="D349" i="24" s="1"/>
  <c r="G309" i="24"/>
  <c r="E350" i="24" s="1"/>
  <c r="G290" i="24"/>
  <c r="G291" i="24" s="1"/>
  <c r="R283" i="24"/>
  <c r="F290" i="24"/>
  <c r="E290" i="24"/>
  <c r="R284" i="24"/>
  <c r="R285" i="24"/>
  <c r="D290" i="24"/>
  <c r="B3" i="30"/>
  <c r="B16" i="30" s="1"/>
  <c r="D16" i="30" s="1"/>
  <c r="E44" i="24"/>
  <c r="E86" i="24" s="1"/>
  <c r="E106" i="24" s="1"/>
  <c r="J367" i="24"/>
  <c r="E425" i="24" s="1"/>
  <c r="O13" i="11"/>
  <c r="N80" i="9"/>
  <c r="B16" i="18"/>
  <c r="O21" i="11"/>
  <c r="C17" i="18"/>
  <c r="P37" i="11" s="1"/>
  <c r="W37" i="11" s="1"/>
  <c r="X37" i="11" s="1"/>
  <c r="P36" i="11"/>
  <c r="W36" i="11" s="1"/>
  <c r="X36" i="11" s="1"/>
  <c r="P13" i="11"/>
  <c r="W13" i="11" s="1"/>
  <c r="X13" i="11" s="1"/>
  <c r="N81" i="9"/>
  <c r="J300" i="24"/>
  <c r="J299" i="24"/>
  <c r="C16" i="18"/>
  <c r="O37" i="11" s="1"/>
  <c r="O36" i="11"/>
  <c r="I44" i="24"/>
  <c r="I86" i="24" s="1"/>
  <c r="B9" i="30"/>
  <c r="J387" i="24"/>
  <c r="I425" i="24" s="1"/>
  <c r="B9" i="29"/>
  <c r="I387" i="24"/>
  <c r="I424" i="24" s="1"/>
  <c r="I43" i="24"/>
  <c r="I85" i="24" s="1"/>
  <c r="I105" i="24" s="1"/>
  <c r="P21" i="11"/>
  <c r="W21" i="11" s="1"/>
  <c r="X21" i="11" s="1"/>
  <c r="B16" i="29"/>
  <c r="D16" i="29" s="1"/>
  <c r="J308" i="24" l="1"/>
  <c r="J291" i="24"/>
  <c r="G349" i="24"/>
  <c r="J309" i="24"/>
  <c r="J290" i="24"/>
  <c r="K290" i="24" s="1"/>
  <c r="B28" i="29"/>
  <c r="D28" i="29" s="1"/>
  <c r="F28" i="29" s="1"/>
  <c r="B28" i="30"/>
  <c r="D28" i="30" s="1"/>
  <c r="F28" i="30" s="1"/>
  <c r="F16" i="29"/>
  <c r="B4" i="30"/>
  <c r="F44" i="24"/>
  <c r="F86" i="24" s="1"/>
  <c r="J371" i="24"/>
  <c r="F425" i="24" s="1"/>
  <c r="E17" i="18"/>
  <c r="P56" i="11" s="1"/>
  <c r="P22" i="11"/>
  <c r="W22" i="11" s="1"/>
  <c r="X22" i="11" s="1"/>
  <c r="I378" i="24"/>
  <c r="C7" i="29"/>
  <c r="D44" i="29" s="1"/>
  <c r="O81" i="9"/>
  <c r="P81" i="9" s="1"/>
  <c r="P8" i="11"/>
  <c r="W8" i="11" s="1"/>
  <c r="X8" i="11" s="1"/>
  <c r="P55" i="11"/>
  <c r="I371" i="24"/>
  <c r="F424" i="24" s="1"/>
  <c r="F43" i="24"/>
  <c r="F85" i="24" s="1"/>
  <c r="F105" i="24" s="1"/>
  <c r="B4" i="29"/>
  <c r="J363" i="24"/>
  <c r="D425" i="24" s="1"/>
  <c r="B2" i="30"/>
  <c r="D44" i="24"/>
  <c r="P50" i="11"/>
  <c r="W50" i="11" s="1"/>
  <c r="X50" i="11" s="1"/>
  <c r="E16" i="18"/>
  <c r="O56" i="11" s="1"/>
  <c r="O22" i="11"/>
  <c r="I106" i="24"/>
  <c r="F16" i="30"/>
  <c r="G44" i="24"/>
  <c r="G86" i="24" s="1"/>
  <c r="B7" i="30"/>
  <c r="J377" i="24"/>
  <c r="G425" i="24" s="1"/>
  <c r="O80" i="9"/>
  <c r="P80" i="9" s="1"/>
  <c r="O8" i="11"/>
  <c r="D21" i="24" s="1"/>
  <c r="E21" i="24" s="1"/>
  <c r="F21" i="24" s="1"/>
  <c r="O55" i="11"/>
  <c r="B22" i="30"/>
  <c r="D22" i="30" s="1"/>
  <c r="B22" i="29"/>
  <c r="D22" i="29" s="1"/>
  <c r="I377" i="24"/>
  <c r="G424" i="24" s="1"/>
  <c r="G43" i="24"/>
  <c r="G85" i="24" s="1"/>
  <c r="G105" i="24" s="1"/>
  <c r="B7" i="29"/>
  <c r="J378" i="24"/>
  <c r="C7" i="30"/>
  <c r="D44" i="30" s="1"/>
  <c r="B2" i="29"/>
  <c r="D43" i="24"/>
  <c r="I363" i="24"/>
  <c r="D424" i="24" s="1"/>
  <c r="O50" i="11"/>
  <c r="D22" i="24" l="1"/>
  <c r="E22" i="24" s="1"/>
  <c r="F22" i="24" s="1"/>
  <c r="D64" i="29"/>
  <c r="D76" i="29" s="1"/>
  <c r="F76" i="29" s="1"/>
  <c r="D40" i="29"/>
  <c r="D52" i="29" s="1"/>
  <c r="F52" i="29" s="1"/>
  <c r="K308" i="24"/>
  <c r="K309" i="24"/>
  <c r="I391" i="24"/>
  <c r="D64" i="30"/>
  <c r="D76" i="30" s="1"/>
  <c r="F76" i="30" s="1"/>
  <c r="D40" i="30"/>
  <c r="F40" i="30" s="1"/>
  <c r="B34" i="29"/>
  <c r="D34" i="29" s="1"/>
  <c r="F34" i="29" s="1"/>
  <c r="B20" i="30"/>
  <c r="D20" i="30" s="1"/>
  <c r="J396" i="24"/>
  <c r="P60" i="11"/>
  <c r="B17" i="29"/>
  <c r="D17" i="29" s="1"/>
  <c r="P51" i="11"/>
  <c r="W51" i="11" s="1"/>
  <c r="X51" i="11" s="1"/>
  <c r="J372" i="24"/>
  <c r="C4" i="30"/>
  <c r="B17" i="30"/>
  <c r="D17" i="30" s="1"/>
  <c r="B20" i="29"/>
  <c r="D20" i="29" s="1"/>
  <c r="G106" i="24"/>
  <c r="D86" i="24"/>
  <c r="J44" i="24"/>
  <c r="D85" i="24"/>
  <c r="D105" i="24" s="1"/>
  <c r="J43" i="24"/>
  <c r="F22" i="29"/>
  <c r="B15" i="29"/>
  <c r="B10" i="29"/>
  <c r="B34" i="30"/>
  <c r="D34" i="30" s="1"/>
  <c r="F34" i="30" s="1"/>
  <c r="O51" i="11"/>
  <c r="I372" i="24"/>
  <c r="C4" i="29"/>
  <c r="B15" i="30"/>
  <c r="B27" i="30" s="1"/>
  <c r="B10" i="30"/>
  <c r="F44" i="29"/>
  <c r="D56" i="29"/>
  <c r="F56" i="29" s="1"/>
  <c r="I396" i="24"/>
  <c r="O60" i="11"/>
  <c r="F44" i="30"/>
  <c r="D56" i="30"/>
  <c r="F56" i="30" s="1"/>
  <c r="F22" i="30"/>
  <c r="J391" i="24"/>
  <c r="F106" i="24"/>
  <c r="D350" i="24" l="1"/>
  <c r="D11" i="42" s="1"/>
  <c r="I392" i="24"/>
  <c r="J392" i="24"/>
  <c r="D10" i="42"/>
  <c r="F64" i="29"/>
  <c r="F40" i="29"/>
  <c r="J400" i="24"/>
  <c r="D70" i="29"/>
  <c r="F70" i="29" s="1"/>
  <c r="I400" i="24"/>
  <c r="D46" i="29"/>
  <c r="F46" i="29" s="1"/>
  <c r="F64" i="30"/>
  <c r="D46" i="30"/>
  <c r="F46" i="30" s="1"/>
  <c r="D52" i="30"/>
  <c r="F52" i="30" s="1"/>
  <c r="D70" i="30"/>
  <c r="F70" i="30" s="1"/>
  <c r="B29" i="30"/>
  <c r="D29" i="30" s="1"/>
  <c r="F29" i="30" s="1"/>
  <c r="B29" i="29"/>
  <c r="D29" i="29" s="1"/>
  <c r="F29" i="29" s="1"/>
  <c r="B32" i="30"/>
  <c r="D32" i="30" s="1"/>
  <c r="F32" i="30" s="1"/>
  <c r="D27" i="30"/>
  <c r="I397" i="24"/>
  <c r="O61" i="11"/>
  <c r="B32" i="29"/>
  <c r="D32" i="29" s="1"/>
  <c r="F32" i="29" s="1"/>
  <c r="D41" i="30"/>
  <c r="C10" i="30"/>
  <c r="D15" i="30"/>
  <c r="B23" i="30"/>
  <c r="B27" i="29"/>
  <c r="B23" i="29"/>
  <c r="D15" i="29"/>
  <c r="F20" i="29"/>
  <c r="F17" i="29"/>
  <c r="F20" i="30"/>
  <c r="C10" i="29"/>
  <c r="D41" i="29"/>
  <c r="D106" i="24"/>
  <c r="J397" i="24"/>
  <c r="P61" i="11"/>
  <c r="F17" i="30"/>
  <c r="D12" i="42" l="1"/>
  <c r="G350" i="24"/>
  <c r="I401" i="24"/>
  <c r="J401" i="24"/>
  <c r="D58" i="29"/>
  <c r="F58" i="29" s="1"/>
  <c r="D82" i="29"/>
  <c r="F82" i="29" s="1"/>
  <c r="D58" i="30"/>
  <c r="F58" i="30" s="1"/>
  <c r="D65" i="30"/>
  <c r="D77" i="30" s="1"/>
  <c r="F77" i="30" s="1"/>
  <c r="D68" i="30"/>
  <c r="F68" i="30" s="1"/>
  <c r="D82" i="30"/>
  <c r="F82" i="30" s="1"/>
  <c r="D68" i="29"/>
  <c r="F68" i="29" s="1"/>
  <c r="D65" i="29"/>
  <c r="D77" i="29" s="1"/>
  <c r="F77" i="29" s="1"/>
  <c r="B35" i="30"/>
  <c r="D27" i="29"/>
  <c r="D39" i="29" s="1"/>
  <c r="B35" i="29"/>
  <c r="F41" i="30"/>
  <c r="D53" i="30"/>
  <c r="F53" i="30" s="1"/>
  <c r="F41" i="29"/>
  <c r="D53" i="29"/>
  <c r="F53" i="29" s="1"/>
  <c r="F15" i="29"/>
  <c r="D23" i="29"/>
  <c r="F15" i="30"/>
  <c r="D23" i="30"/>
  <c r="D39" i="30"/>
  <c r="D63" i="30"/>
  <c r="D35" i="30"/>
  <c r="F27" i="30"/>
  <c r="F35" i="30" s="1"/>
  <c r="F23" i="30" l="1"/>
  <c r="B87" i="30" s="1"/>
  <c r="F23" i="29"/>
  <c r="F65" i="30"/>
  <c r="D80" i="29"/>
  <c r="F80" i="29" s="1"/>
  <c r="D63" i="29"/>
  <c r="D71" i="29" s="1"/>
  <c r="F65" i="29"/>
  <c r="D80" i="30"/>
  <c r="F80" i="30" s="1"/>
  <c r="D51" i="30"/>
  <c r="F51" i="30" s="1"/>
  <c r="F39" i="30"/>
  <c r="F39" i="29"/>
  <c r="D51" i="29"/>
  <c r="F51" i="29" s="1"/>
  <c r="D75" i="30"/>
  <c r="D71" i="30"/>
  <c r="F63" i="30"/>
  <c r="F27" i="29"/>
  <c r="F35" i="29" s="1"/>
  <c r="D35" i="29"/>
  <c r="B87" i="29" l="1"/>
  <c r="F71" i="30"/>
  <c r="F47" i="29"/>
  <c r="B89" i="29" s="1"/>
  <c r="F47" i="30"/>
  <c r="F59" i="30"/>
  <c r="F59" i="29"/>
  <c r="B90" i="29" s="1"/>
  <c r="F63" i="29"/>
  <c r="D75" i="29"/>
  <c r="D83" i="29" s="1"/>
  <c r="F75" i="30"/>
  <c r="F83" i="30" s="1"/>
  <c r="B91" i="30" s="1"/>
  <c r="D83" i="30"/>
  <c r="B88" i="30" l="1"/>
  <c r="B90" i="30"/>
  <c r="B89" i="30"/>
  <c r="F71" i="29"/>
  <c r="B88" i="29" s="1"/>
  <c r="F75" i="29"/>
  <c r="F83" i="29" s="1"/>
  <c r="B91" i="29" s="1"/>
  <c r="B92" i="30" l="1"/>
  <c r="B93" i="30" s="1"/>
  <c r="B92" i="29" l="1"/>
  <c r="B93" i="29" s="1"/>
  <c r="T44" i="35" l="1"/>
  <c r="T45" i="35" s="1"/>
</calcChain>
</file>

<file path=xl/comments1.xml><?xml version="1.0" encoding="utf-8"?>
<comments xmlns="http://schemas.openxmlformats.org/spreadsheetml/2006/main">
  <authors>
    <author>Philip Wormwell</author>
  </authors>
  <commentList>
    <comment ref="O16" authorId="0">
      <text>
        <r>
          <rPr>
            <b/>
            <sz val="8"/>
            <color indexed="81"/>
            <rFont val="Tahoma"/>
            <family val="2"/>
          </rPr>
          <t>Philip Wormwell:</t>
        </r>
        <r>
          <rPr>
            <sz val="8"/>
            <color indexed="81"/>
            <rFont val="Tahoma"/>
            <family val="2"/>
          </rPr>
          <t xml:space="preserve">
Added FIT RESOP here</t>
        </r>
      </text>
    </comment>
    <comment ref="P16" authorId="0">
      <text>
        <r>
          <rPr>
            <b/>
            <sz val="8"/>
            <color indexed="81"/>
            <rFont val="Tahoma"/>
            <family val="2"/>
          </rPr>
          <t>Philip Wormwell:</t>
        </r>
        <r>
          <rPr>
            <sz val="8"/>
            <color indexed="81"/>
            <rFont val="Tahoma"/>
            <family val="2"/>
          </rPr>
          <t xml:space="preserve">
Added outlet mall and FIT RESOP here</t>
        </r>
      </text>
    </comment>
    <comment ref="P17" authorId="0">
      <text>
        <r>
          <rPr>
            <b/>
            <sz val="8"/>
            <color indexed="81"/>
            <rFont val="Tahoma"/>
            <family val="2"/>
          </rPr>
          <t>Philip Wormwell:</t>
        </r>
        <r>
          <rPr>
            <sz val="8"/>
            <color indexed="81"/>
            <rFont val="Tahoma"/>
            <family val="2"/>
          </rPr>
          <t xml:space="preserve">
Includes manual adjustment in Rate Class Energy Model Sheet</t>
        </r>
      </text>
    </comment>
    <comment ref="P20" authorId="0">
      <text>
        <r>
          <rPr>
            <b/>
            <sz val="8"/>
            <color indexed="81"/>
            <rFont val="Tahoma"/>
            <family val="2"/>
          </rPr>
          <t>Philip Wormwell:</t>
        </r>
        <r>
          <rPr>
            <sz val="8"/>
            <color indexed="81"/>
            <rFont val="Tahoma"/>
            <family val="2"/>
          </rPr>
          <t xml:space="preserve">
Added outlet mall here</t>
        </r>
      </text>
    </comment>
    <comment ref="P21" authorId="0">
      <text>
        <r>
          <rPr>
            <b/>
            <sz val="8"/>
            <color indexed="81"/>
            <rFont val="Tahoma"/>
            <family val="2"/>
          </rPr>
          <t>Philip Wormwell:</t>
        </r>
        <r>
          <rPr>
            <sz val="8"/>
            <color indexed="81"/>
            <rFont val="Tahoma"/>
            <family val="2"/>
          </rPr>
          <t xml:space="preserve">
Includes manual adjustment in Rate Class Energy Model Sheet</t>
        </r>
      </text>
    </comment>
    <comment ref="P22" authorId="0">
      <text>
        <r>
          <rPr>
            <b/>
            <sz val="8"/>
            <color indexed="81"/>
            <rFont val="Tahoma"/>
            <family val="2"/>
          </rPr>
          <t>Philip Wormwell:</t>
        </r>
        <r>
          <rPr>
            <sz val="8"/>
            <color indexed="81"/>
            <rFont val="Tahoma"/>
            <family val="2"/>
          </rPr>
          <t xml:space="preserve">
Includes manual adjustment in Rate Class Load Model Sheet</t>
        </r>
      </text>
    </comment>
    <comment ref="O54" authorId="0">
      <text>
        <r>
          <rPr>
            <b/>
            <sz val="8"/>
            <color indexed="81"/>
            <rFont val="Tahoma"/>
            <family val="2"/>
          </rPr>
          <t>Philip Wormwell:</t>
        </r>
        <r>
          <rPr>
            <sz val="8"/>
            <color indexed="81"/>
            <rFont val="Tahoma"/>
            <family val="2"/>
          </rPr>
          <t xml:space="preserve">
Added FIT RESOP here</t>
        </r>
      </text>
    </comment>
    <comment ref="P54" authorId="0">
      <text>
        <r>
          <rPr>
            <b/>
            <sz val="8"/>
            <color indexed="81"/>
            <rFont val="Tahoma"/>
            <family val="2"/>
          </rPr>
          <t>Philip Wormwell:</t>
        </r>
        <r>
          <rPr>
            <sz val="8"/>
            <color indexed="81"/>
            <rFont val="Tahoma"/>
            <family val="2"/>
          </rPr>
          <t xml:space="preserve">
Added outlet mall and FIT RESOP here</t>
        </r>
      </text>
    </comment>
    <comment ref="P55" authorId="0">
      <text>
        <r>
          <rPr>
            <b/>
            <sz val="8"/>
            <color indexed="81"/>
            <rFont val="Tahoma"/>
            <family val="2"/>
          </rPr>
          <t>Philip Wormwell:</t>
        </r>
        <r>
          <rPr>
            <sz val="8"/>
            <color indexed="81"/>
            <rFont val="Tahoma"/>
            <family val="2"/>
          </rPr>
          <t xml:space="preserve">
Includes manual adjustment in Rate Class Energy Model Sheet</t>
        </r>
      </text>
    </comment>
    <comment ref="P56" authorId="0">
      <text>
        <r>
          <rPr>
            <b/>
            <sz val="8"/>
            <color indexed="81"/>
            <rFont val="Tahoma"/>
            <family val="2"/>
          </rPr>
          <t>Philip Wormwell:</t>
        </r>
        <r>
          <rPr>
            <sz val="8"/>
            <color indexed="81"/>
            <rFont val="Tahoma"/>
            <family val="2"/>
          </rPr>
          <t xml:space="preserve">
Includes manual adjustment in Rate Class Load Model Sheet</t>
        </r>
      </text>
    </comment>
  </commentList>
</comments>
</file>

<file path=xl/comments10.xml><?xml version="1.0" encoding="utf-8"?>
<comments xmlns="http://schemas.openxmlformats.org/spreadsheetml/2006/main">
  <authors>
    <author>Philip Wormwell</author>
  </authors>
  <commentList>
    <comment ref="C1" authorId="0">
      <text>
        <r>
          <rPr>
            <b/>
            <sz val="8"/>
            <color indexed="81"/>
            <rFont val="Tahoma"/>
            <family val="2"/>
          </rPr>
          <t>Philip Wormwell:</t>
        </r>
        <r>
          <rPr>
            <sz val="8"/>
            <color indexed="81"/>
            <rFont val="Tahoma"/>
            <family val="2"/>
          </rPr>
          <t xml:space="preserve">
From Bruce</t>
        </r>
      </text>
    </comment>
  </commentList>
</comments>
</file>

<file path=xl/comments11.xml><?xml version="1.0" encoding="utf-8"?>
<comments xmlns="http://schemas.openxmlformats.org/spreadsheetml/2006/main">
  <authors>
    <author>Philip Wormwell</author>
  </authors>
  <commentList>
    <comment ref="P46" authorId="0">
      <text>
        <r>
          <rPr>
            <b/>
            <sz val="8"/>
            <color indexed="81"/>
            <rFont val="Tahoma"/>
            <family val="2"/>
          </rPr>
          <t>Philip Wormwell:</t>
        </r>
        <r>
          <rPr>
            <sz val="8"/>
            <color indexed="81"/>
            <rFont val="Tahoma"/>
            <family val="2"/>
          </rPr>
          <t xml:space="preserve">
From COS  Exh 3 Tab 2 Table 2</t>
        </r>
      </text>
    </comment>
  </commentList>
</comments>
</file>

<file path=xl/comments2.xml><?xml version="1.0" encoding="utf-8"?>
<comments xmlns="http://schemas.openxmlformats.org/spreadsheetml/2006/main">
  <authors>
    <author>Philip Wormwell</author>
  </authors>
  <commentList>
    <comment ref="I81" authorId="0">
      <text>
        <r>
          <rPr>
            <b/>
            <sz val="8"/>
            <color indexed="81"/>
            <rFont val="Tahoma"/>
            <family val="2"/>
          </rPr>
          <t>Philip Wormwell:</t>
        </r>
        <r>
          <rPr>
            <sz val="8"/>
            <color indexed="81"/>
            <rFont val="Tahoma"/>
            <family val="2"/>
          </rPr>
          <t xml:space="preserve">
Includes Outlet mall manual adjustment</t>
        </r>
      </text>
    </comment>
    <comment ref="J81" authorId="0">
      <text>
        <r>
          <rPr>
            <b/>
            <sz val="8"/>
            <color indexed="81"/>
            <rFont val="Tahoma"/>
            <family val="2"/>
          </rPr>
          <t>Philip Wormwell:</t>
        </r>
        <r>
          <rPr>
            <sz val="8"/>
            <color indexed="81"/>
            <rFont val="Tahoma"/>
            <family val="2"/>
          </rPr>
          <t xml:space="preserve">
Includes Outlet mall manual adjustment</t>
        </r>
      </text>
    </comment>
  </commentList>
</comments>
</file>

<file path=xl/comments3.xml><?xml version="1.0" encoding="utf-8"?>
<comments xmlns="http://schemas.openxmlformats.org/spreadsheetml/2006/main">
  <authors>
    <author>Philip Wormwell</author>
  </authors>
  <commentList>
    <comment ref="B2" authorId="0">
      <text>
        <r>
          <rPr>
            <b/>
            <sz val="8"/>
            <color indexed="81"/>
            <rFont val="Tahoma"/>
            <family val="2"/>
          </rPr>
          <t>Philip Wormwell:</t>
        </r>
        <r>
          <rPr>
            <sz val="8"/>
            <color indexed="81"/>
            <rFont val="Tahoma"/>
            <family val="2"/>
          </rPr>
          <t xml:space="preserve">
Net of Cangro</t>
        </r>
      </text>
    </comment>
    <comment ref="A13" authorId="0">
      <text>
        <r>
          <rPr>
            <b/>
            <sz val="8"/>
            <color indexed="81"/>
            <rFont val="Tahoma"/>
            <family val="2"/>
          </rPr>
          <t>Philip Wormwell:</t>
        </r>
        <r>
          <rPr>
            <sz val="8"/>
            <color indexed="81"/>
            <rFont val="Tahoma"/>
            <family val="2"/>
          </rPr>
          <t xml:space="preserve">
Need letter to OEB</t>
        </r>
      </text>
    </comment>
    <comment ref="B17" authorId="0">
      <text>
        <r>
          <rPr>
            <b/>
            <sz val="8"/>
            <color indexed="81"/>
            <rFont val="Tahoma"/>
            <family val="2"/>
          </rPr>
          <t>Philip Wormwell:</t>
        </r>
        <r>
          <rPr>
            <sz val="8"/>
            <color indexed="81"/>
            <rFont val="Tahoma"/>
            <family val="2"/>
          </rPr>
          <t xml:space="preserve">
Includes manual adjustment for Outlet Mall</t>
        </r>
      </text>
    </comment>
  </commentList>
</comments>
</file>

<file path=xl/comments4.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This is our current approved loss factor = 4.63%</t>
        </r>
      </text>
    </comment>
  </commentList>
</comments>
</file>

<file path=xl/comments5.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Proposed loss factor</t>
        </r>
      </text>
    </comment>
  </commentList>
</comments>
</file>

<file path=xl/comments6.xml><?xml version="1.0" encoding="utf-8"?>
<comments xmlns="http://schemas.openxmlformats.org/spreadsheetml/2006/main">
  <authors>
    <author>Philip Wormwell</author>
  </authors>
  <commentList>
    <comment ref="A8" authorId="0">
      <text>
        <r>
          <rPr>
            <b/>
            <sz val="8"/>
            <color indexed="81"/>
            <rFont val="Tahoma"/>
            <family val="2"/>
          </rPr>
          <t>Philip Wormwell:</t>
        </r>
        <r>
          <rPr>
            <sz val="8"/>
            <color indexed="81"/>
            <rFont val="Tahoma"/>
            <family val="2"/>
          </rPr>
          <t xml:space="preserve">
If Jan 1 on weekend, Stat is moved to Monday</t>
        </r>
      </text>
    </comment>
    <comment ref="A18" authorId="0">
      <text>
        <r>
          <rPr>
            <b/>
            <sz val="8"/>
            <color indexed="81"/>
            <rFont val="Tahoma"/>
            <family val="2"/>
          </rPr>
          <t>Philip Wormwell:</t>
        </r>
        <r>
          <rPr>
            <sz val="8"/>
            <color indexed="81"/>
            <rFont val="Tahoma"/>
            <family val="2"/>
          </rPr>
          <t xml:space="preserve">
Excludes Remembrance Day
</t>
        </r>
      </text>
    </comment>
    <comment ref="A19" authorId="0">
      <text>
        <r>
          <rPr>
            <b/>
            <sz val="8"/>
            <color indexed="81"/>
            <rFont val="Tahoma"/>
            <family val="2"/>
          </rPr>
          <t>Philip Wormwell:</t>
        </r>
        <r>
          <rPr>
            <sz val="8"/>
            <color indexed="81"/>
            <rFont val="Tahoma"/>
            <family val="2"/>
          </rPr>
          <t xml:space="preserve">
If 25th, 26th on weekend, Stats are moved to subsequent weekday(s)</t>
        </r>
      </text>
    </comment>
  </commentList>
</comments>
</file>

<file path=xl/comments7.xml><?xml version="1.0" encoding="utf-8"?>
<comments xmlns="http://schemas.openxmlformats.org/spreadsheetml/2006/main">
  <authors>
    <author>Philip Wormwell</author>
  </authors>
  <commentList>
    <comment ref="P58" authorId="0">
      <text>
        <r>
          <rPr>
            <b/>
            <sz val="8"/>
            <color indexed="81"/>
            <rFont val="Tahoma"/>
            <family val="2"/>
          </rPr>
          <t>Philip Wormwell:</t>
        </r>
        <r>
          <rPr>
            <sz val="8"/>
            <color indexed="81"/>
            <rFont val="Tahoma"/>
            <family val="2"/>
          </rPr>
          <t xml:space="preserve">
RRR revision revised 6276 to 6353 iincorrectly</t>
        </r>
      </text>
    </comment>
    <comment ref="S58" authorId="0">
      <text>
        <r>
          <rPr>
            <b/>
            <sz val="8"/>
            <color indexed="81"/>
            <rFont val="Tahoma"/>
            <family val="2"/>
          </rPr>
          <t>Philip Wormwell:</t>
        </r>
        <r>
          <rPr>
            <sz val="8"/>
            <color indexed="81"/>
            <rFont val="Tahoma"/>
            <family val="2"/>
          </rPr>
          <t xml:space="preserve">
From APPX 2.1.5</t>
        </r>
      </text>
    </comment>
    <comment ref="S78" authorId="0">
      <text>
        <r>
          <rPr>
            <b/>
            <sz val="8"/>
            <color indexed="81"/>
            <rFont val="Tahoma"/>
            <family val="2"/>
          </rPr>
          <t>Philip Wormwell:</t>
        </r>
        <r>
          <rPr>
            <sz val="8"/>
            <color indexed="81"/>
            <rFont val="Tahoma"/>
            <family val="2"/>
          </rPr>
          <t xml:space="preserve">
From APPX 2.1.5</t>
        </r>
      </text>
    </comment>
    <comment ref="V78" authorId="0">
      <text>
        <r>
          <rPr>
            <b/>
            <sz val="8"/>
            <color indexed="81"/>
            <rFont val="Tahoma"/>
            <family val="2"/>
          </rPr>
          <t>Philip Wormwell:</t>
        </r>
        <r>
          <rPr>
            <sz val="8"/>
            <color indexed="81"/>
            <rFont val="Tahoma"/>
            <family val="2"/>
          </rPr>
          <t xml:space="preserve">
16 customers switched to Residential as a result of rate class review</t>
        </r>
      </text>
    </comment>
    <comment ref="R92" authorId="0">
      <text>
        <r>
          <rPr>
            <b/>
            <sz val="8"/>
            <color indexed="81"/>
            <rFont val="Tahoma"/>
            <family val="2"/>
          </rPr>
          <t>Philip Wormwell:</t>
        </r>
        <r>
          <rPr>
            <sz val="8"/>
            <color indexed="81"/>
            <rFont val="Tahoma"/>
            <family val="2"/>
          </rPr>
          <t xml:space="preserve">
Overide. Must be error in RRR report</t>
        </r>
      </text>
    </comment>
    <comment ref="S98" authorId="0">
      <text>
        <r>
          <rPr>
            <b/>
            <sz val="8"/>
            <color indexed="81"/>
            <rFont val="Tahoma"/>
            <family val="2"/>
          </rPr>
          <t>Philip Wormwell:</t>
        </r>
        <r>
          <rPr>
            <sz val="8"/>
            <color indexed="81"/>
            <rFont val="Tahoma"/>
            <family val="2"/>
          </rPr>
          <t xml:space="preserve">
From APPX 2.1.5</t>
        </r>
      </text>
    </comment>
    <comment ref="R199" authorId="0">
      <text>
        <r>
          <rPr>
            <b/>
            <sz val="8"/>
            <color indexed="81"/>
            <rFont val="Tahoma"/>
            <family val="2"/>
          </rPr>
          <t>Philip Wormwell:</t>
        </r>
        <r>
          <rPr>
            <sz val="8"/>
            <color indexed="81"/>
            <rFont val="Tahoma"/>
            <family val="2"/>
          </rPr>
          <t xml:space="preserve">
From RRR backup</t>
        </r>
      </text>
    </comment>
    <comment ref="U216" authorId="0">
      <text>
        <r>
          <rPr>
            <b/>
            <sz val="8"/>
            <color indexed="81"/>
            <rFont val="Tahoma"/>
            <family val="2"/>
          </rPr>
          <t>Philip Wormwell:</t>
        </r>
        <r>
          <rPr>
            <sz val="8"/>
            <color indexed="81"/>
            <rFont val="Tahoma"/>
            <family val="2"/>
          </rPr>
          <t xml:space="preserve">
Missing. Assume same as Q2 and Q4</t>
        </r>
      </text>
    </comment>
    <comment ref="R219" authorId="0">
      <text>
        <r>
          <rPr>
            <b/>
            <sz val="8"/>
            <color indexed="81"/>
            <rFont val="Tahoma"/>
            <family val="2"/>
          </rPr>
          <t>Philip Wormwell:</t>
        </r>
        <r>
          <rPr>
            <sz val="8"/>
            <color indexed="81"/>
            <rFont val="Tahoma"/>
            <family val="2"/>
          </rPr>
          <t xml:space="preserve">
From RRR backup</t>
        </r>
      </text>
    </comment>
  </commentList>
</comments>
</file>

<file path=xl/comments8.xml><?xml version="1.0" encoding="utf-8"?>
<comments xmlns="http://schemas.openxmlformats.org/spreadsheetml/2006/main">
  <authors>
    <author>Philip Wormwell</author>
  </authors>
  <commentList>
    <comment ref="A1" authorId="0">
      <text>
        <r>
          <rPr>
            <b/>
            <sz val="8"/>
            <color indexed="81"/>
            <rFont val="Tahoma"/>
            <family val="2"/>
          </rPr>
          <t>Philip Wormwell:</t>
        </r>
        <r>
          <rPr>
            <sz val="8"/>
            <color indexed="81"/>
            <rFont val="Tahoma"/>
            <family val="2"/>
          </rPr>
          <t xml:space="preserve">
From Bruce</t>
        </r>
      </text>
    </comment>
  </commentList>
</comments>
</file>

<file path=xl/comments9.xml><?xml version="1.0" encoding="utf-8"?>
<comments xmlns="http://schemas.openxmlformats.org/spreadsheetml/2006/main">
  <authors>
    <author>Philip Wormwell</author>
  </authors>
  <commentList>
    <comment ref="W2" authorId="0">
      <text>
        <r>
          <rPr>
            <b/>
            <sz val="8"/>
            <color indexed="81"/>
            <rFont val="Tahoma"/>
            <family val="2"/>
          </rPr>
          <t>Philip Wormwell:</t>
        </r>
        <r>
          <rPr>
            <sz val="8"/>
            <color indexed="81"/>
            <rFont val="Tahoma"/>
            <family val="2"/>
          </rPr>
          <t xml:space="preserve">
Assume is increase in annual average rate</t>
        </r>
      </text>
    </comment>
    <comment ref="X19" authorId="0">
      <text>
        <r>
          <rPr>
            <b/>
            <sz val="8"/>
            <color indexed="81"/>
            <rFont val="Tahoma"/>
            <family val="2"/>
          </rPr>
          <t>Philip Wormwell:</t>
        </r>
        <r>
          <rPr>
            <sz val="8"/>
            <color indexed="81"/>
            <rFont val="Tahoma"/>
            <family val="2"/>
          </rPr>
          <t xml:space="preserve">
Want Q412x(r+r2+r3+r4)/4=2013 rate</t>
        </r>
      </text>
    </comment>
    <comment ref="W20" authorId="0">
      <text>
        <r>
          <rPr>
            <b/>
            <sz val="8"/>
            <color indexed="81"/>
            <rFont val="Tahoma"/>
            <family val="2"/>
          </rPr>
          <t>Philip Wormwell:</t>
        </r>
        <r>
          <rPr>
            <sz val="8"/>
            <color indexed="81"/>
            <rFont val="Tahoma"/>
            <family val="2"/>
          </rPr>
          <t xml:space="preserve">
Ratio to reconcile with average for year. Quadratic soultion assuming Q3=Q2xr and Q4=Q3xr</t>
        </r>
      </text>
    </comment>
    <comment ref="X20" authorId="0">
      <text>
        <r>
          <rPr>
            <b/>
            <sz val="8"/>
            <color indexed="81"/>
            <rFont val="Tahoma"/>
            <family val="2"/>
          </rPr>
          <t>Philip Wormwell:</t>
        </r>
        <r>
          <rPr>
            <sz val="8"/>
            <color indexed="81"/>
            <rFont val="Tahoma"/>
            <family val="2"/>
          </rPr>
          <t xml:space="preserve">
Iterate
</t>
        </r>
      </text>
    </comment>
    <comment ref="Y20" authorId="0">
      <text>
        <r>
          <rPr>
            <b/>
            <sz val="8"/>
            <color indexed="81"/>
            <rFont val="Tahoma"/>
            <family val="2"/>
          </rPr>
          <t>Philip Wormwell:</t>
        </r>
        <r>
          <rPr>
            <sz val="8"/>
            <color indexed="81"/>
            <rFont val="Tahoma"/>
            <family val="2"/>
          </rPr>
          <t xml:space="preserve">
Iterate
</t>
        </r>
      </text>
    </comment>
  </commentList>
</comments>
</file>

<file path=xl/sharedStrings.xml><?xml version="1.0" encoding="utf-8"?>
<sst xmlns="http://schemas.openxmlformats.org/spreadsheetml/2006/main" count="1348" uniqueCount="482">
  <si>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</si>
  <si>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</si>
  <si>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</si>
  <si>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</si>
  <si>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</si>
  <si>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</si>
  <si>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</si>
  <si>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</si>
  <si>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</si>
  <si>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</si>
  <si>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</si>
  <si>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</si>
  <si>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</si>
  <si>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</si>
  <si>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</si>
  <si>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</si>
  <si>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</si>
  <si>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</si>
  <si>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</si>
  <si>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</si>
  <si>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</si>
  <si>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</si>
  <si>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</si>
  <si>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</si>
  <si>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</si>
  <si>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</si>
  <si>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</si>
  <si>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</si>
  <si>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</si>
  <si>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</si>
  <si>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</si>
  <si>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</si>
  <si>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</si>
  <si>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</si>
  <si>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</si>
  <si>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</si>
  <si>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</si>
  <si>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</si>
  <si>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</si>
  <si>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</si>
  <si>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</si>
  <si>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</si>
  <si>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</si>
  <si>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</si>
  <si>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</si>
  <si>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</si>
  <si>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</si>
  <si>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</si>
  <si>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</si>
  <si>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</si>
  <si>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</si>
  <si>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</si>
  <si>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</si>
  <si>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</si>
  <si>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</si>
  <si>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</si>
  <si>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</si>
  <si>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</si>
  <si>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</si>
  <si>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</si>
  <si>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</si>
  <si>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</si>
  <si>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</si>
  <si>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</si>
  <si>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</si>
  <si>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</si>
  <si>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</si>
  <si>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</si>
  <si>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 xml:space="preserve">2009 Actual </t>
  </si>
  <si>
    <t xml:space="preserve">  Connections</t>
  </si>
  <si>
    <t>Total of Above</t>
  </si>
  <si>
    <t>Total from Model</t>
  </si>
  <si>
    <t>Check should all be zero</t>
  </si>
  <si>
    <t xml:space="preserve">2010 Actual </t>
  </si>
  <si>
    <t>CDM Activity</t>
  </si>
  <si>
    <t xml:space="preserve">2011 Actual </t>
  </si>
  <si>
    <t>2013 Weather Normal</t>
  </si>
  <si>
    <t>Number of Peak Hours</t>
  </si>
  <si>
    <t>Total Annual CDM Results</t>
  </si>
  <si>
    <t>Increase over previous year</t>
  </si>
  <si>
    <t>4 Year 2011 to 2014 target</t>
  </si>
  <si>
    <t>Check</t>
  </si>
  <si>
    <t>Jan</t>
  </si>
  <si>
    <t>Feb</t>
  </si>
  <si>
    <t>Mar</t>
  </si>
  <si>
    <t>Apr</t>
  </si>
  <si>
    <t>May</t>
  </si>
  <si>
    <t>Jun</t>
  </si>
  <si>
    <t>Jul</t>
  </si>
  <si>
    <t>Aug</t>
  </si>
  <si>
    <t>Sep</t>
  </si>
  <si>
    <t>Oct</t>
  </si>
  <si>
    <t>Nov</t>
  </si>
  <si>
    <t>Dec</t>
  </si>
  <si>
    <t xml:space="preserve">Residential </t>
  </si>
  <si>
    <t>General Service
&lt; 50 kW</t>
  </si>
  <si>
    <t>General Service
&gt; 50 kW</t>
  </si>
  <si>
    <t xml:space="preserve">Streetlights </t>
  </si>
  <si>
    <t>Sentinel Lights</t>
  </si>
  <si>
    <t xml:space="preserve">Unmetered Loads </t>
  </si>
  <si>
    <t>Total OPA Annual CDM Results (Gross)</t>
  </si>
  <si>
    <t>Total OPA Annual CDM Results (Net)</t>
  </si>
  <si>
    <t xml:space="preserve"> # Difference</t>
  </si>
  <si>
    <t xml:space="preserve"> % Difference of Net</t>
  </si>
  <si>
    <t>CDM</t>
  </si>
  <si>
    <t>Year</t>
  </si>
  <si>
    <t>Percent 
Change</t>
  </si>
  <si>
    <t>Customer/
Connection
Count</t>
  </si>
  <si>
    <t xml:space="preserve">Growth </t>
  </si>
  <si>
    <t>Percent 
Change
(%)</t>
  </si>
  <si>
    <t>2009 Board Approved</t>
  </si>
  <si>
    <t xml:space="preserve">2008 Actual </t>
  </si>
  <si>
    <t>2009 Actual</t>
  </si>
  <si>
    <t>Street Lighting</t>
  </si>
  <si>
    <t>Number of Customers/Connections</t>
  </si>
  <si>
    <t>Energy Usage per Customer/Connection (kWh per customer/connection)</t>
  </si>
  <si>
    <t>Annual Growth Rate in Usage per Customer/Connection</t>
  </si>
  <si>
    <t>2009 Board App. Vs. 2009 Actual</t>
  </si>
  <si>
    <t>OPA 2010 Final Results - kWh</t>
  </si>
  <si>
    <t>Statistic</t>
  </si>
  <si>
    <t>Value</t>
  </si>
  <si>
    <t>F Test</t>
  </si>
  <si>
    <t>T-stats by Coefficient</t>
  </si>
  <si>
    <t xml:space="preserve">Actual </t>
  </si>
  <si>
    <t xml:space="preserve">Predicted </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</si>
  <si>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</si>
  <si>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</si>
  <si>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</si>
  <si>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</si>
  <si>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</si>
  <si>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</si>
  <si>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</si>
  <si>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</si>
  <si>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</si>
  <si>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</si>
  <si>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</si>
  <si>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</si>
  <si>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</si>
  <si>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</si>
  <si>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</si>
  <si>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kWh</t>
  </si>
  <si>
    <t>kW where applicable</t>
  </si>
  <si>
    <t>Billed Annual kW</t>
  </si>
  <si>
    <t>Ratio of kW to kWh</t>
  </si>
  <si>
    <t>Predicted Billed kW</t>
  </si>
  <si>
    <t>2009 
Actual</t>
  </si>
  <si>
    <t>2010 
Actual</t>
  </si>
  <si>
    <t>2011 
Actual</t>
  </si>
  <si>
    <t>ACTUAL AND PREDICTED KWH PURCHASES</t>
  </si>
  <si>
    <t>% Difference of actual and predicted purchases</t>
  </si>
  <si>
    <t>BILLING DETERMINANTS BY CLASS</t>
  </si>
  <si>
    <t>Residential</t>
  </si>
  <si>
    <t>GS&lt;50</t>
  </si>
  <si>
    <t>GS&gt;50</t>
  </si>
  <si>
    <t>Sentinels</t>
  </si>
  <si>
    <t>USL</t>
  </si>
  <si>
    <t xml:space="preserve">2000 Actual </t>
  </si>
  <si>
    <t>Actual</t>
  </si>
  <si>
    <t>20 Year Trend</t>
  </si>
  <si>
    <t>Table 3-15: Average Net to Gross Percentage</t>
  </si>
  <si>
    <t>10  Year Avg</t>
  </si>
  <si>
    <t>TOTAL</t>
  </si>
  <si>
    <t xml:space="preserve">4730-Rural Rate Assistance </t>
  </si>
  <si>
    <t>4716-Charges-CN</t>
  </si>
  <si>
    <t>4714-Charges-NW</t>
  </si>
  <si>
    <t>4708-Charges-WMS</t>
  </si>
  <si>
    <t>4705-Power Purchased</t>
  </si>
  <si>
    <t>Class per Load Forecast</t>
  </si>
  <si>
    <t>Rural Rate Assistance</t>
  </si>
  <si>
    <t>Wholesale Market Service</t>
  </si>
  <si>
    <t>kW</t>
  </si>
  <si>
    <t>Metric</t>
  </si>
  <si>
    <t>Volume</t>
  </si>
  <si>
    <t>Transmission - Connection</t>
  </si>
  <si>
    <t>Transmission - Network</t>
  </si>
  <si>
    <t>Electricity - Commodity Non-RPP</t>
  </si>
  <si>
    <t>Class per Load Forecast RPP</t>
  </si>
  <si>
    <t>Electricity - Commodity RPP</t>
  </si>
  <si>
    <t>2013 Forecasted Metered kWhs</t>
  </si>
  <si>
    <t>2013  Loss Factor</t>
  </si>
  <si>
    <t xml:space="preserve"> Proposed Cost of Service Method</t>
  </si>
  <si>
    <t>Annual kWh at the Meter</t>
  </si>
  <si>
    <t xml:space="preserve">2012 Actual </t>
  </si>
  <si>
    <t>2014 Weather Normal</t>
  </si>
  <si>
    <t>______________ Weather Normal Load Forecast for 2014 Rate Application</t>
  </si>
  <si>
    <t>Annual kW for those classes that charge distribution volumetric charges on a kW basis</t>
  </si>
  <si>
    <t>2012 %RPP</t>
  </si>
  <si>
    <t>2014 Forecasted Metered kWhs</t>
  </si>
  <si>
    <t>2014  Loss Factor</t>
  </si>
  <si>
    <t xml:space="preserve"> </t>
  </si>
  <si>
    <t>Summary of Purchased kWh information</t>
  </si>
  <si>
    <t>Includes generated kWh (SOP, FIT, mFIT)</t>
  </si>
  <si>
    <t>Month</t>
  </si>
  <si>
    <t>January</t>
  </si>
  <si>
    <t>February</t>
  </si>
  <si>
    <t>March</t>
  </si>
  <si>
    <t>April</t>
  </si>
  <si>
    <t>June</t>
  </si>
  <si>
    <t>July</t>
  </si>
  <si>
    <t>August</t>
  </si>
  <si>
    <t>September</t>
  </si>
  <si>
    <t>October</t>
  </si>
  <si>
    <t>November</t>
  </si>
  <si>
    <t>December</t>
  </si>
  <si>
    <t>Sumcheck</t>
  </si>
  <si>
    <t xml:space="preserve">  </t>
  </si>
  <si>
    <t>Summary of Degree Day Information</t>
  </si>
  <si>
    <t>Summary of All Heating Degree Days</t>
  </si>
  <si>
    <t>Summary of All Cooling Degree Days</t>
  </si>
  <si>
    <t>Summary of CDM Activity Variable</t>
  </si>
  <si>
    <t>Summary of Calendar Information</t>
  </si>
  <si>
    <t>Per IESO definition - see Weekly Market Report 
November 28 - December 4, 2012</t>
  </si>
  <si>
    <t>Spring-Fall Flag</t>
  </si>
  <si>
    <t>Spring is Mar-May; Fall is Sep-Nov</t>
  </si>
  <si>
    <t>Defined as Jul-Sep</t>
  </si>
  <si>
    <t>Spring Flag</t>
  </si>
  <si>
    <t>Defined as Mar-May</t>
  </si>
  <si>
    <t>Fall Flag</t>
  </si>
  <si>
    <t>Defined as Sep-Nov</t>
  </si>
  <si>
    <t>Summary of Customer Information</t>
  </si>
  <si>
    <t>Sources: Hydro One rate applications</t>
  </si>
  <si>
    <t>Total customers</t>
  </si>
  <si>
    <t>Source: Rate applications</t>
  </si>
  <si>
    <t>1989 rate study</t>
  </si>
  <si>
    <t>2000 RUD model, excludes streetlights and sentinels. Also in 2002 rate application</t>
  </si>
  <si>
    <t>None available</t>
  </si>
  <si>
    <t>1990 rate study</t>
  </si>
  <si>
    <t>2002 rate application, excludes streetlights and sentinels.</t>
  </si>
  <si>
    <t>1991 rate study</t>
  </si>
  <si>
    <t xml:space="preserve">   </t>
  </si>
  <si>
    <t>1992 rate study</t>
  </si>
  <si>
    <t>1993 rate study</t>
  </si>
  <si>
    <t>1994 rate study</t>
  </si>
  <si>
    <t>1995 rate study</t>
  </si>
  <si>
    <t>1996 rate study</t>
  </si>
  <si>
    <t>1997 rate study</t>
  </si>
  <si>
    <t>These are estimated in the sources</t>
  </si>
  <si>
    <t>Sources: Hydro One, RUD, etc</t>
  </si>
  <si>
    <t>Sources:  Q1 2 3 and annual RRR submissions</t>
  </si>
  <si>
    <t>Number of Residential  Customers</t>
  </si>
  <si>
    <t>Number of GS&lt;50 Customers</t>
  </si>
  <si>
    <t>Number of GS&gt;50 Customers</t>
  </si>
  <si>
    <t>Number of Unmetered Scattered Load Customers</t>
  </si>
  <si>
    <t>Number of Streetlight Customers</t>
  </si>
  <si>
    <t>Number of Streetlight Connections</t>
  </si>
  <si>
    <t>Number of Sentinel Light Customers</t>
  </si>
  <si>
    <t>Summary of Population Information</t>
  </si>
  <si>
    <t>Source: Statistics Canada</t>
  </si>
  <si>
    <t>Per month</t>
  </si>
  <si>
    <t># of months</t>
  </si>
  <si>
    <t>Period</t>
  </si>
  <si>
    <t xml:space="preserve">Summary of Ontario GDP </t>
  </si>
  <si>
    <t>Min. of Finance Planning Projection</t>
  </si>
  <si>
    <t>Millions of chained (2002) dollars. Seasonally adjusted at annual rates</t>
  </si>
  <si>
    <t>Per cent increase in annual rate</t>
  </si>
  <si>
    <t>Sources: Table 3 - Ontario Economic Accounts: Second Quarter 2012; Also www.fin.gov.on.ca/en/economy/ecaccts/oea_hist.xls; 2012 Ontario Economic Outlook and Fiscal Review</t>
  </si>
  <si>
    <t>Checksum</t>
  </si>
  <si>
    <t>Q1</t>
  </si>
  <si>
    <t>Q2</t>
  </si>
  <si>
    <t>Q3</t>
  </si>
  <si>
    <t>Q4</t>
  </si>
  <si>
    <t>Average per Economic Accts</t>
  </si>
  <si>
    <t>Quarter Rate Assigned to last month of Quarter:</t>
  </si>
  <si>
    <t>Normalize to Dec 1997 rate</t>
  </si>
  <si>
    <t>Find prior Quarter to this Quarter Growth Rate:</t>
  </si>
  <si>
    <t>Find prior month to this month growth rate (Cube Root of Q to Q Growth Rate):</t>
  </si>
  <si>
    <t>Forecast</t>
  </si>
  <si>
    <t>Actual 2011 Results and Persistence</t>
  </si>
  <si>
    <t>Use for manual adjustment</t>
  </si>
  <si>
    <t>2014 Weather Normal - 10 year average</t>
  </si>
  <si>
    <t>2014 Weather Normal - 20 year trend</t>
  </si>
  <si>
    <t>2003-2012</t>
  </si>
  <si>
    <t>1993-2012</t>
  </si>
  <si>
    <t>DATA-Purchased Power</t>
  </si>
  <si>
    <t>From DATA Sheet:</t>
  </si>
  <si>
    <t>DATA-Degree Days</t>
  </si>
  <si>
    <t>DATA-Calendar</t>
  </si>
  <si>
    <t>Days in Month</t>
  </si>
  <si>
    <t>Peak Hours</t>
  </si>
  <si>
    <t>Summer Tourist Flag</t>
  </si>
  <si>
    <t>Population</t>
  </si>
  <si>
    <t>DATA-Customers</t>
  </si>
  <si>
    <t>DATA-Population</t>
  </si>
  <si>
    <t>Total Customers</t>
  </si>
  <si>
    <t>Purchased Kwh</t>
  </si>
  <si>
    <t>DATA-CDM</t>
  </si>
  <si>
    <t>DATA-GDP Qrtly Source</t>
  </si>
  <si>
    <t>DATA-GDP Annual Source</t>
  </si>
  <si>
    <t>DATA-Employment</t>
  </si>
  <si>
    <t>From Table 11 Exh 3 Tab 2 Sch 2 Page 18 of 29, EB-2008-0237</t>
  </si>
  <si>
    <t>Breakdown by class not available</t>
  </si>
  <si>
    <t>Total customers (main classes only)</t>
  </si>
  <si>
    <t>Number of USL Customers</t>
  </si>
  <si>
    <t>Not a class until 2009</t>
  </si>
  <si>
    <t>Source includes 2009 COS for 2002-2007 data</t>
  </si>
  <si>
    <t>RRR Connections did not separate streetlights from sentinel lights until 2009</t>
  </si>
  <si>
    <t>APPX data to here</t>
  </si>
  <si>
    <t>Active customer count reports</t>
  </si>
  <si>
    <t>ITM reports</t>
  </si>
  <si>
    <t>NS Active customer count reports</t>
  </si>
  <si>
    <t>Number of Customers or Connections at Year-End</t>
  </si>
  <si>
    <t>Summary of Employment Information</t>
  </si>
  <si>
    <t>St. Catharines-Niagara Employment seasonally adjusted (x1,000)</t>
  </si>
  <si>
    <t>St. Catharines-Niagara Employment unadjusted (x1,000)</t>
  </si>
  <si>
    <t>St. Catharines-Niagara Unemployment seasonally adjusted (x1,000)</t>
  </si>
  <si>
    <t>St. Catharines-Niagara Unemployment unadjusted (x1,000)</t>
  </si>
  <si>
    <t>Source: CANSIM 282-0116</t>
  </si>
  <si>
    <t>Local Employed-unadjusted (000s)</t>
  </si>
  <si>
    <t>Local Employed-seasonally adjusted (000s)</t>
  </si>
  <si>
    <t>Local Unemployed-seasonally adjusted (000s)</t>
  </si>
  <si>
    <t>Local Unemployed-unadjusted (000s)</t>
  </si>
  <si>
    <t>Source</t>
  </si>
  <si>
    <t>Cangro kW</t>
  </si>
  <si>
    <t>Same as 2009 COS (Exh 3, Tab 2 Table 18) which excludes CANGRO (Table 7)</t>
  </si>
  <si>
    <t>Total GS&gt;50 inc. Cangro</t>
  </si>
  <si>
    <t>RRR 2.1.5 (as amended by letter for 2010 and 2011)</t>
  </si>
  <si>
    <t>Summary of kW by class</t>
  </si>
  <si>
    <t>GS&gt;50 kW</t>
  </si>
  <si>
    <t>Streetlights</t>
  </si>
  <si>
    <t>Data not available</t>
  </si>
  <si>
    <t>No longer a rate class</t>
  </si>
  <si>
    <t>Adjusted for accruals</t>
  </si>
  <si>
    <t>GS&lt;50 (exc USL)</t>
  </si>
  <si>
    <t>Summary of kWh by class</t>
  </si>
  <si>
    <t>TOTALS</t>
  </si>
  <si>
    <t>Number of Sentinel light Connections</t>
  </si>
  <si>
    <t>Not a class</t>
  </si>
  <si>
    <t>Actual GWh</t>
  </si>
  <si>
    <t>Predicted GWh</t>
  </si>
  <si>
    <t>Actual kWh</t>
  </si>
  <si>
    <t>Predicted kWh</t>
  </si>
  <si>
    <t>Billed Energy (kWh) and Customer Count / Connections</t>
  </si>
  <si>
    <t>Billed (kWh)</t>
  </si>
  <si>
    <t>Growth 
(kWh)</t>
  </si>
  <si>
    <t>Billed Energy (kWh)</t>
  </si>
  <si>
    <t>2013 Bridge</t>
  </si>
  <si>
    <t>2014 Test</t>
  </si>
  <si>
    <t>2012 Actual</t>
  </si>
  <si>
    <t>Weather Normalization Percentage</t>
  </si>
  <si>
    <t>2014 (Not Normalized)</t>
  </si>
  <si>
    <t>2013 Non-Normalized Bridge</t>
  </si>
  <si>
    <t>2014 Non-Normalized Test</t>
  </si>
  <si>
    <t>Non-normalized Weather Billed Energy Forecast (kWh)</t>
  </si>
  <si>
    <t>Weather Adjustment (kWh)</t>
  </si>
  <si>
    <t>2014 Normalized Test</t>
  </si>
  <si>
    <t>2013 Normalized Bridge</t>
  </si>
  <si>
    <t>2012
Actual</t>
  </si>
  <si>
    <t xml:space="preserve">2013 Weather Normalized Bridge </t>
  </si>
  <si>
    <t>2014 Weather Normalized Test</t>
  </si>
  <si>
    <t>Ontario Real GDP Monthly (Q) %</t>
  </si>
  <si>
    <t>Row</t>
  </si>
  <si>
    <t>Col.</t>
  </si>
  <si>
    <t>c</t>
  </si>
  <si>
    <t>d</t>
  </si>
  <si>
    <t>i</t>
  </si>
  <si>
    <t>h</t>
  </si>
  <si>
    <t>m</t>
  </si>
  <si>
    <t>NOTL Hydro 4 Year 2011 to 2014 kWh target</t>
  </si>
  <si>
    <t>kWh savings from 2011 programs with persistent impact</t>
  </si>
  <si>
    <t>kWh savings from 2012 programs with persistent impact</t>
  </si>
  <si>
    <t>Weather Normalized Billed Energy Forecast (kWh)</t>
  </si>
  <si>
    <t>Checksums</t>
  </si>
  <si>
    <t>Estimated shares</t>
  </si>
  <si>
    <t>Res</t>
  </si>
  <si>
    <t>Street</t>
  </si>
  <si>
    <t>Sentinel</t>
  </si>
  <si>
    <t>f</t>
  </si>
  <si>
    <t>o</t>
  </si>
  <si>
    <t>Mean Absolute Percent Error</t>
  </si>
  <si>
    <t>Absolute Percent Error</t>
  </si>
  <si>
    <t>Purchased Energy (kWh)</t>
  </si>
  <si>
    <t>NON-normalized Weather Billed Energy Forecast (kWh)</t>
  </si>
  <si>
    <r>
      <t xml:space="preserve">Manual Adjustment to the Load Forecast from 2013 and 2014 Programs on a </t>
    </r>
    <r>
      <rPr>
        <strike/>
        <sz val="10"/>
        <rFont val="Arial"/>
        <family val="2"/>
      </rPr>
      <t>Gross</t>
    </r>
    <r>
      <rPr>
        <sz val="10"/>
        <rFont val="Arial"/>
        <family val="2"/>
      </rPr>
      <t xml:space="preserve"> Net Level</t>
    </r>
  </si>
  <si>
    <t>Gross</t>
  </si>
  <si>
    <t>Net</t>
  </si>
  <si>
    <t># of customers</t>
  </si>
  <si>
    <t>Manual Adjustment to the Load Forecast for new Outlet Mall in 2014</t>
  </si>
  <si>
    <t>Checksum vs Summary</t>
  </si>
  <si>
    <t>Checksum RC energy model</t>
  </si>
  <si>
    <t>New Outlet Mall</t>
  </si>
  <si>
    <t>Source:</t>
  </si>
  <si>
    <t>1988 to 2006: 2003 and 2008 Ontario Economic Outlook and Fiscal Review, Ontario Ministry of Finance</t>
  </si>
  <si>
    <t>2007 to 2008: 2010 Ontario Economic Outlook and Fiscal Review - 2010 Fall Update</t>
  </si>
  <si>
    <t>2009: 2012 Ontario Economic Outlook and Fiscal Review - 2012 Fall Update</t>
  </si>
  <si>
    <t>2010 - 2014: 2013 Ontario Budget</t>
  </si>
  <si>
    <t>Real Ontario GDP (chained $1997 with Base 100 in 1997)</t>
  </si>
  <si>
    <t>For App 2-L</t>
  </si>
  <si>
    <t># of months of operation in 2014</t>
  </si>
  <si>
    <t>Hrs in operation in 2014</t>
  </si>
  <si>
    <t>A</t>
  </si>
  <si>
    <t>B</t>
  </si>
  <si>
    <t>D</t>
  </si>
  <si>
    <t>Peak monthly Demand kW</t>
  </si>
  <si>
    <t>Average Monthly Demand kW</t>
  </si>
  <si>
    <t>ASSUMPTIONS</t>
  </si>
  <si>
    <t>C=8,760 x B/12</t>
  </si>
  <si>
    <t>Billed kW in 2014</t>
  </si>
  <si>
    <t>CALCULATIONS</t>
  </si>
  <si>
    <t>Billed kWH in 2014</t>
  </si>
  <si>
    <t>F=A x B</t>
  </si>
  <si>
    <t>G = E x C</t>
  </si>
  <si>
    <t>E=A x D</t>
  </si>
  <si>
    <t>FORECAST KWH AND KW</t>
  </si>
  <si>
    <t xml:space="preserve">ITERATION RESULT </t>
  </si>
  <si>
    <t>Want</t>
  </si>
  <si>
    <t>Is</t>
  </si>
  <si>
    <t>Class kw/kWh ratio</t>
  </si>
  <si>
    <t>From Rate Class Load Model</t>
  </si>
  <si>
    <r>
      <t xml:space="preserve">kw/kWh ratio </t>
    </r>
    <r>
      <rPr>
        <b/>
        <sz val="12"/>
        <color theme="3" tint="0.39997558519241921"/>
        <rFont val="Arial"/>
        <family val="2"/>
      </rPr>
      <t>ITERATE</t>
    </r>
  </si>
  <si>
    <t>Table 3.2.2: Summary of Load and Customer/Connection Forecast</t>
  </si>
  <si>
    <t>Table 3.2.3: Billed Energy and Number of Customers / Connections by Rate Class</t>
  </si>
  <si>
    <t>Table 3.2.4: Annual Usage per Customer/Connection by Rate Class</t>
  </si>
  <si>
    <t>Table 3.2.8: Historical Customer/Connection Data</t>
  </si>
  <si>
    <t>Table 3.2.9: Growth Rate in Customer/Connections</t>
  </si>
  <si>
    <t>Table 3.2.10: Customer/Connection Forecast</t>
  </si>
  <si>
    <t>Table 3.2.12: Growth Rate in Usage Per Customer/Connection</t>
  </si>
  <si>
    <t>Table 3.2.13: Forecast Annual kWh Usage per Customer/Connection</t>
  </si>
  <si>
    <t>Table 3.2.14: Non-normalized Weather Billed Energy Forecast (kWh)</t>
  </si>
  <si>
    <t>Table 3.2.15: Weather Sensitivity by Rate Class</t>
  </si>
  <si>
    <t>Table 3.2.16: Schedule to Achieve 4 Year kWh CDM Target</t>
  </si>
  <si>
    <t>Table 3.2.17: 2014 Expected Savings for LRAM Variance Account</t>
  </si>
  <si>
    <t xml:space="preserve">Table 3.2.18: Alignment of Non-normal to Weather Normal Forecast </t>
  </si>
  <si>
    <t>Table 3.2.19: Historical Annual kW per Applicable Rate Class</t>
  </si>
  <si>
    <t>Table 3.2.20: Historical kW/KWh Ratio per Applicable Rate Class</t>
  </si>
  <si>
    <t>Average 2003 to 2012</t>
  </si>
  <si>
    <t>Table 3.2.21: kW Forecast by Applicable Rate Class</t>
  </si>
  <si>
    <t>Table 3.2.22: Summary of Forecast</t>
  </si>
  <si>
    <t>Table 3.2.6: Statistical Results</t>
  </si>
  <si>
    <t xml:space="preserve">Table 3.2.7: Total System Purchases </t>
  </si>
  <si>
    <t>Table 3.2.11: Historical Annual Usage per Customer/Connection</t>
  </si>
  <si>
    <t>Manual Adjustments - CDM (kWh)</t>
  </si>
  <si>
    <t>Manual Adjustments - Outlet Mall (kWh)</t>
  </si>
  <si>
    <t>Ontario Real GDP Monthly (A) %</t>
  </si>
  <si>
    <t>2013 Load Forecast</t>
  </si>
  <si>
    <r>
      <rPr>
        <strike/>
        <sz val="8"/>
        <rFont val="Arial"/>
        <family val="2"/>
      </rPr>
      <t>Estimated</t>
    </r>
    <r>
      <rPr>
        <sz val="8"/>
        <rFont val="Arial"/>
        <family val="2"/>
      </rPr>
      <t xml:space="preserve"> Actual 2012 Results and Persistence </t>
    </r>
  </si>
  <si>
    <t>Estimated shares (per e-mail from VG 10 Sep 2013)</t>
  </si>
  <si>
    <t>assume same as 2012</t>
  </si>
  <si>
    <t>For Exhbit 3. Tab 2, Schedule 1</t>
  </si>
  <si>
    <t>From 2006-2010</t>
  </si>
  <si>
    <t>From 2011</t>
  </si>
  <si>
    <t>From 2012</t>
  </si>
  <si>
    <t>Table 3.2.5: 2011 Final Results and 2012 Final Results and Persistent Impacts
plus OPA 2010 Final Results and Persistent Impact</t>
  </si>
  <si>
    <t>Manual adjustments</t>
  </si>
  <si>
    <t>Checks</t>
  </si>
  <si>
    <t>2014 Load Forecast</t>
  </si>
  <si>
    <t>This is shares in 2014 of these years' programs</t>
  </si>
  <si>
    <t># of customers at year end 2014</t>
  </si>
  <si>
    <t>Total kWh in 2014</t>
  </si>
  <si>
    <t>Total kW in 2014</t>
  </si>
  <si>
    <t>The Outlet Collection at Niagara</t>
  </si>
  <si>
    <t># of customers at year start 2014</t>
  </si>
  <si>
    <t>Revenue at Existing Rates</t>
  </si>
  <si>
    <t>Fixed charge</t>
  </si>
  <si>
    <t>Varaiable charge</t>
  </si>
  <si>
    <t>Revenue</t>
  </si>
  <si>
    <t>Variable charge</t>
  </si>
  <si>
    <t>Existing Rates</t>
  </si>
  <si>
    <t>`</t>
  </si>
  <si>
    <t>FIT / RESOP Generators</t>
  </si>
  <si>
    <t># billed at year start 2013</t>
  </si>
  <si>
    <t># billed at year end 2013</t>
  </si>
  <si>
    <t># billed at year end 2014</t>
  </si>
  <si>
    <t>FIT</t>
  </si>
  <si>
    <t>RESOP not in Series</t>
  </si>
  <si>
    <t>Total Manual adjustment</t>
  </si>
  <si>
    <t>Change from 2009 to 2014</t>
  </si>
  <si>
    <t>% Change</t>
  </si>
  <si>
    <t>All Classes average</t>
  </si>
  <si>
    <t>Main Classes average</t>
  </si>
  <si>
    <t>Main Classes Total</t>
  </si>
  <si>
    <t>Total to 2012</t>
  </si>
  <si>
    <t>Weather Normalized:</t>
  </si>
  <si>
    <t>Not Weather Normalized:</t>
  </si>
  <si>
    <t>Table 3.2.11a: Historical and Forecast Annual Usage per Customer/Connection (Weather normalized if applicable)</t>
  </si>
  <si>
    <t>4751 IESO SME Charges</t>
  </si>
  <si>
    <t>2013 Bridge Year SMEC Impact</t>
  </si>
  <si>
    <t>2011 YEAR BOOK</t>
  </si>
  <si>
    <t>Residential #</t>
  </si>
  <si>
    <t>GS&lt;50 #</t>
  </si>
  <si>
    <t>Rate per month</t>
  </si>
  <si>
    <t>2014 Test Year SMEC Impact</t>
  </si>
  <si>
    <t>2012 YEAR 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</si>
</sst>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
    <numFmt numFmtId="171" formatCode="_(* #,##0_);_(* \(#,##0\);_(* &quot;-&quot;??_);_(@_)"/>
    <numFmt numFmtId="172" formatCode="0.0"/>
    <numFmt numFmtId="173" formatCode="_-* #,##0_-;\-* #,##0_-;_-* &quot;-&quot;??_-;_-@_-"/>
    <numFmt numFmtId="174" formatCode="#,##0.000"/>
    <numFmt numFmtId="175" formatCode="0.0;\(0.0\)"/>
    <numFmt numFmtId="176" formatCode="0.0%;\(0.0%\)"/>
    <numFmt numFmtId="177" formatCode="0;\(0\)"/>
    <numFmt numFmtId="178" formatCode="#,##0.0;\(#,##0.0\)"/>
    <numFmt numFmtId="179" formatCode="0.0000%;\(0.0%\)"/>
    <numFmt numFmtId="180" formatCode="#,##0.00000_);\(#,##0.00000\)"/>
    <numFmt numFmtId="181" formatCode="&quot;$&quot;#,##0.0000_);\(&quot;$&quot;#,##0.0000\)"/>
    <numFmt numFmtId="182" formatCode="#,##0.0000_);\(#,##0.0000\)"/>
    <numFmt numFmtId="183" formatCode="&quot;$&quot;#,##0.00000_);\(&quot;$&quot;#,##0.00000\)"/>
    <numFmt numFmtId="184" formatCode="_(* #,##0.000000_);_(* \(#,##0.000000\);_(* &quot;-&quot;??_);_(@_)"/>
    <numFmt numFmtId="185" formatCode="_(* #,##0.0000_);_(* \(#,##0.0000\);_(* &quot;-&quot;??_);_(@_)"/>
    <numFmt numFmtId="186" formatCode="#,##0.000000"/>
    <numFmt numFmtId="187" formatCode="_(* #,##0.0_);_(* \(#,##0.0\);_(* &quot;-&quot;??_);_(@_)"/>
    <numFmt numFmtId="188" formatCode="0.000%"/>
    <numFmt numFmtId="189" formatCode="0.000000%"/>
    <numFmt numFmtId="190" formatCode="0.00000%"/>
    <numFmt numFmtId="191" formatCode="_(* #,##0.00_);_(* \(#,##0.00\);_(* &quot;-&quot;_);_(@_)"/>
    <numFmt numFmtId="192" formatCode="_-&quot;$&quot;* #,##0_-;\-&quot;$&quot;* #,##0_-;_-&quot;$&quot;* &quot;-&quot;??_-;_-@_-"/>
  </numFmts>
  <fonts count="50" x14ac:knownFonts="1">
    <font>
      <sz val="10"/>
      <name val="Arial"/>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name val="Arial"/>
      <family val="2"/>
    </font>
    <font>
      <b/>
      <sz val="11"/>
      <name val="Arial"/>
      <family val="2"/>
    </font>
    <font>
      <sz val="11"/>
      <name val="Arial"/>
      <family val="2"/>
    </font>
    <font>
      <sz val="12"/>
      <name val="Arial"/>
      <family val="2"/>
    </font>
    <font>
      <sz val="11"/>
      <name val="Arial"/>
      <family val="2"/>
    </font>
    <font>
      <sz val="10"/>
      <name val="Times New Roman"/>
      <family val="1"/>
    </font>
    <font>
      <sz val="9"/>
      <name val="Arial"/>
      <family val="2"/>
    </font>
    <font>
      <b/>
      <i/>
      <u/>
      <sz val="10"/>
      <name val="Arial"/>
      <family val="2"/>
    </font>
    <font>
      <sz val="11"/>
      <color rgb="FF3F3F76"/>
      <name val="Calibri"/>
      <family val="2"/>
      <scheme val="minor"/>
    </font>
    <font>
      <sz val="10"/>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i/>
      <sz val="8"/>
      <name val="Arial"/>
      <family val="2"/>
    </font>
    <font>
      <b/>
      <sz val="8"/>
      <name val="Arial"/>
      <family val="2"/>
    </font>
    <font>
      <b/>
      <u/>
      <sz val="8"/>
      <name val="Arial"/>
      <family val="2"/>
    </font>
    <font>
      <i/>
      <sz val="11"/>
      <color theme="1"/>
      <name val="Calibri"/>
      <family val="2"/>
      <scheme val="minor"/>
    </font>
    <font>
      <sz val="8"/>
      <color theme="1"/>
      <name val="Arial"/>
      <family val="2"/>
    </font>
    <font>
      <sz val="8"/>
      <color theme="1"/>
      <name val="Calibri"/>
      <family val="2"/>
      <scheme val="minor"/>
    </font>
    <font>
      <b/>
      <sz val="8"/>
      <color theme="1"/>
      <name val="Calibri"/>
      <family val="2"/>
      <scheme val="minor"/>
    </font>
    <font>
      <sz val="8"/>
      <color rgb="FF3F3F76"/>
      <name val="Calibri"/>
      <family val="2"/>
      <scheme val="minor"/>
    </font>
    <font>
      <sz val="7"/>
      <color theme="1"/>
      <name val="Calibri"/>
      <family val="2"/>
      <scheme val="minor"/>
    </font>
    <font>
      <b/>
      <sz val="8"/>
      <color indexed="81"/>
      <name val="Tahoma"/>
      <family val="2"/>
    </font>
    <font>
      <sz val="8"/>
      <color indexed="81"/>
      <name val="Tahoma"/>
      <family val="2"/>
    </font>
    <font>
      <sz val="8"/>
      <color rgb="FF3F3F76"/>
      <name val="Arial"/>
      <family val="2"/>
    </font>
    <font>
      <b/>
      <i/>
      <sz val="11"/>
      <color rgb="FFFA7D00"/>
      <name val="Calibri"/>
      <family val="2"/>
      <scheme val="minor"/>
    </font>
    <font>
      <i/>
      <u/>
      <sz val="8"/>
      <name val="Arial"/>
      <family val="2"/>
    </font>
    <font>
      <sz val="8"/>
      <color rgb="FF9C0006"/>
      <name val="Arial"/>
      <family val="2"/>
    </font>
    <font>
      <i/>
      <sz val="8"/>
      <name val="Calibri"/>
      <family val="2"/>
      <scheme val="minor"/>
    </font>
    <font>
      <sz val="8"/>
      <name val="Calibri"/>
      <family val="2"/>
      <scheme val="minor"/>
    </font>
    <font>
      <i/>
      <sz val="11"/>
      <name val="Arial"/>
      <family val="2"/>
    </font>
    <font>
      <i/>
      <sz val="10"/>
      <name val="Calibri"/>
      <family val="2"/>
      <scheme val="minor"/>
    </font>
    <font>
      <i/>
      <sz val="11"/>
      <name val="Calibri"/>
      <family val="2"/>
      <scheme val="minor"/>
    </font>
    <font>
      <sz val="11"/>
      <name val="Calibri"/>
      <family val="2"/>
      <scheme val="minor"/>
    </font>
    <font>
      <strike/>
      <sz val="10"/>
      <name val="Arial"/>
      <family val="2"/>
    </font>
    <font>
      <b/>
      <sz val="11"/>
      <color rgb="FF3F3F3F"/>
      <name val="Calibri"/>
      <family val="2"/>
      <scheme val="minor"/>
    </font>
    <font>
      <b/>
      <sz val="12"/>
      <color theme="3" tint="0.39997558519241921"/>
      <name val="Arial"/>
      <family val="2"/>
    </font>
    <font>
      <strike/>
      <sz val="8"/>
      <name val="Arial"/>
      <family val="2"/>
    </font>
    <font>
      <sz val="10"/>
      <name val="Arial"/>
      <family val="2"/>
    </font>
  </fonts>
  <fills count="2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0" fontId="3" fillId="0" borderId="0"/>
    <xf numFmtId="0" fontId="12" fillId="0" borderId="0"/>
    <xf numFmtId="0" fontId="1" fillId="4" borderId="19" applyNumberFormat="0" applyFont="0" applyAlignment="0" applyProtection="0"/>
    <xf numFmtId="9" fontId="2" fillId="0" borderId="0" applyFont="0" applyFill="0" applyBorder="0" applyAlignment="0" applyProtection="0"/>
    <xf numFmtId="0" fontId="17" fillId="6" borderId="30" applyNumberFormat="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0" applyNumberFormat="0" applyAlignment="0" applyProtection="0"/>
    <xf numFmtId="0" fontId="18" fillId="4" borderId="19" applyNumberFormat="0" applyFont="0" applyAlignment="0" applyProtection="0"/>
    <xf numFmtId="0" fontId="23" fillId="0" borderId="0" applyNumberFormat="0" applyFill="0" applyBorder="0" applyAlignment="0" applyProtection="0"/>
    <xf numFmtId="43" fontId="2" fillId="0" borderId="0" applyFont="0" applyFill="0" applyBorder="0" applyAlignment="0" applyProtection="0"/>
    <xf numFmtId="44" fontId="49" fillId="0" borderId="0" applyFont="0" applyFill="0" applyBorder="0" applyAlignment="0" applyProtection="0"/>
  </cellStyleXfs>
  <cellXfs count="800">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7" fontId="3" fillId="0" borderId="0" xfId="0" applyNumberFormat="1" applyFont="1"/>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3" fillId="2" borderId="1" xfId="0" applyNumberFormat="1" applyFont="1" applyFill="1" applyBorder="1" applyAlignment="1">
      <alignment horizontal="center"/>
    </xf>
    <xf numFmtId="17" fontId="0" fillId="0" borderId="0" xfId="0" applyNumberFormat="1" applyFill="1"/>
    <xf numFmtId="0" fontId="0" fillId="0" borderId="0" xfId="0" applyFill="1"/>
    <xf numFmtId="4" fontId="4" fillId="0" borderId="0" xfId="0" applyNumberFormat="1" applyFont="1" applyAlignment="1">
      <alignment horizontal="center" wrapText="1"/>
    </xf>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5" fontId="0" fillId="0" borderId="0" xfId="0" applyNumberFormat="1" applyAlignment="1">
      <alignment horizontal="center" wrapText="1"/>
    </xf>
    <xf numFmtId="0" fontId="5" fillId="0" borderId="0" xfId="0" applyFont="1" applyAlignment="1">
      <alignment horizontal="center" wrapText="1"/>
    </xf>
    <xf numFmtId="37" fontId="0" fillId="0" borderId="0" xfId="0" applyNumberFormat="1" applyAlignment="1">
      <alignment horizontal="center"/>
    </xf>
    <xf numFmtId="3" fontId="8" fillId="0" borderId="0" xfId="0" applyNumberFormat="1" applyFont="1" applyAlignment="1">
      <alignment horizontal="center"/>
    </xf>
    <xf numFmtId="0" fontId="0" fillId="0" borderId="0" xfId="0" applyFill="1" applyAlignment="1">
      <alignment horizontal="left"/>
    </xf>
    <xf numFmtId="0" fontId="2" fillId="0" borderId="0" xfId="0" applyFont="1" applyFill="1"/>
    <xf numFmtId="167"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0" fontId="7" fillId="0" borderId="3" xfId="0" applyFont="1" applyFill="1" applyBorder="1" applyAlignment="1">
      <alignment horizontal="centerContinuous"/>
    </xf>
    <xf numFmtId="166" fontId="0" fillId="2" borderId="0" xfId="0" applyNumberFormat="1" applyFill="1" applyAlignment="1">
      <alignment horizontal="center"/>
    </xf>
    <xf numFmtId="10" fontId="0" fillId="3" borderId="0" xfId="0" applyNumberFormat="1" applyFill="1" applyAlignment="1">
      <alignment horizontal="center"/>
    </xf>
    <xf numFmtId="3" fontId="0" fillId="0" borderId="0" xfId="0" applyNumberFormat="1" applyFill="1" applyAlignment="1">
      <alignment horizontal="center" wrapText="1"/>
    </xf>
    <xf numFmtId="3" fontId="0" fillId="0" borderId="0" xfId="1" applyNumberFormat="1" applyFont="1" applyAlignment="1">
      <alignment horizontal="center"/>
    </xf>
    <xf numFmtId="3" fontId="0" fillId="0" borderId="0" xfId="0" applyNumberFormat="1" applyBorder="1" applyAlignment="1">
      <alignment horizontal="center"/>
    </xf>
    <xf numFmtId="0" fontId="0" fillId="0" borderId="1" xfId="0" applyBorder="1" applyAlignment="1">
      <alignment horizontal="center"/>
    </xf>
    <xf numFmtId="3" fontId="2" fillId="0" borderId="0" xfId="0" applyNumberFormat="1" applyFont="1" applyFill="1" applyAlignment="1">
      <alignment horizontal="center"/>
    </xf>
    <xf numFmtId="3" fontId="0" fillId="0" borderId="1" xfId="0" applyNumberFormat="1" applyBorder="1" applyAlignment="1">
      <alignment horizontal="center"/>
    </xf>
    <xf numFmtId="171" fontId="0" fillId="0" borderId="0" xfId="0" applyNumberFormat="1"/>
    <xf numFmtId="3" fontId="0" fillId="0" borderId="0" xfId="0" applyNumberFormat="1"/>
    <xf numFmtId="165" fontId="0" fillId="0" borderId="1" xfId="0" applyNumberFormat="1" applyBorder="1" applyAlignment="1">
      <alignment horizontal="center"/>
    </xf>
    <xf numFmtId="165" fontId="0" fillId="0" borderId="1" xfId="0" applyNumberFormat="1" applyBorder="1"/>
    <xf numFmtId="3" fontId="0" fillId="0" borderId="1" xfId="0" applyNumberFormat="1" applyBorder="1"/>
    <xf numFmtId="10" fontId="0" fillId="0" borderId="0" xfId="13" applyNumberFormat="1" applyFont="1" applyAlignment="1">
      <alignment horizontal="center"/>
    </xf>
    <xf numFmtId="43" fontId="0" fillId="0" borderId="0" xfId="1" applyFont="1" applyFill="1" applyBorder="1" applyAlignment="1"/>
    <xf numFmtId="0" fontId="11" fillId="0" borderId="0" xfId="0" applyFont="1"/>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11" applyFont="1" applyFill="1" applyBorder="1" applyAlignment="1">
      <alignment horizontal="left" vertical="center"/>
    </xf>
    <xf numFmtId="0" fontId="10" fillId="0" borderId="12" xfId="11" applyFont="1" applyFill="1" applyBorder="1" applyAlignment="1">
      <alignment horizontal="center" vertical="center"/>
    </xf>
    <xf numFmtId="0" fontId="10" fillId="0" borderId="1"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1"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170" fontId="13" fillId="0" borderId="1" xfId="1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1" fillId="0" borderId="0" xfId="0" applyFont="1" applyFill="1"/>
    <xf numFmtId="177" fontId="13" fillId="0" borderId="1" xfId="0" applyNumberFormat="1" applyFont="1" applyFill="1" applyBorder="1" applyAlignment="1">
      <alignment horizontal="center" vertical="center"/>
    </xf>
    <xf numFmtId="0" fontId="10" fillId="0" borderId="13" xfId="0" applyFont="1" applyFill="1" applyBorder="1" applyAlignment="1">
      <alignment vertical="center" wrapText="1"/>
    </xf>
    <xf numFmtId="0" fontId="10" fillId="0" borderId="12" xfId="0" applyFont="1" applyFill="1" applyBorder="1" applyAlignment="1">
      <alignment vertical="center" wrapText="1"/>
    </xf>
    <xf numFmtId="0" fontId="10" fillId="0" borderId="0" xfId="0" applyFont="1" applyFill="1"/>
    <xf numFmtId="0" fontId="10" fillId="0" borderId="0" xfId="0" applyFont="1"/>
    <xf numFmtId="176"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3" fillId="0" borderId="0" xfId="0" applyFont="1" applyFill="1" applyAlignment="1">
      <alignment vertical="center"/>
    </xf>
    <xf numFmtId="0" fontId="10" fillId="0" borderId="1" xfId="11" applyFont="1" applyFill="1" applyBorder="1" applyAlignment="1">
      <alignment horizontal="left" vertical="center"/>
    </xf>
    <xf numFmtId="0" fontId="10" fillId="0" borderId="1" xfId="11" applyFont="1" applyFill="1" applyBorder="1" applyAlignment="1">
      <alignment horizontal="center" vertical="center"/>
    </xf>
    <xf numFmtId="3"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1" fillId="0" borderId="1" xfId="0" applyFont="1" applyBorder="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0" xfId="0" applyFont="1"/>
    <xf numFmtId="3" fontId="13" fillId="0" borderId="1" xfId="10"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vertical="center" wrapText="1"/>
    </xf>
    <xf numFmtId="3" fontId="11" fillId="0" borderId="0" xfId="0" applyNumberFormat="1" applyFont="1"/>
    <xf numFmtId="0" fontId="13" fillId="0" borderId="1" xfId="0" applyFont="1" applyFill="1" applyBorder="1" applyAlignment="1">
      <alignment vertical="center"/>
    </xf>
    <xf numFmtId="0" fontId="10" fillId="0" borderId="1" xfId="0" applyFont="1" applyFill="1" applyBorder="1" applyAlignment="1">
      <alignment horizontal="left" vertical="center" wrapText="1"/>
    </xf>
    <xf numFmtId="3" fontId="10" fillId="0" borderId="1" xfId="1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67" fontId="10" fillId="0" borderId="0" xfId="0" applyNumberFormat="1" applyFont="1" applyAlignment="1">
      <alignment horizontal="center"/>
    </xf>
    <xf numFmtId="165" fontId="10" fillId="0" borderId="0" xfId="13" applyNumberFormat="1" applyFont="1"/>
    <xf numFmtId="176" fontId="13" fillId="0" borderId="0" xfId="0" applyNumberFormat="1" applyFont="1" applyFill="1" applyBorder="1" applyAlignment="1">
      <alignment horizontal="left" vertical="center"/>
    </xf>
    <xf numFmtId="165" fontId="0" fillId="0" borderId="1" xfId="0" applyNumberFormat="1" applyFill="1" applyBorder="1" applyAlignment="1">
      <alignment horizontal="center"/>
    </xf>
    <xf numFmtId="172" fontId="13" fillId="0" borderId="1" xfId="10" applyNumberFormat="1" applyFont="1" applyFill="1" applyBorder="1" applyAlignment="1">
      <alignment horizontal="center" vertical="center"/>
    </xf>
    <xf numFmtId="176" fontId="13" fillId="0" borderId="13" xfId="10" applyNumberFormat="1" applyFont="1" applyFill="1" applyBorder="1" applyAlignment="1">
      <alignment horizontal="center" vertical="center"/>
    </xf>
    <xf numFmtId="0" fontId="10" fillId="0" borderId="13" xfId="0" applyFont="1" applyFill="1" applyBorder="1" applyAlignment="1">
      <alignment horizontal="left" vertical="center" wrapText="1"/>
    </xf>
    <xf numFmtId="176" fontId="10" fillId="0" borderId="13" xfId="10" applyNumberFormat="1" applyFont="1" applyFill="1" applyBorder="1" applyAlignment="1">
      <alignment horizontal="center" vertical="center"/>
    </xf>
    <xf numFmtId="3"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xf>
    <xf numFmtId="0" fontId="10" fillId="0" borderId="0" xfId="0" applyFont="1" applyFill="1" applyBorder="1" applyAlignment="1">
      <alignment vertical="center"/>
    </xf>
    <xf numFmtId="170" fontId="10" fillId="0" borderId="0" xfId="0" applyNumberFormat="1" applyFont="1" applyFill="1" applyBorder="1" applyAlignment="1">
      <alignment horizontal="center" vertical="center" wrapText="1"/>
    </xf>
    <xf numFmtId="165" fontId="10" fillId="0" borderId="0" xfId="13" applyNumberFormat="1" applyFont="1" applyFill="1" applyBorder="1" applyAlignment="1">
      <alignment vertical="center"/>
    </xf>
    <xf numFmtId="178" fontId="10" fillId="0" borderId="0" xfId="0"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2" fillId="0" borderId="1" xfId="0" applyFont="1" applyBorder="1"/>
    <xf numFmtId="0" fontId="10" fillId="0" borderId="1" xfId="11" applyFont="1" applyFill="1" applyBorder="1" applyAlignment="1">
      <alignment vertical="center"/>
    </xf>
    <xf numFmtId="179" fontId="13"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3" fontId="10" fillId="0" borderId="0" xfId="0" applyNumberFormat="1"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13" fillId="0" borderId="1" xfId="0" applyFont="1" applyBorder="1"/>
    <xf numFmtId="176" fontId="10" fillId="0" borderId="1" xfId="10" applyNumberFormat="1" applyFont="1" applyFill="1" applyBorder="1" applyAlignment="1">
      <alignment horizontal="center" vertical="center"/>
    </xf>
    <xf numFmtId="176" fontId="13" fillId="0" borderId="1" xfId="10" applyNumberFormat="1" applyFont="1" applyFill="1" applyBorder="1" applyAlignment="1">
      <alignment horizontal="center"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vertical="center"/>
    </xf>
    <xf numFmtId="3" fontId="13" fillId="0" borderId="1" xfId="0" applyNumberFormat="1" applyFont="1" applyBorder="1" applyAlignment="1">
      <alignment horizontal="center"/>
    </xf>
    <xf numFmtId="0" fontId="13" fillId="0" borderId="11" xfId="0" applyFont="1" applyBorder="1"/>
    <xf numFmtId="0" fontId="13" fillId="0" borderId="13" xfId="0"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171" fontId="0" fillId="0" borderId="0" xfId="1" applyNumberFormat="1" applyFont="1" applyFill="1" applyBorder="1" applyAlignment="1"/>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170" fontId="10" fillId="0" borderId="16" xfId="10" applyNumberFormat="1" applyFont="1" applyFill="1" applyBorder="1" applyAlignment="1">
      <alignment horizontal="center" vertical="center"/>
    </xf>
    <xf numFmtId="175" fontId="10" fillId="0" borderId="16" xfId="0" applyNumberFormat="1" applyFont="1" applyFill="1" applyBorder="1" applyAlignment="1">
      <alignment horizontal="center" vertical="center"/>
    </xf>
    <xf numFmtId="176"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7" fontId="10" fillId="0" borderId="16" xfId="0" applyNumberFormat="1" applyFont="1" applyFill="1" applyBorder="1" applyAlignment="1">
      <alignment horizontal="center" vertical="center"/>
    </xf>
    <xf numFmtId="0" fontId="10" fillId="0" borderId="1" xfId="0" applyFont="1" applyBorder="1"/>
    <xf numFmtId="0" fontId="2" fillId="0" borderId="0" xfId="0" applyFont="1" applyAlignment="1">
      <alignment horizontal="center" wrapText="1"/>
    </xf>
    <xf numFmtId="3" fontId="2" fillId="0" borderId="0" xfId="0" applyNumberFormat="1" applyFont="1" applyAlignment="1">
      <alignment horizontal="center" wrapText="1"/>
    </xf>
    <xf numFmtId="37" fontId="0" fillId="0" borderId="0" xfId="0" applyNumberFormat="1"/>
    <xf numFmtId="176" fontId="11" fillId="0" borderId="0" xfId="0" applyNumberFormat="1" applyFont="1"/>
    <xf numFmtId="170" fontId="10" fillId="0" borderId="0" xfId="0" applyNumberFormat="1" applyFont="1"/>
    <xf numFmtId="169" fontId="11" fillId="0" borderId="0" xfId="0" applyNumberFormat="1" applyFont="1"/>
    <xf numFmtId="174" fontId="0" fillId="0" borderId="0" xfId="0" applyNumberFormat="1" applyAlignment="1">
      <alignment horizontal="center"/>
    </xf>
    <xf numFmtId="0" fontId="0" fillId="0" borderId="0" xfId="0" applyAlignment="1">
      <alignment horizontal="center"/>
    </xf>
    <xf numFmtId="1" fontId="9" fillId="0" borderId="0" xfId="0" applyNumberFormat="1" applyFont="1" applyAlignment="1">
      <alignment horizontal="center"/>
    </xf>
    <xf numFmtId="37" fontId="5" fillId="0" borderId="1" xfId="0" applyNumberFormat="1" applyFont="1" applyBorder="1"/>
    <xf numFmtId="0" fontId="5" fillId="0" borderId="11" xfId="0" applyFont="1" applyBorder="1"/>
    <xf numFmtId="0" fontId="0" fillId="0" borderId="17" xfId="0" applyBorder="1"/>
    <xf numFmtId="5" fontId="0" fillId="0" borderId="20" xfId="0" applyNumberFormat="1" applyBorder="1"/>
    <xf numFmtId="5" fontId="0" fillId="0" borderId="20" xfId="0" applyNumberFormat="1" applyFill="1" applyBorder="1"/>
    <xf numFmtId="37" fontId="0" fillId="0" borderId="21" xfId="0" applyNumberFormat="1" applyBorder="1"/>
    <xf numFmtId="0" fontId="0" fillId="0" borderId="15" xfId="0" applyBorder="1"/>
    <xf numFmtId="0" fontId="5" fillId="0" borderId="13" xfId="0" applyFont="1" applyBorder="1" applyAlignment="1">
      <alignment horizontal="center"/>
    </xf>
    <xf numFmtId="5" fontId="5" fillId="0" borderId="1" xfId="0" applyNumberFormat="1" applyFont="1" applyBorder="1"/>
    <xf numFmtId="180" fontId="0" fillId="0" borderId="1" xfId="0" applyNumberFormat="1" applyBorder="1"/>
    <xf numFmtId="0" fontId="5" fillId="0" borderId="1" xfId="0" applyFont="1" applyBorder="1"/>
    <xf numFmtId="0" fontId="5" fillId="0" borderId="1" xfId="0" applyFont="1" applyBorder="1" applyAlignment="1">
      <alignment horizontal="left" indent="1"/>
    </xf>
    <xf numFmtId="5" fontId="0" fillId="0" borderId="1" xfId="0" applyNumberFormat="1" applyBorder="1"/>
    <xf numFmtId="37" fontId="0" fillId="0" borderId="1" xfId="0" applyNumberFormat="1" applyBorder="1"/>
    <xf numFmtId="182" fontId="0" fillId="0" borderId="1" xfId="0" applyNumberFormat="1" applyBorder="1" applyAlignment="1">
      <alignment horizontal="center"/>
    </xf>
    <xf numFmtId="3" fontId="0" fillId="0" borderId="20" xfId="0" applyNumberFormat="1" applyBorder="1"/>
    <xf numFmtId="0" fontId="5" fillId="0" borderId="24" xfId="0" applyFont="1" applyBorder="1" applyAlignment="1">
      <alignment horizontal="center"/>
    </xf>
    <xf numFmtId="0" fontId="5" fillId="0" borderId="22" xfId="0" applyNumberFormat="1" applyFont="1" applyBorder="1" applyAlignment="1">
      <alignment horizontal="center"/>
    </xf>
    <xf numFmtId="0" fontId="5" fillId="0" borderId="25" xfId="0" applyFont="1" applyBorder="1"/>
    <xf numFmtId="0" fontId="5" fillId="0" borderId="16" xfId="0" applyFont="1" applyBorder="1"/>
    <xf numFmtId="0" fontId="5" fillId="0" borderId="15" xfId="0" applyFont="1" applyBorder="1"/>
    <xf numFmtId="0" fontId="5" fillId="0" borderId="21" xfId="0" applyFont="1" applyBorder="1" applyAlignment="1">
      <alignment horizontal="center"/>
    </xf>
    <xf numFmtId="0" fontId="16" fillId="0" borderId="21" xfId="0" applyFont="1" applyBorder="1"/>
    <xf numFmtId="0" fontId="5" fillId="0" borderId="26" xfId="0" applyFont="1" applyBorder="1" applyAlignment="1">
      <alignment horizontal="center"/>
    </xf>
    <xf numFmtId="0" fontId="5" fillId="0" borderId="15" xfId="0" applyFont="1" applyBorder="1" applyAlignment="1">
      <alignment horizontal="center"/>
    </xf>
    <xf numFmtId="5" fontId="5" fillId="0" borderId="1" xfId="0" applyNumberFormat="1" applyFont="1" applyFill="1" applyBorder="1"/>
    <xf numFmtId="182" fontId="0" fillId="0" borderId="1" xfId="0" applyNumberFormat="1" applyFill="1" applyBorder="1"/>
    <xf numFmtId="37" fontId="0" fillId="0" borderId="1" xfId="0" applyNumberFormat="1" applyFill="1" applyBorder="1"/>
    <xf numFmtId="3" fontId="0" fillId="0" borderId="17" xfId="0" applyNumberFormat="1" applyBorder="1"/>
    <xf numFmtId="0" fontId="5" fillId="0" borderId="13" xfId="0" applyFont="1" applyBorder="1"/>
    <xf numFmtId="0" fontId="5" fillId="0" borderId="12" xfId="0" applyFont="1" applyBorder="1"/>
    <xf numFmtId="0" fontId="16" fillId="0" borderId="1" xfId="0" applyFont="1" applyBorder="1"/>
    <xf numFmtId="5" fontId="5" fillId="0" borderId="0" xfId="0" applyNumberFormat="1" applyFont="1" applyFill="1" applyBorder="1"/>
    <xf numFmtId="180" fontId="0" fillId="0" borderId="0" xfId="0" applyNumberFormat="1" applyBorder="1"/>
    <xf numFmtId="37" fontId="5" fillId="0" borderId="0" xfId="0" applyNumberFormat="1" applyFont="1" applyBorder="1"/>
    <xf numFmtId="0" fontId="5" fillId="0" borderId="0" xfId="0" applyFont="1" applyBorder="1"/>
    <xf numFmtId="0" fontId="5" fillId="0" borderId="0" xfId="0" applyFont="1" applyBorder="1" applyAlignment="1">
      <alignment horizontal="left" indent="1"/>
    </xf>
    <xf numFmtId="171" fontId="2" fillId="0" borderId="1" xfId="1" applyNumberFormat="1" applyFill="1" applyBorder="1"/>
    <xf numFmtId="0" fontId="5" fillId="0" borderId="0" xfId="0" applyFont="1" applyAlignment="1">
      <alignment horizontal="center"/>
    </xf>
    <xf numFmtId="3" fontId="0" fillId="5" borderId="0" xfId="0" applyNumberFormat="1" applyFill="1" applyAlignment="1">
      <alignment horizontal="center"/>
    </xf>
    <xf numFmtId="168" fontId="0" fillId="5" borderId="0" xfId="0" applyNumberFormat="1" applyFill="1" applyAlignment="1">
      <alignment horizontal="center"/>
    </xf>
    <xf numFmtId="0" fontId="0" fillId="0" borderId="0" xfId="0" applyAlignment="1">
      <alignment horizontal="center"/>
    </xf>
    <xf numFmtId="43" fontId="2" fillId="0" borderId="0" xfId="20" applyFont="1"/>
    <xf numFmtId="0" fontId="24" fillId="0" borderId="0" xfId="0" applyFont="1"/>
    <xf numFmtId="0" fontId="9" fillId="0" borderId="0" xfId="0" applyFont="1"/>
    <xf numFmtId="43" fontId="25" fillId="0" borderId="0" xfId="20" applyFont="1" applyAlignment="1">
      <alignment horizontal="right"/>
    </xf>
    <xf numFmtId="0" fontId="25" fillId="0" borderId="23" xfId="0" applyFont="1" applyBorder="1" applyAlignment="1">
      <alignment horizontal="right"/>
    </xf>
    <xf numFmtId="43" fontId="9" fillId="0" borderId="0" xfId="20" applyFont="1"/>
    <xf numFmtId="0" fontId="9" fillId="0" borderId="0" xfId="0" applyFont="1" applyAlignment="1">
      <alignment horizontal="right"/>
    </xf>
    <xf numFmtId="171" fontId="9" fillId="0" borderId="0" xfId="0" applyNumberFormat="1" applyFont="1" applyAlignment="1">
      <alignment horizontal="right"/>
    </xf>
    <xf numFmtId="171" fontId="9" fillId="0" borderId="32" xfId="0" applyNumberFormat="1" applyFont="1" applyBorder="1" applyAlignment="1">
      <alignment horizontal="right"/>
    </xf>
    <xf numFmtId="0" fontId="23" fillId="0" borderId="19" xfId="19" applyFill="1" applyBorder="1"/>
    <xf numFmtId="171" fontId="23" fillId="0" borderId="19" xfId="19" applyNumberFormat="1" applyFill="1" applyBorder="1"/>
    <xf numFmtId="0" fontId="26" fillId="0" borderId="0" xfId="0" applyFont="1"/>
    <xf numFmtId="43" fontId="9" fillId="0" borderId="0" xfId="0" applyNumberFormat="1" applyFont="1" applyAlignment="1">
      <alignment horizontal="right"/>
    </xf>
    <xf numFmtId="2" fontId="0" fillId="0" borderId="0" xfId="0" applyNumberFormat="1"/>
    <xf numFmtId="43" fontId="9" fillId="0" borderId="32" xfId="0" applyNumberFormat="1" applyFont="1" applyBorder="1" applyAlignment="1">
      <alignment horizontal="right"/>
    </xf>
    <xf numFmtId="0" fontId="27" fillId="0" borderId="0" xfId="0" applyFont="1"/>
    <xf numFmtId="171" fontId="28" fillId="0" borderId="0" xfId="1" applyNumberFormat="1" applyFont="1"/>
    <xf numFmtId="173" fontId="9" fillId="0" borderId="0" xfId="4" applyNumberFormat="1" applyFont="1"/>
    <xf numFmtId="0" fontId="29" fillId="0" borderId="0" xfId="0" applyFont="1"/>
    <xf numFmtId="0" fontId="29" fillId="0" borderId="0" xfId="0" applyFont="1" applyAlignment="1">
      <alignment horizontal="center" wrapText="1"/>
    </xf>
    <xf numFmtId="3" fontId="29" fillId="0" borderId="0" xfId="0" applyNumberFormat="1" applyFont="1" applyAlignment="1">
      <alignment wrapText="1"/>
    </xf>
    <xf numFmtId="0" fontId="29" fillId="0" borderId="1" xfId="0" applyFont="1" applyBorder="1" applyAlignment="1">
      <alignment horizontal="center"/>
    </xf>
    <xf numFmtId="173" fontId="31" fillId="6" borderId="30" xfId="14" applyNumberFormat="1" applyFont="1"/>
    <xf numFmtId="171" fontId="29" fillId="0" borderId="0" xfId="0" applyNumberFormat="1" applyFont="1"/>
    <xf numFmtId="165" fontId="29" fillId="0" borderId="0" xfId="13" applyNumberFormat="1" applyFont="1"/>
    <xf numFmtId="173" fontId="29" fillId="0" borderId="0" xfId="0" applyNumberFormat="1" applyFont="1"/>
    <xf numFmtId="0" fontId="29" fillId="0" borderId="4" xfId="0" applyFont="1" applyBorder="1" applyAlignment="1">
      <alignment horizontal="center"/>
    </xf>
    <xf numFmtId="0" fontId="29" fillId="0" borderId="5" xfId="0" applyFont="1" applyBorder="1" applyAlignment="1">
      <alignment horizontal="center"/>
    </xf>
    <xf numFmtId="0" fontId="32" fillId="0" borderId="11" xfId="0" applyFont="1" applyBorder="1" applyAlignment="1">
      <alignment horizontal="center"/>
    </xf>
    <xf numFmtId="165" fontId="29" fillId="0" borderId="4" xfId="0" applyNumberFormat="1" applyFont="1" applyFill="1" applyBorder="1" applyAlignment="1">
      <alignment horizontal="center"/>
    </xf>
    <xf numFmtId="165" fontId="29" fillId="0" borderId="1" xfId="0" applyNumberFormat="1" applyFont="1" applyFill="1" applyBorder="1" applyAlignment="1">
      <alignment horizontal="center"/>
    </xf>
    <xf numFmtId="165" fontId="29" fillId="0" borderId="5" xfId="0" applyNumberFormat="1" applyFont="1" applyBorder="1" applyAlignment="1">
      <alignment horizontal="center"/>
    </xf>
    <xf numFmtId="165" fontId="29" fillId="0" borderId="4" xfId="0" applyNumberFormat="1" applyFont="1" applyBorder="1" applyAlignment="1">
      <alignment horizontal="center"/>
    </xf>
    <xf numFmtId="165" fontId="29" fillId="0" borderId="1" xfId="0" applyNumberFormat="1" applyFont="1" applyBorder="1" applyAlignment="1">
      <alignment horizontal="center"/>
    </xf>
    <xf numFmtId="165" fontId="29" fillId="0" borderId="4" xfId="0" applyNumberFormat="1" applyFont="1" applyBorder="1"/>
    <xf numFmtId="165" fontId="29" fillId="0" borderId="1" xfId="0" applyNumberFormat="1" applyFont="1" applyBorder="1"/>
    <xf numFmtId="0" fontId="29" fillId="0" borderId="0" xfId="0" applyFont="1" applyAlignment="1">
      <alignment horizontal="center"/>
    </xf>
    <xf numFmtId="173" fontId="31" fillId="6" borderId="35" xfId="14" applyNumberFormat="1" applyFont="1" applyBorder="1"/>
    <xf numFmtId="0" fontId="29" fillId="0" borderId="36" xfId="0" applyFont="1" applyBorder="1" applyAlignment="1"/>
    <xf numFmtId="0" fontId="29" fillId="0" borderId="12" xfId="0" applyFont="1" applyBorder="1" applyAlignment="1"/>
    <xf numFmtId="0" fontId="29" fillId="0" borderId="37" xfId="0" applyFont="1" applyBorder="1" applyAlignment="1"/>
    <xf numFmtId="171" fontId="29" fillId="0" borderId="32" xfId="0" applyNumberFormat="1" applyFont="1" applyBorder="1"/>
    <xf numFmtId="3" fontId="31" fillId="6" borderId="31" xfId="14" applyNumberFormat="1" applyFont="1" applyBorder="1" applyAlignment="1">
      <alignment horizontal="center"/>
    </xf>
    <xf numFmtId="3" fontId="31" fillId="6" borderId="30" xfId="14" applyNumberFormat="1" applyFont="1" applyBorder="1" applyAlignment="1">
      <alignment horizontal="center"/>
    </xf>
    <xf numFmtId="3" fontId="29" fillId="0" borderId="5" xfId="0" applyNumberFormat="1" applyFont="1" applyBorder="1"/>
    <xf numFmtId="3" fontId="29" fillId="0" borderId="4" xfId="0" applyNumberFormat="1" applyFont="1" applyBorder="1" applyAlignment="1">
      <alignment horizontal="center"/>
    </xf>
    <xf numFmtId="3" fontId="29" fillId="0" borderId="1" xfId="0" applyNumberFormat="1" applyFont="1" applyBorder="1" applyAlignment="1">
      <alignment horizontal="center"/>
    </xf>
    <xf numFmtId="17" fontId="29" fillId="0" borderId="0" xfId="0" applyNumberFormat="1" applyFont="1"/>
    <xf numFmtId="3" fontId="29" fillId="0" borderId="0" xfId="0" applyNumberFormat="1" applyFont="1"/>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3" fontId="29" fillId="0" borderId="8" xfId="0" applyNumberFormat="1" applyFont="1" applyBorder="1" applyAlignment="1">
      <alignment horizontal="center"/>
    </xf>
    <xf numFmtId="0" fontId="24" fillId="0" borderId="0" xfId="0" applyFont="1" applyAlignment="1"/>
    <xf numFmtId="171" fontId="2" fillId="0" borderId="0" xfId="20" applyNumberFormat="1" applyFont="1"/>
    <xf numFmtId="0" fontId="22" fillId="10" borderId="0" xfId="0" applyFont="1" applyFill="1"/>
    <xf numFmtId="37" fontId="9" fillId="0" borderId="0" xfId="0" applyNumberFormat="1" applyFont="1" applyAlignment="1">
      <alignment horizontal="right"/>
    </xf>
    <xf numFmtId="0" fontId="25" fillId="0" borderId="0" xfId="0" applyFont="1"/>
    <xf numFmtId="171" fontId="29" fillId="0" borderId="0" xfId="1" applyNumberFormat="1" applyFont="1"/>
    <xf numFmtId="43" fontId="9" fillId="11" borderId="0" xfId="20" applyFont="1" applyFill="1"/>
    <xf numFmtId="171" fontId="31" fillId="10" borderId="38" xfId="14" applyNumberFormat="1" applyFont="1" applyFill="1" applyBorder="1"/>
    <xf numFmtId="171" fontId="35" fillId="6" borderId="30" xfId="14" applyNumberFormat="1" applyFont="1"/>
    <xf numFmtId="171" fontId="9" fillId="12" borderId="19" xfId="18" applyNumberFormat="1" applyFont="1" applyFill="1" applyAlignment="1">
      <alignment horizontal="right"/>
    </xf>
    <xf numFmtId="171" fontId="9" fillId="4" borderId="19" xfId="18" applyNumberFormat="1" applyFont="1" applyAlignment="1">
      <alignment horizontal="right"/>
    </xf>
    <xf numFmtId="0" fontId="0" fillId="10" borderId="0" xfId="0" applyFill="1"/>
    <xf numFmtId="171" fontId="9" fillId="10" borderId="0" xfId="0" applyNumberFormat="1" applyFont="1" applyFill="1" applyAlignment="1">
      <alignment horizontal="right"/>
    </xf>
    <xf numFmtId="171" fontId="0" fillId="10" borderId="0" xfId="0" applyNumberFormat="1" applyFill="1"/>
    <xf numFmtId="184" fontId="9" fillId="0" borderId="0" xfId="0" applyNumberFormat="1" applyFont="1" applyAlignment="1">
      <alignment horizontal="right"/>
    </xf>
    <xf numFmtId="185" fontId="9" fillId="0" borderId="0" xfId="0" applyNumberFormat="1" applyFont="1" applyAlignment="1">
      <alignment horizontal="right"/>
    </xf>
    <xf numFmtId="171" fontId="19" fillId="7" borderId="0" xfId="15" applyNumberFormat="1" applyAlignment="1">
      <alignment horizontal="right"/>
    </xf>
    <xf numFmtId="0" fontId="25" fillId="0" borderId="33" xfId="0" applyFont="1" applyBorder="1" applyAlignment="1">
      <alignment horizontal="right"/>
    </xf>
    <xf numFmtId="0" fontId="25" fillId="0" borderId="34" xfId="0" applyFont="1" applyBorder="1" applyAlignment="1">
      <alignment horizontal="right"/>
    </xf>
    <xf numFmtId="0" fontId="9" fillId="0" borderId="39" xfId="0" applyFont="1" applyBorder="1" applyAlignment="1">
      <alignment horizontal="right"/>
    </xf>
    <xf numFmtId="171" fontId="19" fillId="7" borderId="40" xfId="15" applyNumberFormat="1" applyBorder="1" applyAlignment="1">
      <alignment horizontal="right"/>
    </xf>
    <xf numFmtId="165" fontId="27" fillId="4" borderId="19" xfId="18" applyNumberFormat="1" applyFont="1"/>
    <xf numFmtId="165" fontId="27" fillId="4" borderId="19" xfId="13" applyNumberFormat="1" applyFont="1" applyFill="1" applyBorder="1"/>
    <xf numFmtId="0" fontId="25" fillId="0" borderId="0" xfId="0" applyFont="1" applyFill="1" applyBorder="1" applyAlignment="1">
      <alignment horizontal="right"/>
    </xf>
    <xf numFmtId="0" fontId="24" fillId="4" borderId="19" xfId="18" applyFont="1" applyAlignment="1">
      <alignment horizontal="right"/>
    </xf>
    <xf numFmtId="0" fontId="19" fillId="0" borderId="0" xfId="15" applyFill="1" applyAlignment="1">
      <alignment horizontal="right"/>
    </xf>
    <xf numFmtId="43" fontId="19" fillId="0" borderId="0" xfId="15" applyNumberFormat="1" applyFill="1"/>
    <xf numFmtId="0" fontId="19" fillId="0" borderId="0" xfId="15" applyFill="1"/>
    <xf numFmtId="0" fontId="27" fillId="4" borderId="19" xfId="18" applyFont="1" applyAlignment="1">
      <alignment horizontal="right"/>
    </xf>
    <xf numFmtId="0" fontId="27" fillId="4" borderId="19" xfId="18" applyFont="1"/>
    <xf numFmtId="3" fontId="27" fillId="4" borderId="19" xfId="18" applyNumberFormat="1" applyFont="1"/>
    <xf numFmtId="3" fontId="21" fillId="9" borderId="30" xfId="17" applyNumberFormat="1"/>
    <xf numFmtId="0" fontId="27" fillId="4" borderId="19" xfId="18" applyFont="1" applyAlignment="1"/>
    <xf numFmtId="3" fontId="27" fillId="4" borderId="19" xfId="18" applyNumberFormat="1" applyFont="1" applyAlignment="1"/>
    <xf numFmtId="0" fontId="9" fillId="10" borderId="0" xfId="0" applyFont="1" applyFill="1" applyAlignment="1">
      <alignment horizontal="right"/>
    </xf>
    <xf numFmtId="0" fontId="0" fillId="0" borderId="0" xfId="0" applyAlignment="1"/>
    <xf numFmtId="4" fontId="0" fillId="0" borderId="0" xfId="0" applyNumberFormat="1"/>
    <xf numFmtId="4" fontId="21" fillId="9" borderId="30" xfId="17" applyNumberFormat="1"/>
    <xf numFmtId="186" fontId="0" fillId="0" borderId="0" xfId="0" applyNumberFormat="1"/>
    <xf numFmtId="4" fontId="0" fillId="5" borderId="0" xfId="0" applyNumberFormat="1" applyFill="1"/>
    <xf numFmtId="186" fontId="21" fillId="9" borderId="30" xfId="17" applyNumberFormat="1"/>
    <xf numFmtId="0" fontId="20" fillId="0" borderId="0" xfId="16" applyFill="1"/>
    <xf numFmtId="4" fontId="21" fillId="9" borderId="44" xfId="17" applyNumberFormat="1" applyBorder="1" applyAlignment="1">
      <alignment horizontal="right"/>
    </xf>
    <xf numFmtId="4" fontId="21" fillId="9" borderId="30" xfId="17" applyNumberFormat="1" applyAlignment="1">
      <alignment horizontal="right"/>
    </xf>
    <xf numFmtId="3" fontId="36" fillId="4" borderId="19" xfId="18" applyNumberFormat="1" applyFont="1"/>
    <xf numFmtId="4" fontId="2" fillId="0" borderId="0" xfId="0" applyNumberFormat="1" applyFont="1" applyFill="1" applyAlignment="1">
      <alignment horizontal="center"/>
    </xf>
    <xf numFmtId="17" fontId="2" fillId="0" borderId="0" xfId="0" applyNumberFormat="1" applyFont="1"/>
    <xf numFmtId="3" fontId="19" fillId="7" borderId="0" xfId="15" applyNumberFormat="1" applyAlignment="1">
      <alignment horizontal="center"/>
    </xf>
    <xf numFmtId="0" fontId="0" fillId="0" borderId="0" xfId="0" applyAlignment="1">
      <alignment horizont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5" fillId="12" borderId="23" xfId="0" applyFont="1" applyFill="1" applyBorder="1" applyAlignment="1">
      <alignment horizontal="center" vertical="center" wrapText="1"/>
    </xf>
    <xf numFmtId="0" fontId="0" fillId="12" borderId="0" xfId="0" applyFill="1"/>
    <xf numFmtId="0" fontId="15" fillId="12" borderId="0" xfId="0" applyFont="1" applyFill="1" applyAlignment="1">
      <alignment horizontal="center"/>
    </xf>
    <xf numFmtId="37" fontId="9" fillId="12" borderId="0" xfId="0" applyNumberFormat="1" applyFont="1" applyFill="1" applyAlignment="1">
      <alignment horizontal="center"/>
    </xf>
    <xf numFmtId="43" fontId="9" fillId="12" borderId="32" xfId="0" applyNumberFormat="1" applyFont="1" applyFill="1" applyBorder="1" applyAlignment="1">
      <alignment horizontal="right"/>
    </xf>
    <xf numFmtId="0" fontId="25" fillId="14" borderId="23" xfId="0" applyFont="1" applyFill="1" applyBorder="1" applyAlignment="1">
      <alignment horizontal="center" vertical="center" wrapText="1"/>
    </xf>
    <xf numFmtId="0" fontId="0" fillId="14" borderId="0" xfId="0" applyFill="1"/>
    <xf numFmtId="0" fontId="15" fillId="14" borderId="0" xfId="0" applyFont="1" applyFill="1" applyAlignment="1">
      <alignment horizontal="center"/>
    </xf>
    <xf numFmtId="1" fontId="9" fillId="14" borderId="0" xfId="0" applyNumberFormat="1" applyFont="1" applyFill="1" applyAlignment="1">
      <alignment horizontal="center"/>
    </xf>
    <xf numFmtId="43" fontId="9" fillId="14" borderId="32" xfId="0" applyNumberFormat="1" applyFont="1" applyFill="1" applyBorder="1" applyAlignment="1">
      <alignment horizontal="right"/>
    </xf>
    <xf numFmtId="1" fontId="0" fillId="0" borderId="0" xfId="0" applyNumberFormat="1" applyAlignment="1">
      <alignment horizontal="center"/>
    </xf>
    <xf numFmtId="0" fontId="24" fillId="12" borderId="0" xfId="0" applyFont="1" applyFill="1"/>
    <xf numFmtId="0" fontId="24" fillId="14" borderId="0" xfId="0" applyFont="1" applyFill="1"/>
    <xf numFmtId="3" fontId="3" fillId="0" borderId="0" xfId="0" applyNumberFormat="1" applyFont="1" applyFill="1" applyAlignment="1">
      <alignment horizontal="center"/>
    </xf>
    <xf numFmtId="3" fontId="24" fillId="0" borderId="0" xfId="0" applyNumberFormat="1" applyFont="1"/>
    <xf numFmtId="171" fontId="24" fillId="0" borderId="0" xfId="0" applyNumberFormat="1" applyFont="1" applyAlignment="1">
      <alignment horizontal="right"/>
    </xf>
    <xf numFmtId="43"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vertical="center" wrapText="1"/>
    </xf>
    <xf numFmtId="3"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5" fillId="5" borderId="0" xfId="0" applyNumberFormat="1" applyFont="1" applyFill="1"/>
    <xf numFmtId="3" fontId="24" fillId="4" borderId="19" xfId="18" applyNumberFormat="1" applyFont="1" applyAlignment="1">
      <alignment horizontal="right"/>
    </xf>
    <xf numFmtId="3" fontId="0" fillId="11" borderId="0" xfId="0" applyNumberFormat="1" applyFill="1" applyAlignment="1">
      <alignment horizontal="center"/>
    </xf>
    <xf numFmtId="166" fontId="19" fillId="7" borderId="30" xfId="15" applyNumberFormat="1" applyBorder="1" applyAlignment="1">
      <alignment horizontal="center"/>
    </xf>
    <xf numFmtId="3" fontId="3" fillId="16" borderId="0" xfId="0" applyNumberFormat="1" applyFont="1" applyFill="1" applyAlignment="1">
      <alignment horizontal="center"/>
    </xf>
    <xf numFmtId="3" fontId="0" fillId="16" borderId="0" xfId="0" applyNumberFormat="1" applyFill="1" applyAlignment="1">
      <alignment horizontal="center"/>
    </xf>
    <xf numFmtId="165" fontId="0" fillId="16" borderId="0" xfId="0" applyNumberFormat="1" applyFill="1" applyAlignment="1">
      <alignment horizontal="center"/>
    </xf>
    <xf numFmtId="167" fontId="0" fillId="16" borderId="0" xfId="0" applyNumberFormat="1" applyFill="1" applyAlignment="1">
      <alignment horizontal="center"/>
    </xf>
    <xf numFmtId="168" fontId="0" fillId="16" borderId="0" xfId="0" applyNumberFormat="1" applyFill="1" applyAlignment="1">
      <alignment horizontal="center"/>
    </xf>
    <xf numFmtId="3" fontId="2" fillId="16" borderId="0" xfId="0" applyNumberFormat="1" applyFont="1" applyFill="1" applyAlignment="1">
      <alignment horizontal="center"/>
    </xf>
    <xf numFmtId="0" fontId="0" fillId="17" borderId="0" xfId="0" applyFill="1"/>
    <xf numFmtId="171" fontId="38" fillId="13" borderId="19" xfId="16" applyNumberFormat="1" applyFont="1" applyFill="1" applyBorder="1" applyAlignment="1">
      <alignment horizontal="right"/>
    </xf>
    <xf numFmtId="0" fontId="24" fillId="18" borderId="0" xfId="0" applyFont="1" applyFill="1" applyAlignment="1"/>
    <xf numFmtId="0" fontId="9" fillId="18" borderId="0" xfId="0" applyFont="1" applyFill="1"/>
    <xf numFmtId="171" fontId="9" fillId="18" borderId="19" xfId="18" applyNumberFormat="1" applyFont="1" applyFill="1" applyAlignment="1">
      <alignment horizontal="right"/>
    </xf>
    <xf numFmtId="0" fontId="0" fillId="0" borderId="14" xfId="0" applyBorder="1"/>
    <xf numFmtId="171" fontId="9" fillId="0" borderId="14" xfId="0" applyNumberFormat="1" applyFont="1" applyBorder="1" applyAlignment="1">
      <alignment horizontal="right"/>
    </xf>
    <xf numFmtId="171" fontId="9" fillId="4" borderId="45" xfId="18" applyNumberFormat="1" applyFont="1" applyBorder="1" applyAlignment="1">
      <alignment horizontal="right"/>
    </xf>
    <xf numFmtId="0" fontId="24" fillId="0" borderId="25" xfId="0" applyFont="1" applyBorder="1" applyAlignment="1">
      <alignment horizontal="right"/>
    </xf>
    <xf numFmtId="0" fontId="0" fillId="10" borderId="14" xfId="0" applyFill="1" applyBorder="1"/>
    <xf numFmtId="171" fontId="9" fillId="15" borderId="19" xfId="18" applyNumberFormat="1" applyFont="1" applyFill="1" applyAlignment="1">
      <alignment horizontal="right"/>
    </xf>
    <xf numFmtId="171" fontId="9" fillId="15" borderId="43" xfId="18" applyNumberFormat="1" applyFont="1" applyFill="1" applyBorder="1" applyAlignment="1">
      <alignment horizontal="right"/>
    </xf>
    <xf numFmtId="3" fontId="24" fillId="19" borderId="0" xfId="0" applyNumberFormat="1" applyFont="1" applyFill="1" applyAlignment="1">
      <alignment horizontal="center"/>
    </xf>
    <xf numFmtId="3" fontId="37" fillId="19" borderId="0" xfId="0" applyNumberFormat="1" applyFont="1" applyFill="1" applyAlignment="1">
      <alignment horizontal="center" wrapText="1"/>
    </xf>
    <xf numFmtId="3" fontId="24" fillId="19" borderId="0" xfId="0" applyNumberFormat="1" applyFont="1" applyFill="1" applyAlignment="1">
      <alignment horizontal="center" wrapText="1"/>
    </xf>
    <xf numFmtId="0" fontId="24" fillId="19" borderId="0" xfId="0" applyFont="1" applyFill="1" applyAlignment="1">
      <alignment wrapText="1"/>
    </xf>
    <xf numFmtId="0" fontId="24" fillId="19" borderId="0" xfId="0" applyFont="1" applyFill="1"/>
    <xf numFmtId="3" fontId="24" fillId="19" borderId="0" xfId="0" applyNumberFormat="1" applyFont="1" applyFill="1" applyAlignment="1">
      <alignment horizontal="left"/>
    </xf>
    <xf numFmtId="0" fontId="24" fillId="19" borderId="0" xfId="0" applyFont="1" applyFill="1" applyAlignment="1">
      <alignment horizontal="right"/>
    </xf>
    <xf numFmtId="171" fontId="35" fillId="19" borderId="30" xfId="14" applyNumberFormat="1" applyFont="1" applyFill="1"/>
    <xf numFmtId="171" fontId="2" fillId="10" borderId="0" xfId="20" applyNumberFormat="1" applyFont="1" applyFill="1"/>
    <xf numFmtId="43" fontId="2" fillId="10" borderId="0" xfId="20" applyFont="1" applyFill="1"/>
    <xf numFmtId="187" fontId="9" fillId="0" borderId="0" xfId="0" applyNumberFormat="1" applyFont="1" applyAlignment="1">
      <alignment horizontal="right"/>
    </xf>
    <xf numFmtId="4" fontId="4" fillId="10" borderId="0" xfId="0" applyNumberFormat="1" applyFont="1" applyFill="1" applyAlignment="1">
      <alignment horizontal="center" wrapText="1"/>
    </xf>
    <xf numFmtId="4" fontId="3" fillId="10" borderId="0" xfId="0" applyNumberFormat="1" applyFont="1" applyFill="1" applyAlignment="1">
      <alignment horizontal="center"/>
    </xf>
    <xf numFmtId="170" fontId="19" fillId="7" borderId="0" xfId="15" applyNumberFormat="1" applyAlignment="1">
      <alignment horizontal="center"/>
    </xf>
    <xf numFmtId="3" fontId="29" fillId="5" borderId="1" xfId="15" applyNumberFormat="1" applyFont="1" applyFill="1" applyBorder="1" applyAlignment="1">
      <alignment horizontal="center" vertical="center" wrapText="1"/>
    </xf>
    <xf numFmtId="3" fontId="19" fillId="7" borderId="1" xfId="15" applyNumberFormat="1" applyBorder="1" applyAlignment="1">
      <alignment horizontal="center"/>
    </xf>
    <xf numFmtId="0" fontId="0" fillId="0" borderId="11" xfId="0" applyBorder="1" applyAlignment="1">
      <alignment horizontal="right"/>
    </xf>
    <xf numFmtId="3" fontId="19" fillId="7" borderId="24" xfId="15" applyNumberFormat="1" applyBorder="1" applyAlignment="1">
      <alignment horizontal="center"/>
    </xf>
    <xf numFmtId="3" fontId="0" fillId="10" borderId="15" xfId="0" applyNumberFormat="1" applyFill="1" applyBorder="1" applyAlignment="1">
      <alignment horizontal="center"/>
    </xf>
    <xf numFmtId="3" fontId="0" fillId="10" borderId="16" xfId="0" applyNumberFormat="1" applyFill="1" applyBorder="1" applyAlignment="1">
      <alignment horizontal="center"/>
    </xf>
    <xf numFmtId="3" fontId="0" fillId="10" borderId="25" xfId="0" applyNumberFormat="1" applyFill="1" applyBorder="1" applyAlignment="1">
      <alignment horizontal="center"/>
    </xf>
    <xf numFmtId="3" fontId="3" fillId="10" borderId="17" xfId="0" applyNumberFormat="1" applyFont="1" applyFill="1" applyBorder="1" applyAlignment="1">
      <alignment horizontal="center"/>
    </xf>
    <xf numFmtId="3" fontId="3" fillId="10" borderId="14" xfId="0" applyNumberFormat="1" applyFont="1" applyFill="1" applyBorder="1" applyAlignment="1">
      <alignment horizontal="center"/>
    </xf>
    <xf numFmtId="3" fontId="3" fillId="10" borderId="26" xfId="0" applyNumberFormat="1" applyFont="1" applyFill="1" applyBorder="1" applyAlignment="1">
      <alignment horizontal="center"/>
    </xf>
    <xf numFmtId="3" fontId="3" fillId="10" borderId="23" xfId="0" applyNumberFormat="1" applyFont="1" applyFill="1" applyBorder="1" applyAlignment="1">
      <alignment horizontal="center"/>
    </xf>
    <xf numFmtId="3" fontId="3" fillId="10" borderId="22" xfId="0" applyNumberFormat="1" applyFont="1" applyFill="1" applyBorder="1" applyAlignment="1">
      <alignment horizontal="center"/>
    </xf>
    <xf numFmtId="3" fontId="2" fillId="10" borderId="0" xfId="0" applyNumberFormat="1" applyFont="1" applyFill="1" applyBorder="1" applyAlignment="1">
      <alignment horizontal="center"/>
    </xf>
    <xf numFmtId="3" fontId="2" fillId="0" borderId="1" xfId="0" applyNumberFormat="1" applyFont="1" applyBorder="1" applyAlignment="1">
      <alignment horizontal="center" vertical="center" wrapText="1"/>
    </xf>
    <xf numFmtId="3" fontId="0" fillId="10" borderId="21" xfId="0" applyNumberFormat="1" applyFill="1" applyBorder="1" applyAlignment="1">
      <alignment horizontal="center"/>
    </xf>
    <xf numFmtId="3" fontId="3" fillId="10" borderId="20" xfId="0" applyNumberFormat="1" applyFont="1" applyFill="1" applyBorder="1" applyAlignment="1">
      <alignment horizontal="center"/>
    </xf>
    <xf numFmtId="3" fontId="3" fillId="10" borderId="24" xfId="0" applyNumberFormat="1" applyFont="1" applyFill="1" applyBorder="1" applyAlignment="1">
      <alignment horizontal="center"/>
    </xf>
    <xf numFmtId="0" fontId="2" fillId="0" borderId="1" xfId="0" applyFont="1" applyBorder="1" applyAlignment="1">
      <alignment horizontal="center" wrapText="1"/>
    </xf>
    <xf numFmtId="3" fontId="19" fillId="10" borderId="1" xfId="15" applyNumberFormat="1" applyFill="1" applyBorder="1" applyAlignment="1">
      <alignment horizontal="center"/>
    </xf>
    <xf numFmtId="0" fontId="24" fillId="0" borderId="0" xfId="0" applyFont="1" applyFill="1" applyAlignment="1"/>
    <xf numFmtId="0" fontId="9" fillId="0" borderId="0" xfId="0" applyFont="1" applyFill="1"/>
    <xf numFmtId="3" fontId="19" fillId="7" borderId="46" xfId="15" applyNumberFormat="1" applyBorder="1" applyAlignment="1">
      <alignment horizontal="center"/>
    </xf>
    <xf numFmtId="3" fontId="0" fillId="10" borderId="0" xfId="0" applyNumberFormat="1" applyFill="1" applyAlignment="1">
      <alignment horizontal="center"/>
    </xf>
    <xf numFmtId="166" fontId="0" fillId="10" borderId="0" xfId="0" applyNumberFormat="1" applyFill="1" applyAlignment="1">
      <alignment horizontal="center"/>
    </xf>
    <xf numFmtId="165" fontId="0" fillId="10" borderId="0" xfId="0" applyNumberFormat="1" applyFill="1" applyAlignment="1">
      <alignment horizontal="center"/>
    </xf>
    <xf numFmtId="167" fontId="0" fillId="10" borderId="0" xfId="0" applyNumberFormat="1" applyFill="1" applyAlignment="1">
      <alignment horizontal="center"/>
    </xf>
    <xf numFmtId="3" fontId="2" fillId="10" borderId="0" xfId="0" applyNumberFormat="1" applyFont="1" applyFill="1" applyAlignment="1">
      <alignment horizontal="center"/>
    </xf>
    <xf numFmtId="168" fontId="0" fillId="10" borderId="0" xfId="0" applyNumberFormat="1" applyFill="1" applyAlignment="1">
      <alignment horizontal="center"/>
    </xf>
    <xf numFmtId="3" fontId="19" fillId="7" borderId="0" xfId="15" applyNumberFormat="1" applyAlignment="1">
      <alignment horizontal="center" wrapText="1"/>
    </xf>
    <xf numFmtId="3" fontId="19" fillId="4" borderId="49" xfId="12" applyNumberFormat="1" applyFont="1" applyBorder="1" applyAlignment="1">
      <alignment horizontal="center"/>
    </xf>
    <xf numFmtId="3" fontId="19" fillId="4" borderId="50" xfId="12" applyNumberFormat="1" applyFont="1" applyBorder="1" applyAlignment="1">
      <alignment horizontal="center"/>
    </xf>
    <xf numFmtId="0" fontId="0" fillId="10" borderId="17" xfId="0" applyFill="1" applyBorder="1"/>
    <xf numFmtId="37" fontId="0" fillId="10" borderId="1" xfId="0" applyNumberFormat="1" applyFill="1" applyBorder="1"/>
    <xf numFmtId="171" fontId="2" fillId="10" borderId="1" xfId="1" applyNumberFormat="1" applyFill="1" applyBorder="1"/>
    <xf numFmtId="182" fontId="0" fillId="10" borderId="1" xfId="0" applyNumberFormat="1" applyFill="1" applyBorder="1"/>
    <xf numFmtId="183" fontId="0" fillId="10" borderId="1" xfId="0" applyNumberFormat="1" applyFill="1" applyBorder="1"/>
    <xf numFmtId="5" fontId="0" fillId="10" borderId="1" xfId="0" applyNumberFormat="1" applyFill="1" applyBorder="1"/>
    <xf numFmtId="182" fontId="0" fillId="10" borderId="1" xfId="0" applyNumberFormat="1" applyFill="1" applyBorder="1" applyAlignment="1">
      <alignment horizontal="center"/>
    </xf>
    <xf numFmtId="181" fontId="0" fillId="10" borderId="1" xfId="0" applyNumberFormat="1" applyFill="1" applyBorder="1"/>
    <xf numFmtId="3" fontId="0" fillId="10" borderId="1" xfId="0" applyNumberFormat="1" applyFill="1" applyBorder="1"/>
    <xf numFmtId="3" fontId="0" fillId="10" borderId="17" xfId="0" applyNumberFormat="1" applyFill="1" applyBorder="1"/>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3" fontId="3" fillId="10" borderId="1" xfId="0" applyNumberFormat="1" applyFont="1" applyFill="1" applyBorder="1" applyAlignment="1">
      <alignment horizontal="center"/>
    </xf>
    <xf numFmtId="169" fontId="0" fillId="10" borderId="0" xfId="0" applyNumberFormat="1" applyFill="1" applyAlignment="1">
      <alignment horizontal="center"/>
    </xf>
    <xf numFmtId="171" fontId="0" fillId="0" borderId="0" xfId="1" applyNumberFormat="1" applyFont="1" applyAlignment="1">
      <alignment horizontal="center"/>
    </xf>
    <xf numFmtId="170" fontId="13" fillId="10" borderId="1" xfId="10" applyNumberFormat="1" applyFont="1" applyFill="1" applyBorder="1" applyAlignment="1">
      <alignment horizontal="center" vertical="center"/>
    </xf>
    <xf numFmtId="175" fontId="13" fillId="10" borderId="1"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176" fontId="13" fillId="10" borderId="1" xfId="0" applyNumberFormat="1" applyFont="1" applyFill="1" applyBorder="1" applyAlignment="1">
      <alignment horizontal="center" vertical="center"/>
    </xf>
    <xf numFmtId="177" fontId="13" fillId="10" borderId="1" xfId="0" applyNumberFormat="1" applyFont="1" applyFill="1" applyBorder="1" applyAlignment="1">
      <alignment horizontal="center" vertical="center"/>
    </xf>
    <xf numFmtId="3" fontId="13" fillId="10" borderId="1" xfId="10" applyNumberFormat="1" applyFont="1" applyFill="1" applyBorder="1" applyAlignment="1">
      <alignment horizontal="center" vertical="center"/>
    </xf>
    <xf numFmtId="170" fontId="10" fillId="10" borderId="1" xfId="10" applyNumberFormat="1" applyFont="1" applyFill="1" applyBorder="1" applyAlignment="1">
      <alignment horizontal="center" vertical="center"/>
    </xf>
    <xf numFmtId="3" fontId="10" fillId="10" borderId="1" xfId="10" applyNumberFormat="1" applyFont="1" applyFill="1" applyBorder="1" applyAlignment="1">
      <alignment horizontal="center" vertical="center"/>
    </xf>
    <xf numFmtId="176" fontId="10" fillId="10" borderId="1" xfId="0" applyNumberFormat="1" applyFont="1" applyFill="1" applyBorder="1" applyAlignment="1">
      <alignment horizontal="center" vertical="center"/>
    </xf>
    <xf numFmtId="0" fontId="11" fillId="0" borderId="11" xfId="0" applyFont="1" applyFill="1" applyBorder="1" applyAlignment="1">
      <alignment horizontal="left" vertical="center"/>
    </xf>
    <xf numFmtId="3" fontId="11" fillId="0" borderId="1" xfId="10" applyNumberFormat="1" applyFont="1" applyFill="1" applyBorder="1" applyAlignment="1">
      <alignment horizontal="center" vertical="center"/>
    </xf>
    <xf numFmtId="3" fontId="11" fillId="10" borderId="1" xfId="10" applyNumberFormat="1" applyFont="1" applyFill="1" applyBorder="1" applyAlignment="1">
      <alignment horizontal="center" vertical="center"/>
    </xf>
    <xf numFmtId="3" fontId="13" fillId="10" borderId="1" xfId="0" applyNumberFormat="1" applyFont="1" applyFill="1" applyBorder="1" applyAlignment="1">
      <alignment horizontal="center" vertical="center" wrapText="1"/>
    </xf>
    <xf numFmtId="176" fontId="13" fillId="10" borderId="1" xfId="0" applyNumberFormat="1" applyFont="1" applyFill="1" applyBorder="1" applyAlignment="1">
      <alignment horizontal="center" vertical="center" wrapText="1"/>
    </xf>
    <xf numFmtId="176" fontId="10" fillId="10" borderId="1"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9" fontId="19" fillId="7" borderId="0" xfId="15" applyNumberFormat="1" applyAlignment="1">
      <alignment horizontal="center"/>
    </xf>
    <xf numFmtId="9" fontId="17" fillId="6" borderId="51" xfId="14" applyNumberFormat="1" applyBorder="1" applyAlignment="1">
      <alignment horizontal="center"/>
    </xf>
    <xf numFmtId="0" fontId="10" fillId="10" borderId="1" xfId="0" applyFont="1" applyFill="1" applyBorder="1" applyAlignment="1">
      <alignment horizontal="left" vertical="center"/>
    </xf>
    <xf numFmtId="10" fontId="24" fillId="0" borderId="0" xfId="0" applyNumberFormat="1" applyFont="1"/>
    <xf numFmtId="165" fontId="13" fillId="10" borderId="1" xfId="0" applyNumberFormat="1" applyFont="1" applyFill="1" applyBorder="1" applyAlignment="1">
      <alignment horizontal="center" vertical="center" wrapText="1"/>
    </xf>
    <xf numFmtId="179" fontId="13" fillId="10" borderId="1" xfId="0" applyNumberFormat="1" applyFont="1" applyFill="1" applyBorder="1" applyAlignment="1">
      <alignment horizontal="center" vertical="center" wrapText="1"/>
    </xf>
    <xf numFmtId="179" fontId="10" fillId="10" borderId="1" xfId="0" applyNumberFormat="1" applyFont="1" applyFill="1" applyBorder="1" applyAlignment="1">
      <alignment horizontal="center" vertical="center" wrapText="1"/>
    </xf>
    <xf numFmtId="3" fontId="19" fillId="7" borderId="30" xfId="15" applyNumberFormat="1" applyBorder="1"/>
    <xf numFmtId="3" fontId="0" fillId="0" borderId="1" xfId="0" applyNumberFormat="1" applyBorder="1" applyAlignment="1">
      <alignment horizontal="center"/>
    </xf>
    <xf numFmtId="3" fontId="10" fillId="10" borderId="1" xfId="0" applyNumberFormat="1" applyFont="1" applyFill="1" applyBorder="1" applyAlignment="1">
      <alignment horizontal="center"/>
    </xf>
    <xf numFmtId="0" fontId="5" fillId="0" borderId="0" xfId="0" applyFont="1" applyFill="1"/>
    <xf numFmtId="3" fontId="19" fillId="0" borderId="0" xfId="15" applyNumberFormat="1" applyFill="1"/>
    <xf numFmtId="3" fontId="11" fillId="0" borderId="0" xfId="0" applyNumberFormat="1" applyFont="1" applyFill="1"/>
    <xf numFmtId="3" fontId="10" fillId="0" borderId="0" xfId="0" applyNumberFormat="1" applyFont="1" applyFill="1"/>
    <xf numFmtId="0" fontId="13" fillId="0" borderId="0" xfId="0" applyFont="1" applyFill="1"/>
    <xf numFmtId="167" fontId="10" fillId="0" borderId="0" xfId="0" applyNumberFormat="1" applyFont="1" applyFill="1" applyAlignment="1">
      <alignment horizontal="center"/>
    </xf>
    <xf numFmtId="165" fontId="10" fillId="0" borderId="0" xfId="13" applyNumberFormat="1" applyFont="1" applyFill="1"/>
    <xf numFmtId="10" fontId="19" fillId="0" borderId="0" xfId="15" applyNumberFormat="1" applyFill="1"/>
    <xf numFmtId="10" fontId="11" fillId="0" borderId="0" xfId="0" applyNumberFormat="1" applyFont="1" applyFill="1"/>
    <xf numFmtId="176" fontId="24" fillId="0" borderId="0" xfId="0" applyNumberFormat="1" applyFont="1" applyFill="1"/>
    <xf numFmtId="10" fontId="24" fillId="0" borderId="0" xfId="0" applyNumberFormat="1" applyFont="1" applyFill="1"/>
    <xf numFmtId="0" fontId="24" fillId="0" borderId="0" xfId="0" applyFont="1" applyFill="1"/>
    <xf numFmtId="169" fontId="11" fillId="0" borderId="0" xfId="0" applyNumberFormat="1" applyFont="1" applyFill="1"/>
    <xf numFmtId="169" fontId="19" fillId="0" borderId="0" xfId="15" applyNumberFormat="1" applyFill="1"/>
    <xf numFmtId="165" fontId="19" fillId="0" borderId="0" xfId="15" applyNumberFormat="1" applyFill="1" applyBorder="1" applyAlignment="1">
      <alignment vertical="center"/>
    </xf>
    <xf numFmtId="170" fontId="19" fillId="0" borderId="0" xfId="15" applyNumberFormat="1" applyFill="1" applyBorder="1" applyAlignment="1">
      <alignment horizontal="center" vertical="center" wrapText="1"/>
    </xf>
    <xf numFmtId="0" fontId="2" fillId="10" borderId="21" xfId="0" applyFont="1" applyFill="1" applyBorder="1"/>
    <xf numFmtId="0" fontId="2" fillId="10" borderId="24" xfId="0" applyFont="1" applyFill="1" applyBorder="1"/>
    <xf numFmtId="3" fontId="2" fillId="0" borderId="1" xfId="0" applyNumberFormat="1" applyFont="1" applyFill="1" applyBorder="1" applyAlignment="1">
      <alignment horizontal="center"/>
    </xf>
    <xf numFmtId="0" fontId="2" fillId="0" borderId="24" xfId="0" applyFont="1" applyFill="1" applyBorder="1" applyAlignment="1">
      <alignment horizontal="center"/>
    </xf>
    <xf numFmtId="0" fontId="2" fillId="0" borderId="1" xfId="0" applyFont="1" applyFill="1" applyBorder="1" applyAlignment="1">
      <alignment horizontal="center"/>
    </xf>
    <xf numFmtId="3" fontId="2" fillId="0" borderId="1" xfId="15" applyNumberFormat="1" applyFont="1" applyFill="1" applyBorder="1" applyAlignment="1">
      <alignment horizontal="center"/>
    </xf>
    <xf numFmtId="3" fontId="2" fillId="10" borderId="1" xfId="15" applyNumberFormat="1" applyFont="1" applyFill="1" applyBorder="1" applyAlignment="1">
      <alignment horizontal="center"/>
    </xf>
    <xf numFmtId="0" fontId="24" fillId="4" borderId="19" xfId="12" applyFont="1"/>
    <xf numFmtId="0" fontId="39" fillId="4" borderId="19" xfId="12" applyFont="1" applyAlignment="1">
      <alignment horizontal="right"/>
    </xf>
    <xf numFmtId="3" fontId="39" fillId="4" borderId="19" xfId="12" applyNumberFormat="1" applyFont="1" applyAlignment="1">
      <alignment horizontal="right"/>
    </xf>
    <xf numFmtId="3" fontId="40" fillId="0" borderId="1" xfId="0" applyNumberFormat="1" applyFont="1" applyBorder="1" applyAlignment="1">
      <alignment horizontal="center"/>
    </xf>
    <xf numFmtId="9" fontId="0" fillId="0" borderId="0" xfId="13" applyFont="1" applyAlignment="1">
      <alignment horizontal="center"/>
    </xf>
    <xf numFmtId="3" fontId="2" fillId="0" borderId="0" xfId="0" applyNumberFormat="1" applyFont="1" applyAlignment="1">
      <alignment horizontal="center"/>
    </xf>
    <xf numFmtId="0" fontId="41" fillId="0" borderId="0" xfId="0" applyFont="1"/>
    <xf numFmtId="0" fontId="7" fillId="4" borderId="19" xfId="12" applyFont="1"/>
    <xf numFmtId="0" fontId="42" fillId="4" borderId="19" xfId="12" applyFont="1"/>
    <xf numFmtId="0" fontId="41" fillId="4" borderId="19" xfId="12" applyFont="1"/>
    <xf numFmtId="0" fontId="7" fillId="4" borderId="19" xfId="12" applyFont="1" applyAlignment="1">
      <alignment horizontal="center"/>
    </xf>
    <xf numFmtId="0" fontId="44" fillId="4" borderId="19" xfId="18" applyFont="1" applyAlignment="1">
      <alignment horizontal="center" vertical="center" wrapText="1"/>
    </xf>
    <xf numFmtId="0" fontId="43" fillId="0" borderId="0" xfId="19" applyFont="1" applyFill="1" applyAlignment="1">
      <alignment horizontal="center" wrapText="1"/>
    </xf>
    <xf numFmtId="171" fontId="2" fillId="0" borderId="0" xfId="1" applyNumberFormat="1" applyFont="1" applyFill="1" applyBorder="1" applyAlignment="1"/>
    <xf numFmtId="43" fontId="2" fillId="0" borderId="0" xfId="1" applyFont="1" applyFill="1" applyBorder="1" applyAlignment="1"/>
    <xf numFmtId="0" fontId="44" fillId="0" borderId="0" xfId="16" applyFont="1" applyFill="1" applyBorder="1" applyAlignment="1"/>
    <xf numFmtId="171" fontId="44" fillId="0" borderId="0" xfId="16" applyNumberFormat="1" applyFont="1" applyFill="1" applyBorder="1" applyAlignment="1"/>
    <xf numFmtId="3" fontId="44" fillId="0" borderId="0" xfId="16" applyNumberFormat="1" applyFont="1" applyFill="1" applyBorder="1" applyAlignment="1"/>
    <xf numFmtId="4" fontId="44" fillId="0" borderId="0" xfId="16" applyNumberFormat="1" applyFont="1" applyFill="1" applyBorder="1" applyAlignment="1"/>
    <xf numFmtId="43" fontId="44" fillId="0" borderId="0" xfId="16" applyNumberFormat="1" applyFont="1" applyFill="1" applyBorder="1" applyAlignment="1"/>
    <xf numFmtId="3" fontId="44" fillId="0" borderId="2" xfId="16" applyNumberFormat="1" applyFont="1" applyFill="1" applyBorder="1" applyAlignment="1"/>
    <xf numFmtId="171" fontId="2" fillId="0" borderId="2" xfId="1" applyNumberFormat="1" applyFont="1" applyFill="1" applyBorder="1" applyAlignment="1"/>
    <xf numFmtId="43" fontId="2" fillId="0" borderId="2" xfId="1" applyFont="1" applyFill="1" applyBorder="1" applyAlignment="1"/>
    <xf numFmtId="0" fontId="0" fillId="0" borderId="0" xfId="0" applyFont="1" applyFill="1" applyBorder="1" applyAlignment="1"/>
    <xf numFmtId="3" fontId="0" fillId="0" borderId="12" xfId="0" applyNumberFormat="1" applyBorder="1" applyAlignment="1">
      <alignment horizontal="center"/>
    </xf>
    <xf numFmtId="3" fontId="0" fillId="0" borderId="16" xfId="0" applyNumberFormat="1" applyBorder="1" applyAlignment="1">
      <alignment horizontal="center"/>
    </xf>
    <xf numFmtId="0" fontId="11" fillId="0" borderId="12" xfId="16" applyFont="1" applyFill="1" applyBorder="1" applyAlignment="1">
      <alignment horizontal="left" vertical="center"/>
    </xf>
    <xf numFmtId="9" fontId="11" fillId="0" borderId="1" xfId="16" applyNumberFormat="1" applyFont="1" applyFill="1" applyBorder="1" applyAlignment="1">
      <alignment horizontal="center" vertical="center"/>
    </xf>
    <xf numFmtId="0" fontId="11" fillId="0" borderId="11" xfId="16" applyFont="1" applyFill="1" applyBorder="1" applyAlignment="1">
      <alignment horizontal="left" vertical="center"/>
    </xf>
    <xf numFmtId="172" fontId="11" fillId="0" borderId="1" xfId="16" applyNumberFormat="1" applyFont="1" applyFill="1" applyBorder="1" applyAlignment="1">
      <alignment horizontal="center" vertical="center"/>
    </xf>
    <xf numFmtId="1" fontId="11" fillId="0" borderId="11" xfId="16" applyNumberFormat="1" applyFont="1" applyFill="1" applyBorder="1" applyAlignment="1">
      <alignment horizontal="left" vertical="center" indent="1"/>
    </xf>
    <xf numFmtId="175" fontId="11" fillId="0" borderId="1" xfId="16" applyNumberFormat="1" applyFont="1" applyFill="1" applyBorder="1" applyAlignment="1">
      <alignment horizontal="center" vertical="center"/>
    </xf>
    <xf numFmtId="1" fontId="11" fillId="0" borderId="12" xfId="16" applyNumberFormat="1" applyFont="1" applyFill="1" applyBorder="1" applyAlignment="1">
      <alignment vertical="center" wrapText="1"/>
    </xf>
    <xf numFmtId="1" fontId="11" fillId="0" borderId="1" xfId="16" applyNumberFormat="1" applyFont="1" applyFill="1" applyBorder="1" applyAlignment="1">
      <alignment horizontal="left" vertical="center" indent="1"/>
    </xf>
    <xf numFmtId="0" fontId="11" fillId="0" borderId="1" xfId="16" applyFont="1" applyFill="1" applyBorder="1" applyAlignment="1">
      <alignment horizontal="left" vertical="center"/>
    </xf>
    <xf numFmtId="0" fontId="11" fillId="0" borderId="0" xfId="16" applyFont="1" applyFill="1" applyBorder="1" applyAlignment="1">
      <alignment horizontal="left" vertical="center"/>
    </xf>
    <xf numFmtId="0" fontId="10" fillId="0" borderId="12" xfId="16" applyFont="1" applyFill="1" applyBorder="1" applyAlignment="1">
      <alignment horizontal="center" vertical="center"/>
    </xf>
    <xf numFmtId="0" fontId="10" fillId="0" borderId="1" xfId="16" applyFont="1" applyFill="1" applyBorder="1" applyAlignment="1">
      <alignment horizontal="center" vertical="center" wrapText="1"/>
    </xf>
    <xf numFmtId="182" fontId="44" fillId="4" borderId="19" xfId="18" applyNumberFormat="1" applyFont="1"/>
    <xf numFmtId="182" fontId="2" fillId="10" borderId="1" xfId="0" applyNumberFormat="1" applyFont="1" applyFill="1" applyBorder="1"/>
    <xf numFmtId="37" fontId="44" fillId="4" borderId="19" xfId="18" applyNumberFormat="1" applyFont="1" applyAlignment="1">
      <alignment horizontal="center"/>
    </xf>
    <xf numFmtId="37" fontId="44" fillId="4" borderId="52" xfId="18" applyNumberFormat="1" applyFont="1" applyBorder="1" applyAlignment="1">
      <alignment horizontal="center"/>
    </xf>
    <xf numFmtId="37" fontId="44" fillId="4" borderId="53" xfId="18" applyNumberFormat="1" applyFont="1" applyBorder="1" applyAlignment="1">
      <alignment horizontal="center"/>
    </xf>
    <xf numFmtId="37" fontId="44" fillId="4" borderId="54" xfId="18" applyNumberFormat="1" applyFont="1" applyBorder="1" applyAlignment="1">
      <alignment horizontal="center"/>
    </xf>
    <xf numFmtId="0" fontId="0" fillId="0" borderId="23" xfId="0" applyBorder="1"/>
    <xf numFmtId="3" fontId="44" fillId="0" borderId="0" xfId="15" applyNumberFormat="1" applyFont="1" applyFill="1" applyAlignment="1">
      <alignment horizontal="center"/>
    </xf>
    <xf numFmtId="4" fontId="44" fillId="0" borderId="0" xfId="15" applyNumberFormat="1" applyFont="1" applyFill="1" applyAlignment="1">
      <alignment horizontal="center"/>
    </xf>
    <xf numFmtId="1" fontId="44" fillId="0" borderId="0" xfId="15" applyNumberFormat="1" applyFont="1" applyFill="1" applyAlignment="1">
      <alignment horizontal="center"/>
    </xf>
    <xf numFmtId="165" fontId="11" fillId="0" borderId="1" xfId="16" applyNumberFormat="1" applyFont="1" applyFill="1" applyBorder="1" applyAlignment="1">
      <alignment horizontal="center" vertical="center"/>
    </xf>
    <xf numFmtId="1" fontId="11" fillId="0" borderId="1" xfId="16" applyNumberFormat="1" applyFont="1" applyFill="1" applyBorder="1" applyAlignment="1">
      <alignment horizontal="center" vertical="center"/>
    </xf>
    <xf numFmtId="171" fontId="44" fillId="0" borderId="2" xfId="16" applyNumberFormat="1" applyFont="1" applyFill="1" applyBorder="1" applyAlignment="1"/>
    <xf numFmtId="0" fontId="2" fillId="0" borderId="0" xfId="0" applyFont="1" applyAlignment="1">
      <alignment horizontal="center"/>
    </xf>
    <xf numFmtId="188" fontId="29" fillId="0" borderId="0" xfId="13" applyNumberFormat="1" applyFont="1"/>
    <xf numFmtId="166" fontId="17" fillId="6" borderId="30" xfId="14" applyNumberFormat="1" applyAlignment="1">
      <alignment horizontal="center"/>
    </xf>
    <xf numFmtId="166" fontId="19" fillId="10" borderId="30" xfId="15" applyNumberFormat="1" applyFill="1" applyBorder="1" applyAlignment="1">
      <alignment horizontal="center"/>
    </xf>
    <xf numFmtId="0" fontId="2" fillId="0" borderId="0" xfId="0" applyFont="1"/>
    <xf numFmtId="0" fontId="2" fillId="0" borderId="0" xfId="0" applyFont="1" applyAlignment="1">
      <alignment horizontal="center"/>
    </xf>
    <xf numFmtId="166" fontId="0" fillId="4" borderId="19" xfId="18" applyNumberFormat="1" applyFont="1" applyAlignment="1">
      <alignment horizontal="center"/>
    </xf>
    <xf numFmtId="0" fontId="7" fillId="4" borderId="19" xfId="18" applyFont="1"/>
    <xf numFmtId="3" fontId="7" fillId="4" borderId="19" xfId="18" applyNumberFormat="1" applyFont="1"/>
    <xf numFmtId="3" fontId="41" fillId="4" borderId="19" xfId="18" applyNumberFormat="1" applyFont="1"/>
    <xf numFmtId="3" fontId="24" fillId="4" borderId="19" xfId="12" applyNumberFormat="1" applyFont="1"/>
    <xf numFmtId="3" fontId="19" fillId="4" borderId="19" xfId="18" applyNumberFormat="1" applyFont="1" applyAlignment="1">
      <alignment horizontal="center"/>
    </xf>
    <xf numFmtId="3" fontId="0" fillId="4" borderId="19" xfId="18" applyNumberFormat="1" applyFont="1" applyAlignment="1">
      <alignment horizontal="center"/>
    </xf>
    <xf numFmtId="0" fontId="9" fillId="0" borderId="0" xfId="0" applyFont="1" applyAlignment="1">
      <alignment horizontal="left"/>
    </xf>
    <xf numFmtId="3" fontId="2" fillId="4" borderId="19" xfId="18" applyNumberFormat="1" applyFont="1" applyAlignment="1">
      <alignment horizontal="center"/>
    </xf>
    <xf numFmtId="0" fontId="2" fillId="0" borderId="0" xfId="0" applyFont="1" applyAlignment="1">
      <alignment horizontal="center"/>
    </xf>
    <xf numFmtId="171" fontId="17" fillId="6" borderId="30" xfId="14" applyNumberFormat="1" applyAlignment="1"/>
    <xf numFmtId="171" fontId="0" fillId="4" borderId="19" xfId="12" applyNumberFormat="1" applyFont="1"/>
    <xf numFmtId="171" fontId="44" fillId="4" borderId="19" xfId="1" applyNumberFormat="1" applyFont="1" applyFill="1" applyBorder="1"/>
    <xf numFmtId="171" fontId="17" fillId="6" borderId="30" xfId="14" applyNumberFormat="1" applyAlignment="1">
      <alignment horizontal="center"/>
    </xf>
    <xf numFmtId="0" fontId="17" fillId="6" borderId="30" xfId="14" applyAlignment="1">
      <alignment horizontal="center"/>
    </xf>
    <xf numFmtId="171" fontId="2" fillId="19" borderId="19" xfId="12" applyNumberFormat="1" applyFont="1" applyFill="1"/>
    <xf numFmtId="171" fontId="44" fillId="19" borderId="19" xfId="12" applyNumberFormat="1" applyFont="1" applyFill="1" applyAlignment="1"/>
    <xf numFmtId="3" fontId="3" fillId="4" borderId="19" xfId="12" applyNumberFormat="1" applyFont="1" applyAlignment="1">
      <alignment horizontal="center"/>
    </xf>
    <xf numFmtId="3" fontId="0" fillId="4" borderId="19" xfId="12" applyNumberFormat="1" applyFont="1" applyAlignment="1">
      <alignment horizontal="center"/>
    </xf>
    <xf numFmtId="169" fontId="46" fillId="9" borderId="55" xfId="13" applyNumberFormat="1" applyFont="1" applyFill="1" applyBorder="1"/>
    <xf numFmtId="0" fontId="2" fillId="4" borderId="19" xfId="12" applyFont="1"/>
    <xf numFmtId="0" fontId="0" fillId="4" borderId="19" xfId="12" applyFont="1"/>
    <xf numFmtId="169" fontId="7" fillId="4" borderId="19" xfId="12" applyNumberFormat="1" applyFont="1"/>
    <xf numFmtId="0" fontId="7" fillId="4" borderId="19" xfId="12" applyFont="1" applyAlignment="1">
      <alignment horizontal="right"/>
    </xf>
    <xf numFmtId="3" fontId="7" fillId="4" borderId="19" xfId="12" applyNumberFormat="1" applyFont="1"/>
    <xf numFmtId="169" fontId="46" fillId="9" borderId="55" xfId="13" applyNumberFormat="1" applyFont="1" applyFill="1" applyBorder="1" applyAlignment="1">
      <alignment horizontal="right"/>
    </xf>
    <xf numFmtId="189" fontId="17" fillId="19" borderId="30" xfId="14" applyNumberFormat="1" applyFill="1" applyAlignment="1">
      <alignment horizontal="center"/>
    </xf>
    <xf numFmtId="3" fontId="44" fillId="10" borderId="0" xfId="15" applyNumberFormat="1" applyFont="1" applyFill="1" applyAlignment="1">
      <alignment horizontal="center"/>
    </xf>
    <xf numFmtId="4" fontId="44" fillId="10" borderId="0" xfId="15" applyNumberFormat="1" applyFont="1" applyFill="1" applyAlignment="1">
      <alignment horizontal="center"/>
    </xf>
    <xf numFmtId="181" fontId="0" fillId="0" borderId="1" xfId="0" applyNumberFormat="1" applyFill="1" applyBorder="1"/>
    <xf numFmtId="183" fontId="0" fillId="0" borderId="1" xfId="0" applyNumberFormat="1" applyFill="1" applyBorder="1"/>
    <xf numFmtId="0" fontId="13" fillId="0" borderId="12" xfId="0" applyFont="1" applyFill="1" applyBorder="1" applyAlignment="1">
      <alignment horizontal="left" vertical="center"/>
    </xf>
    <xf numFmtId="0" fontId="0" fillId="10" borderId="1" xfId="0" applyFill="1" applyBorder="1" applyAlignment="1">
      <alignment horizontal="center"/>
    </xf>
    <xf numFmtId="0" fontId="0" fillId="10" borderId="1" xfId="0" applyFill="1" applyBorder="1" applyAlignment="1">
      <alignment horizontal="center" wrapText="1"/>
    </xf>
    <xf numFmtId="0" fontId="11" fillId="10" borderId="1" xfId="0" applyFont="1" applyFill="1" applyBorder="1" applyAlignment="1">
      <alignment horizontal="center"/>
    </xf>
    <xf numFmtId="165" fontId="11" fillId="10" borderId="1" xfId="13" applyNumberFormat="1" applyFont="1" applyFill="1" applyBorder="1" applyAlignment="1">
      <alignment horizontal="center"/>
    </xf>
    <xf numFmtId="3" fontId="10" fillId="10" borderId="12" xfId="0" applyNumberFormat="1" applyFont="1" applyFill="1" applyBorder="1" applyAlignment="1">
      <alignment horizontal="center" vertical="center" wrapText="1"/>
    </xf>
    <xf numFmtId="17" fontId="0" fillId="0" borderId="0" xfId="0" applyNumberFormat="1" applyAlignment="1">
      <alignment wrapText="1"/>
    </xf>
    <xf numFmtId="3" fontId="44" fillId="0" borderId="0" xfId="15" applyNumberFormat="1" applyFont="1" applyFill="1" applyAlignment="1">
      <alignment horizontal="center" wrapText="1"/>
    </xf>
    <xf numFmtId="4" fontId="44" fillId="0" borderId="0" xfId="15" applyNumberFormat="1" applyFont="1" applyFill="1" applyAlignment="1">
      <alignment horizontal="center" wrapText="1"/>
    </xf>
    <xf numFmtId="0" fontId="0" fillId="0" borderId="0" xfId="0" applyAlignment="1">
      <alignment wrapText="1"/>
    </xf>
    <xf numFmtId="0" fontId="2" fillId="0" borderId="0" xfId="0" applyFont="1" applyAlignment="1">
      <alignment horizontal="center"/>
    </xf>
    <xf numFmtId="3" fontId="31" fillId="4" borderId="19" xfId="12" applyNumberFormat="1" applyFont="1" applyAlignment="1">
      <alignment horizontal="center"/>
    </xf>
    <xf numFmtId="0" fontId="9" fillId="4" borderId="19" xfId="12" applyFont="1"/>
    <xf numFmtId="0" fontId="29" fillId="4" borderId="19" xfId="12" applyFont="1"/>
    <xf numFmtId="165" fontId="0" fillId="0" borderId="0" xfId="13" applyNumberFormat="1" applyFont="1" applyFill="1" applyBorder="1" applyAlignment="1"/>
    <xf numFmtId="10" fontId="0" fillId="0" borderId="0" xfId="13" applyNumberFormat="1" applyFont="1"/>
    <xf numFmtId="171" fontId="44" fillId="0" borderId="0" xfId="16" applyNumberFormat="1"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9" fillId="0" borderId="56" xfId="0" applyFont="1" applyBorder="1"/>
    <xf numFmtId="0" fontId="29" fillId="0" borderId="57" xfId="0" applyFont="1" applyBorder="1"/>
    <xf numFmtId="17" fontId="29" fillId="0" borderId="58" xfId="0" applyNumberFormat="1" applyFont="1" applyBorder="1"/>
    <xf numFmtId="3" fontId="29" fillId="0" borderId="59" xfId="0" applyNumberFormat="1" applyFont="1" applyBorder="1"/>
    <xf numFmtId="17" fontId="29" fillId="0" borderId="39" xfId="0" applyNumberFormat="1" applyFont="1" applyBorder="1"/>
    <xf numFmtId="3" fontId="29" fillId="0" borderId="40" xfId="0" applyNumberFormat="1" applyFont="1" applyBorder="1"/>
    <xf numFmtId="4" fontId="31" fillId="4" borderId="19" xfId="12" applyNumberFormat="1" applyFont="1" applyAlignment="1">
      <alignment horizontal="center"/>
    </xf>
    <xf numFmtId="0" fontId="32" fillId="0" borderId="0" xfId="0" applyFont="1" applyFill="1" applyBorder="1" applyAlignment="1">
      <alignment horizontal="right"/>
    </xf>
    <xf numFmtId="0" fontId="11" fillId="4" borderId="19" xfId="12" applyFont="1"/>
    <xf numFmtId="0" fontId="2" fillId="0" borderId="4" xfId="0" applyFont="1" applyBorder="1"/>
    <xf numFmtId="0" fontId="2" fillId="0" borderId="6" xfId="0" applyFont="1" applyBorder="1"/>
    <xf numFmtId="0" fontId="2" fillId="20" borderId="18" xfId="0" applyFont="1" applyFill="1" applyBorder="1" applyAlignment="1">
      <alignment horizontal="center"/>
    </xf>
    <xf numFmtId="0" fontId="2" fillId="20" borderId="9" xfId="0" applyFont="1" applyFill="1" applyBorder="1" applyAlignment="1">
      <alignment horizontal="center"/>
    </xf>
    <xf numFmtId="0" fontId="2" fillId="20" borderId="10" xfId="0" applyFont="1" applyFill="1" applyBorder="1" applyAlignment="1">
      <alignment horizontal="center"/>
    </xf>
    <xf numFmtId="190" fontId="0" fillId="0" borderId="0" xfId="13" applyNumberFormat="1" applyFont="1"/>
    <xf numFmtId="3" fontId="11" fillId="4" borderId="19" xfId="12" applyNumberFormat="1" applyFont="1"/>
    <xf numFmtId="1" fontId="0" fillId="0" borderId="1" xfId="0" applyNumberFormat="1" applyBorder="1" applyAlignment="1">
      <alignment horizontal="center"/>
    </xf>
    <xf numFmtId="1" fontId="0" fillId="0" borderId="5" xfId="0" applyNumberFormat="1" applyBorder="1" applyAlignment="1">
      <alignment horizontal="center"/>
    </xf>
    <xf numFmtId="171" fontId="0" fillId="0" borderId="5" xfId="1" applyNumberFormat="1" applyFont="1" applyBorder="1" applyAlignment="1"/>
    <xf numFmtId="171" fontId="0" fillId="0" borderId="1" xfId="1" applyNumberFormat="1" applyFont="1" applyBorder="1" applyAlignment="1">
      <alignment horizontal="center"/>
    </xf>
    <xf numFmtId="171" fontId="0" fillId="10" borderId="7" xfId="1" applyNumberFormat="1" applyFont="1" applyFill="1" applyBorder="1" applyAlignment="1">
      <alignment horizontal="center"/>
    </xf>
    <xf numFmtId="171" fontId="0" fillId="0" borderId="8" xfId="1" applyNumberFormat="1" applyFont="1" applyBorder="1" applyAlignment="1">
      <alignment horizontal="center"/>
    </xf>
    <xf numFmtId="3" fontId="7" fillId="4" borderId="19" xfId="12" applyNumberFormat="1" applyFont="1" applyAlignment="1">
      <alignment horizontal="center"/>
    </xf>
    <xf numFmtId="44" fontId="0" fillId="0" borderId="0" xfId="21" applyFont="1"/>
    <xf numFmtId="44" fontId="0" fillId="0" borderId="32" xfId="21" applyFont="1" applyBorder="1"/>
    <xf numFmtId="0" fontId="0" fillId="22" borderId="0" xfId="0" applyFill="1"/>
    <xf numFmtId="165" fontId="43" fillId="4" borderId="19" xfId="12" applyNumberFormat="1" applyFont="1"/>
    <xf numFmtId="9" fontId="43" fillId="11" borderId="19" xfId="16" applyNumberFormat="1" applyFont="1" applyFill="1" applyBorder="1"/>
    <xf numFmtId="0" fontId="43" fillId="11" borderId="19" xfId="16" applyFont="1" applyFill="1" applyBorder="1"/>
    <xf numFmtId="44" fontId="0" fillId="0" borderId="0" xfId="0" applyNumberFormat="1"/>
    <xf numFmtId="0" fontId="2" fillId="21" borderId="56" xfId="0" applyFont="1" applyFill="1" applyBorder="1"/>
    <xf numFmtId="0" fontId="0" fillId="21" borderId="60" xfId="0" applyFill="1" applyBorder="1"/>
    <xf numFmtId="0" fontId="0" fillId="21" borderId="57" xfId="0" applyFill="1" applyBorder="1"/>
    <xf numFmtId="0" fontId="0" fillId="21" borderId="58" xfId="0" applyFill="1" applyBorder="1"/>
    <xf numFmtId="0" fontId="0" fillId="21" borderId="0" xfId="0" applyFill="1" applyBorder="1"/>
    <xf numFmtId="0" fontId="0" fillId="21" borderId="59" xfId="0" applyFill="1" applyBorder="1"/>
    <xf numFmtId="0" fontId="0" fillId="0" borderId="58" xfId="0" applyBorder="1"/>
    <xf numFmtId="0" fontId="0" fillId="0" borderId="0" xfId="0" applyBorder="1"/>
    <xf numFmtId="0" fontId="0" fillId="0" borderId="59" xfId="0" applyBorder="1"/>
    <xf numFmtId="44" fontId="0" fillId="0" borderId="59" xfId="21" applyFont="1" applyBorder="1"/>
    <xf numFmtId="0" fontId="2" fillId="0" borderId="58" xfId="0" applyFont="1" applyBorder="1"/>
    <xf numFmtId="44" fontId="0" fillId="0" borderId="61" xfId="21" applyFont="1" applyBorder="1"/>
    <xf numFmtId="44" fontId="0" fillId="0" borderId="0" xfId="21" applyFont="1" applyBorder="1"/>
    <xf numFmtId="0" fontId="0" fillId="0" borderId="39" xfId="0" applyBorder="1"/>
    <xf numFmtId="44" fontId="0" fillId="0" borderId="62" xfId="21" applyFont="1" applyBorder="1"/>
    <xf numFmtId="44" fontId="0" fillId="0" borderId="63" xfId="21" applyFont="1" applyBorder="1"/>
    <xf numFmtId="0" fontId="5" fillId="0" borderId="58" xfId="0" applyFont="1" applyBorder="1"/>
    <xf numFmtId="1" fontId="0" fillId="0" borderId="8" xfId="0" applyNumberFormat="1" applyBorder="1" applyAlignment="1">
      <alignment horizontal="center"/>
    </xf>
    <xf numFmtId="1" fontId="0" fillId="0" borderId="7" xfId="0" applyNumberFormat="1" applyBorder="1" applyAlignment="1">
      <alignment horizontal="center"/>
    </xf>
    <xf numFmtId="0" fontId="2" fillId="20" borderId="18" xfId="0" applyFont="1" applyFill="1" applyBorder="1" applyAlignment="1">
      <alignment horizontal="center" vertical="center"/>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20" borderId="9" xfId="0" applyFont="1" applyFill="1" applyBorder="1" applyAlignment="1">
      <alignment horizontal="center" vertical="center" wrapText="1"/>
    </xf>
    <xf numFmtId="0" fontId="5" fillId="19" borderId="0" xfId="0" applyFont="1" applyFill="1" applyAlignment="1">
      <alignment horizontal="center" wrapText="1"/>
    </xf>
    <xf numFmtId="0" fontId="0" fillId="19" borderId="0" xfId="0" applyFill="1"/>
    <xf numFmtId="3" fontId="0" fillId="19" borderId="0" xfId="0" applyNumberFormat="1" applyFill="1"/>
    <xf numFmtId="0" fontId="5" fillId="23" borderId="0" xfId="0" applyFont="1" applyFill="1" applyAlignment="1">
      <alignment horizontal="center" wrapText="1"/>
    </xf>
    <xf numFmtId="3" fontId="0" fillId="23" borderId="0" xfId="0" applyNumberFormat="1" applyFill="1"/>
    <xf numFmtId="165" fontId="0" fillId="23" borderId="0" xfId="13" applyNumberFormat="1" applyFont="1" applyFill="1"/>
    <xf numFmtId="3" fontId="0" fillId="4" borderId="19" xfId="12" applyNumberFormat="1" applyFont="1"/>
    <xf numFmtId="3" fontId="17" fillId="6" borderId="30" xfId="14" applyNumberFormat="1"/>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center" vertical="center"/>
    </xf>
    <xf numFmtId="0" fontId="13" fillId="0" borderId="1" xfId="0" applyFont="1" applyFill="1" applyBorder="1" applyAlignment="1">
      <alignment horizontal="left" vertical="center"/>
    </xf>
    <xf numFmtId="0" fontId="0" fillId="0" borderId="17" xfId="0" applyFill="1" applyBorder="1"/>
    <xf numFmtId="191" fontId="3" fillId="0" borderId="0" xfId="10" applyNumberFormat="1" applyAlignment="1">
      <alignment horizontal="center" vertical="center"/>
    </xf>
    <xf numFmtId="173" fontId="0" fillId="0" borderId="0" xfId="1" applyNumberFormat="1" applyFont="1"/>
    <xf numFmtId="191" fontId="3" fillId="0" borderId="23" xfId="10" applyNumberFormat="1" applyBorder="1" applyAlignment="1">
      <alignment horizontal="center" vertical="center"/>
    </xf>
    <xf numFmtId="44" fontId="0" fillId="0" borderId="23" xfId="21" applyFont="1" applyBorder="1"/>
    <xf numFmtId="192" fontId="0" fillId="0" borderId="0" xfId="21" applyNumberFormat="1" applyFont="1"/>
    <xf numFmtId="192" fontId="0" fillId="0" borderId="32" xfId="21" applyNumberFormat="1" applyFont="1" applyBorder="1"/>
    <xf numFmtId="3" fontId="44" fillId="4" borderId="19" xfId="12" applyNumberFormat="1" applyFont="1" applyAlignment="1">
      <alignment horizontal="center"/>
    </xf>
    <xf numFmtId="9" fontId="2" fillId="0" borderId="1" xfId="13" applyFill="1" applyBorder="1"/>
    <xf numFmtId="9" fontId="44" fillId="0" borderId="1" xfId="15" applyNumberFormat="1" applyFont="1" applyFill="1" applyBorder="1"/>
    <xf numFmtId="9" fontId="2" fillId="0" borderId="1" xfId="13" applyFont="1" applyFill="1" applyBorder="1"/>
    <xf numFmtId="5" fontId="0" fillId="0" borderId="1" xfId="0" applyNumberFormat="1" applyFill="1" applyBorder="1"/>
    <xf numFmtId="3" fontId="29" fillId="5" borderId="11" xfId="15" applyNumberFormat="1" applyFont="1" applyFill="1" applyBorder="1" applyAlignment="1">
      <alignment horizontal="center" vertical="center" wrapText="1"/>
    </xf>
    <xf numFmtId="3" fontId="29" fillId="5" borderId="12" xfId="15" applyNumberFormat="1" applyFont="1" applyFill="1" applyBorder="1" applyAlignment="1">
      <alignment horizontal="center" vertical="center" wrapText="1"/>
    </xf>
    <xf numFmtId="3" fontId="29" fillId="5" borderId="13" xfId="15" applyNumberFormat="1" applyFont="1" applyFill="1" applyBorder="1" applyAlignment="1">
      <alignment horizontal="center" vertical="center" wrapText="1"/>
    </xf>
    <xf numFmtId="0" fontId="29" fillId="5" borderId="11" xfId="15" applyFont="1" applyFill="1" applyBorder="1" applyAlignment="1">
      <alignment horizontal="center" vertical="center" wrapText="1"/>
    </xf>
    <xf numFmtId="0" fontId="29" fillId="5" borderId="13" xfId="15" applyFont="1" applyFill="1" applyBorder="1" applyAlignment="1">
      <alignment horizontal="center" vertical="center" wrapText="1"/>
    </xf>
    <xf numFmtId="0" fontId="29" fillId="5" borderId="12" xfId="15" applyFont="1" applyFill="1" applyBorder="1" applyAlignment="1">
      <alignment horizontal="center" vertical="center" wrapText="1"/>
    </xf>
    <xf numFmtId="3" fontId="2" fillId="0" borderId="27" xfId="0" applyNumberFormat="1" applyFont="1" applyBorder="1" applyAlignment="1">
      <alignment horizontal="center"/>
    </xf>
    <xf numFmtId="3" fontId="0" fillId="0" borderId="28" xfId="0" applyNumberFormat="1" applyBorder="1" applyAlignment="1">
      <alignment horizontal="center"/>
    </xf>
    <xf numFmtId="3" fontId="0" fillId="0" borderId="29" xfId="0" applyNumberFormat="1" applyBorder="1" applyAlignment="1">
      <alignment horizontal="center"/>
    </xf>
    <xf numFmtId="10" fontId="2" fillId="0" borderId="27" xfId="13" applyNumberFormat="1" applyFont="1" applyBorder="1" applyAlignment="1">
      <alignment horizontal="center"/>
    </xf>
    <xf numFmtId="10" fontId="0" fillId="0" borderId="28" xfId="13" applyNumberFormat="1" applyFont="1" applyBorder="1" applyAlignment="1">
      <alignment horizontal="center"/>
    </xf>
    <xf numFmtId="10" fontId="0" fillId="0" borderId="29" xfId="13" applyNumberFormat="1" applyFont="1" applyBorder="1" applyAlignment="1">
      <alignment horizontal="center"/>
    </xf>
    <xf numFmtId="0" fontId="12" fillId="0" borderId="11" xfId="11" applyBorder="1" applyAlignment="1">
      <alignment horizontal="center"/>
    </xf>
    <xf numFmtId="0" fontId="12" fillId="0" borderId="12" xfId="11" applyBorder="1" applyAlignment="1">
      <alignment horizontal="center"/>
    </xf>
    <xf numFmtId="0" fontId="12" fillId="0" borderId="13" xfId="11" applyBorder="1" applyAlignment="1">
      <alignment horizontal="center"/>
    </xf>
    <xf numFmtId="0" fontId="2" fillId="4" borderId="0" xfId="12" applyFont="1" applyBorder="1" applyAlignment="1">
      <alignment horizontal="center" wrapText="1"/>
    </xf>
    <xf numFmtId="3" fontId="2" fillId="10" borderId="21"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4"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191" fontId="5" fillId="0" borderId="0" xfId="10" applyNumberFormat="1" applyFont="1" applyAlignment="1">
      <alignment horizontal="center" vertical="center"/>
    </xf>
    <xf numFmtId="191" fontId="3" fillId="0" borderId="0" xfId="10" applyNumberFormat="1" applyAlignment="1">
      <alignment horizontal="center" vertical="center"/>
    </xf>
    <xf numFmtId="0" fontId="5" fillId="0" borderId="26" xfId="0" applyNumberFormat="1" applyFont="1" applyBorder="1" applyAlignment="1">
      <alignment horizontal="center"/>
    </xf>
    <xf numFmtId="0" fontId="5" fillId="0" borderId="23" xfId="0" applyNumberFormat="1" applyFont="1" applyBorder="1" applyAlignment="1">
      <alignment horizontal="center"/>
    </xf>
    <xf numFmtId="0" fontId="5" fillId="0" borderId="22" xfId="0" applyNumberFormat="1" applyFont="1" applyBorder="1" applyAlignment="1">
      <alignment horizontal="center"/>
    </xf>
    <xf numFmtId="0" fontId="5" fillId="0" borderId="14" xfId="0" applyNumberFormat="1" applyFont="1" applyBorder="1" applyAlignment="1">
      <alignment horizontal="center"/>
    </xf>
    <xf numFmtId="0" fontId="5" fillId="0" borderId="17" xfId="0" applyNumberFormat="1" applyFont="1" applyBorder="1" applyAlignment="1">
      <alignment horizontal="center"/>
    </xf>
    <xf numFmtId="0" fontId="5" fillId="0" borderId="21" xfId="0" applyNumberFormat="1" applyFont="1" applyBorder="1" applyAlignment="1">
      <alignment horizontal="center" wrapText="1"/>
    </xf>
    <xf numFmtId="0" fontId="5" fillId="0" borderId="20" xfId="0" applyNumberFormat="1" applyFont="1" applyBorder="1" applyAlignment="1">
      <alignment horizontal="center" wrapText="1"/>
    </xf>
    <xf numFmtId="0" fontId="5" fillId="0" borderId="21" xfId="0" applyFont="1" applyBorder="1" applyAlignment="1">
      <alignment horizontal="center" wrapText="1"/>
    </xf>
    <xf numFmtId="0" fontId="5" fillId="0" borderId="24" xfId="0" applyFont="1" applyBorder="1" applyAlignment="1">
      <alignment horizontal="center" wrapText="1"/>
    </xf>
    <xf numFmtId="0" fontId="5" fillId="0" borderId="15" xfId="0" applyNumberFormat="1" applyFont="1" applyBorder="1" applyAlignment="1">
      <alignment horizontal="center"/>
    </xf>
    <xf numFmtId="0" fontId="5" fillId="0" borderId="16" xfId="0" applyNumberFormat="1" applyFont="1" applyBorder="1" applyAlignment="1">
      <alignment horizontal="center"/>
    </xf>
    <xf numFmtId="0" fontId="5" fillId="0" borderId="13" xfId="0" applyNumberFormat="1" applyFont="1" applyBorder="1" applyAlignment="1">
      <alignment horizontal="center"/>
    </xf>
    <xf numFmtId="0" fontId="5" fillId="0" borderId="26" xfId="0" applyNumberFormat="1" applyFont="1" applyFill="1" applyBorder="1" applyAlignment="1">
      <alignment horizontal="center"/>
    </xf>
    <xf numFmtId="0" fontId="5" fillId="0" borderId="23" xfId="0" applyNumberFormat="1" applyFont="1" applyFill="1" applyBorder="1" applyAlignment="1">
      <alignment horizontal="center"/>
    </xf>
    <xf numFmtId="0" fontId="5" fillId="0" borderId="22" xfId="0" applyNumberFormat="1" applyFont="1" applyFill="1" applyBorder="1" applyAlignment="1">
      <alignment horizont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 xfId="0" applyFont="1" applyFill="1" applyBorder="1" applyAlignment="1">
      <alignment horizontal="left" vertical="center"/>
    </xf>
    <xf numFmtId="0" fontId="10" fillId="0" borderId="1" xfId="0" applyFont="1" applyFill="1" applyBorder="1" applyAlignment="1">
      <alignment horizontal="left" vertical="center"/>
    </xf>
    <xf numFmtId="3"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11" applyFont="1" applyFill="1" applyBorder="1" applyAlignment="1">
      <alignment horizontal="center" vertical="center"/>
    </xf>
    <xf numFmtId="0" fontId="13" fillId="0" borderId="1" xfId="0" applyFont="1" applyBorder="1" applyAlignment="1">
      <alignment horizontal="left"/>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3" xfId="0" applyFont="1" applyFill="1" applyBorder="1" applyAlignment="1">
      <alignment horizontal="left" vertical="center"/>
    </xf>
    <xf numFmtId="0" fontId="0" fillId="0" borderId="1" xfId="0" applyBorder="1" applyAlignment="1">
      <alignment horizontal="center"/>
    </xf>
    <xf numFmtId="0" fontId="10" fillId="0" borderId="1" xfId="0" applyFont="1" applyFill="1" applyBorder="1" applyAlignment="1">
      <alignment horizontal="left" vertical="center" wrapText="1"/>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3" fontId="2" fillId="0" borderId="11" xfId="16" applyNumberFormat="1" applyFont="1" applyFill="1" applyBorder="1" applyAlignment="1">
      <alignment horizontal="center"/>
    </xf>
    <xf numFmtId="3" fontId="2" fillId="0" borderId="12" xfId="16" applyNumberFormat="1" applyFont="1" applyFill="1" applyBorder="1" applyAlignment="1">
      <alignment horizontal="center"/>
    </xf>
    <xf numFmtId="3" fontId="2" fillId="0" borderId="13" xfId="16" applyNumberFormat="1" applyFont="1" applyFill="1" applyBorder="1" applyAlignment="1">
      <alignment horizontal="center"/>
    </xf>
    <xf numFmtId="0" fontId="10" fillId="0" borderId="11" xfId="11" applyFont="1" applyFill="1" applyBorder="1" applyAlignment="1">
      <alignment horizontal="left" vertical="center"/>
    </xf>
    <xf numFmtId="0" fontId="10" fillId="0" borderId="13" xfId="11" applyFont="1" applyFill="1" applyBorder="1" applyAlignment="1">
      <alignment horizontal="left" vertical="center"/>
    </xf>
    <xf numFmtId="0" fontId="10" fillId="0" borderId="12" xfId="11" applyFont="1" applyFill="1" applyBorder="1" applyAlignment="1">
      <alignment horizontal="left" vertical="center"/>
    </xf>
    <xf numFmtId="0" fontId="13" fillId="0" borderId="12"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11" applyFont="1" applyFill="1" applyBorder="1" applyAlignment="1">
      <alignment vertical="center"/>
    </xf>
    <xf numFmtId="0" fontId="11" fillId="0" borderId="11" xfId="16" applyFont="1" applyFill="1" applyBorder="1" applyAlignment="1">
      <alignment horizontal="left" vertical="center"/>
    </xf>
    <xf numFmtId="0" fontId="11" fillId="0" borderId="12" xfId="16" applyFont="1" applyFill="1" applyBorder="1" applyAlignment="1">
      <alignment horizontal="left" vertical="center"/>
    </xf>
    <xf numFmtId="3" fontId="2" fillId="0" borderId="11" xfId="0" applyNumberFormat="1" applyFont="1" applyFill="1" applyBorder="1" applyAlignment="1">
      <alignment horizontal="center"/>
    </xf>
    <xf numFmtId="3" fontId="2" fillId="0" borderId="12" xfId="0" applyNumberFormat="1" applyFont="1" applyFill="1" applyBorder="1" applyAlignment="1">
      <alignment horizontal="center"/>
    </xf>
    <xf numFmtId="3" fontId="2" fillId="0" borderId="13"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3" fontId="2" fillId="0" borderId="11" xfId="15" applyNumberFormat="1" applyFont="1" applyFill="1" applyBorder="1" applyAlignment="1">
      <alignment horizontal="center"/>
    </xf>
    <xf numFmtId="3" fontId="2" fillId="0" borderId="12" xfId="15" applyNumberFormat="1" applyFont="1" applyFill="1" applyBorder="1" applyAlignment="1">
      <alignment horizontal="center"/>
    </xf>
    <xf numFmtId="3" fontId="2" fillId="0" borderId="13" xfId="15" applyNumberFormat="1" applyFont="1" applyFill="1" applyBorder="1" applyAlignment="1">
      <alignment horizontal="center"/>
    </xf>
    <xf numFmtId="0" fontId="10" fillId="0" borderId="11" xfId="16" applyFont="1" applyFill="1" applyBorder="1" applyAlignment="1">
      <alignment horizontal="center" vertical="center"/>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1" xfId="16" applyFont="1" applyFill="1" applyBorder="1" applyAlignment="1">
      <alignment horizontal="left" vertical="center"/>
    </xf>
    <xf numFmtId="0" fontId="10" fillId="0" borderId="12" xfId="16" applyFont="1" applyFill="1" applyBorder="1" applyAlignment="1">
      <alignment horizontal="left" vertical="center"/>
    </xf>
    <xf numFmtId="0" fontId="10" fillId="0" borderId="11" xfId="11" applyFont="1" applyFill="1" applyBorder="1" applyAlignment="1">
      <alignment horizontal="center" vertical="center"/>
    </xf>
    <xf numFmtId="0" fontId="10" fillId="0" borderId="13" xfId="11" applyFont="1" applyFill="1" applyBorder="1"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171" fontId="9" fillId="0" borderId="0" xfId="0" applyNumberFormat="1" applyFont="1" applyFill="1" applyAlignment="1">
      <alignment horizontal="center"/>
    </xf>
    <xf numFmtId="0" fontId="2" fillId="0" borderId="0" xfId="0" applyFont="1" applyAlignment="1">
      <alignment horizontal="center"/>
    </xf>
    <xf numFmtId="0" fontId="30" fillId="0" borderId="1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center"/>
    </xf>
    <xf numFmtId="3" fontId="31" fillId="6" borderId="6" xfId="14" applyNumberFormat="1" applyFont="1" applyBorder="1" applyAlignment="1">
      <alignment horizontal="center" vertical="center"/>
    </xf>
    <xf numFmtId="3" fontId="31" fillId="6" borderId="7" xfId="14" applyNumberFormat="1" applyFont="1" applyBorder="1" applyAlignment="1">
      <alignment horizontal="center" vertical="center"/>
    </xf>
    <xf numFmtId="3" fontId="31" fillId="6" borderId="8" xfId="14" applyNumberFormat="1" applyFont="1" applyBorder="1" applyAlignment="1">
      <alignment horizontal="center" vertical="center"/>
    </xf>
    <xf numFmtId="0" fontId="25" fillId="0" borderId="33" xfId="0" applyFont="1" applyBorder="1" applyAlignment="1">
      <alignment horizontal="center"/>
    </xf>
    <xf numFmtId="0" fontId="25" fillId="0" borderId="3" xfId="0" applyFont="1" applyBorder="1" applyAlignment="1">
      <alignment horizontal="center"/>
    </xf>
    <xf numFmtId="0" fontId="25" fillId="0" borderId="34" xfId="0" applyFont="1" applyBorder="1" applyAlignment="1">
      <alignment horizontal="center"/>
    </xf>
    <xf numFmtId="3" fontId="0" fillId="0" borderId="21" xfId="0" applyNumberFormat="1" applyBorder="1" applyAlignment="1">
      <alignment horizontal="right" vertical="center"/>
    </xf>
    <xf numFmtId="3" fontId="0" fillId="0" borderId="20" xfId="0" applyNumberFormat="1" applyBorder="1" applyAlignment="1">
      <alignment horizontal="right" vertical="center"/>
    </xf>
    <xf numFmtId="3" fontId="0" fillId="0" borderId="24" xfId="0" applyNumberFormat="1" applyBorder="1" applyAlignment="1">
      <alignment horizontal="right" vertical="center"/>
    </xf>
    <xf numFmtId="3" fontId="21" fillId="9" borderId="30" xfId="17" applyNumberFormat="1" applyAlignment="1">
      <alignment horizontal="center" vertical="center"/>
    </xf>
    <xf numFmtId="3" fontId="21" fillId="9" borderId="30" xfId="17" applyNumberFormat="1" applyAlignment="1">
      <alignment horizontal="right" vertical="center"/>
    </xf>
    <xf numFmtId="0" fontId="9" fillId="0" borderId="1" xfId="0" applyFont="1" applyBorder="1" applyAlignment="1">
      <alignment horizontal="right" vertical="center"/>
    </xf>
    <xf numFmtId="3" fontId="0" fillId="0" borderId="21"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3" fontId="0" fillId="10" borderId="21" xfId="0" applyNumberFormat="1" applyFill="1" applyBorder="1" applyAlignment="1">
      <alignment horizontal="center" vertical="center"/>
    </xf>
    <xf numFmtId="3" fontId="0" fillId="10" borderId="20" xfId="0" applyNumberFormat="1" applyFill="1" applyBorder="1" applyAlignment="1">
      <alignment horizontal="center" vertical="center"/>
    </xf>
    <xf numFmtId="3" fontId="0" fillId="10" borderId="24" xfId="0" applyNumberFormat="1" applyFill="1" applyBorder="1" applyAlignment="1">
      <alignment horizontal="center" vertical="center"/>
    </xf>
    <xf numFmtId="0" fontId="27" fillId="4" borderId="41" xfId="18" applyFont="1" applyBorder="1" applyAlignment="1">
      <alignment horizontal="center"/>
    </xf>
    <xf numFmtId="0" fontId="27" fillId="4" borderId="42" xfId="18" applyFont="1" applyBorder="1" applyAlignment="1">
      <alignment horizontal="center"/>
    </xf>
    <xf numFmtId="0" fontId="27" fillId="4" borderId="43" xfId="18" applyFont="1" applyBorder="1" applyAlignment="1">
      <alignment horizontal="center"/>
    </xf>
    <xf numFmtId="171" fontId="9" fillId="10" borderId="32" xfId="0" applyNumberFormat="1" applyFont="1" applyFill="1" applyBorder="1" applyAlignment="1">
      <alignment horizontal="center"/>
    </xf>
    <xf numFmtId="171" fontId="9" fillId="10" borderId="47" xfId="0" applyNumberFormat="1" applyFont="1" applyFill="1" applyBorder="1" applyAlignment="1">
      <alignment horizontal="center"/>
    </xf>
    <xf numFmtId="3" fontId="9" fillId="10" borderId="48" xfId="15" applyNumberFormat="1" applyFont="1" applyFill="1" applyBorder="1" applyAlignment="1">
      <alignment horizontal="center"/>
    </xf>
    <xf numFmtId="3" fontId="9" fillId="10" borderId="32" xfId="15" applyNumberFormat="1"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cellXfs>
  <cellStyles count="22">
    <cellStyle name="Bad" xfId="16" builtinId="27"/>
    <cellStyle name="Calculation" xfId="17" builtinId="22"/>
    <cellStyle name="Comma" xfId="1" builtinId="3"/>
    <cellStyle name="Comma 2" xfId="2"/>
    <cellStyle name="Comma 3" xfId="3"/>
    <cellStyle name="Comma_CDM monthly amounts" xfId="4"/>
    <cellStyle name="Comma_Horizon 2011 Load Forecast Model  June 25, 2010" xfId="20"/>
    <cellStyle name="Comma0" xfId="5"/>
    <cellStyle name="Currency" xfId="21" builtinId="4"/>
    <cellStyle name="Currency0" xfId="6"/>
    <cellStyle name="Date" xfId="7"/>
    <cellStyle name="Explanatory Text" xfId="19" builtinId="53"/>
    <cellStyle name="Fixed" xfId="8"/>
    <cellStyle name="Good" xfId="15" builtinId="26"/>
    <cellStyle name="Input" xfId="14" builtinId="20"/>
    <cellStyle name="Normal" xfId="0" builtinId="0"/>
    <cellStyle name="Normal 2" xfId="9"/>
    <cellStyle name="Normal_OEB Trial Balance - Regulatory-July24-07" xfId="10"/>
    <cellStyle name="Normal_Sheet2" xfId="11"/>
    <cellStyle name="Note" xfId="18" builtinId="10"/>
    <cellStyle name="Note 2" xfId="12"/>
    <cellStyle name="Percent" xfId="13" builtinId="5"/>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calcChain" Target="calcChain.xml"/><Relationship Id="rId10" Type="http://schemas.openxmlformats.org/officeDocument/2006/relationships/chartsheet" Target="chartsheets/sheet1.xml"/><Relationship Id="rId19" Type="http://schemas.openxmlformats.org/officeDocument/2006/relationships/worksheet" Target="worksheets/sheet18.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(kWh)</a:t>
            </a:r>
          </a:p>
        </c:rich>
      </c:tx>
      <c:overlay val="0"/>
    </c:title>
    <c:autoTitleDeleted val="0"/>
    <c:plotArea>
      <c:layout/>
      <c:barChart>
        <c:barDir val="col"/>
        <c:grouping val="clustered"/>
        <c:varyColors val="0"/>
        <c:ser>
          <c:idx val="0"/>
          <c:order val="0"/>
          <c:tx>
            <c:strRef>
              <c:f>Summary!$A$68</c:f>
              <c:strCache>
                <c:ptCount val="1"/>
                <c:pt idx="0">
                  <c:v>Actual kWh</c:v>
                </c:pt>
              </c:strCache>
            </c:strRef>
          </c:tx>
          <c:spPr>
            <a:solidFill>
              <a:schemeClr val="bg1">
                <a:lumMod val="95000"/>
              </a:schemeClr>
            </a:solidFill>
            <a:ln>
              <a:solidFill>
                <a:schemeClr val="tx1"/>
              </a:solidFill>
            </a:ln>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Summary!$B$68:$R$68</c:f>
              <c:numCache>
                <c:formatCode>_(* #,##0_);_(* \(#,##0\);_(* "-"??_);_(@_)</c:formatCode>
                <c:ptCount val="17"/>
                <c:pt idx="0">
                  <c:v>137138484</c:v>
                </c:pt>
                <c:pt idx="1">
                  <c:v>135913545</c:v>
                </c:pt>
                <c:pt idx="2">
                  <c:v>143381600</c:v>
                </c:pt>
                <c:pt idx="3">
                  <c:v>152311035</c:v>
                </c:pt>
                <c:pt idx="4">
                  <c:v>156667497</c:v>
                </c:pt>
                <c:pt idx="5">
                  <c:v>165931549</c:v>
                </c:pt>
                <c:pt idx="6">
                  <c:v>176920132.90000001</c:v>
                </c:pt>
                <c:pt idx="7">
                  <c:v>174477589</c:v>
                </c:pt>
                <c:pt idx="8">
                  <c:v>178152405</c:v>
                </c:pt>
                <c:pt idx="9">
                  <c:v>188569914</c:v>
                </c:pt>
                <c:pt idx="10">
                  <c:v>182453427</c:v>
                </c:pt>
                <c:pt idx="11">
                  <c:v>188506590</c:v>
                </c:pt>
                <c:pt idx="12">
                  <c:v>182813235</c:v>
                </c:pt>
                <c:pt idx="13">
                  <c:v>178335380.82587692</c:v>
                </c:pt>
                <c:pt idx="14">
                  <c:v>186321134.65720975</c:v>
                </c:pt>
                <c:pt idx="15">
                  <c:v>188636352</c:v>
                </c:pt>
                <c:pt idx="16">
                  <c:v>189168670.89000002</c:v>
                </c:pt>
              </c:numCache>
            </c:numRef>
          </c:val>
        </c:ser>
        <c:ser>
          <c:idx val="1"/>
          <c:order val="1"/>
          <c:tx>
            <c:strRef>
              <c:f>Summary!$A$69</c:f>
              <c:strCache>
                <c:ptCount val="1"/>
                <c:pt idx="0">
                  <c:v>Predicted kWh</c:v>
                </c:pt>
              </c:strCache>
            </c:strRef>
          </c:tx>
          <c:spPr>
            <a:solidFill>
              <a:srgbClr val="C00000"/>
            </a:solidFill>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Summary!$B$69:$R$69</c:f>
              <c:numCache>
                <c:formatCode>_(* #,##0_);_(* \(#,##0\);_(* "-"??_);_(@_)</c:formatCode>
                <c:ptCount val="17"/>
                <c:pt idx="0">
                  <c:v>134826320.02497491</c:v>
                </c:pt>
                <c:pt idx="1">
                  <c:v>135956268.24449831</c:v>
                </c:pt>
                <c:pt idx="2">
                  <c:v>144644405.65926135</c:v>
                </c:pt>
                <c:pt idx="3">
                  <c:v>154236213.17190471</c:v>
                </c:pt>
                <c:pt idx="4">
                  <c:v>159709880.52386999</c:v>
                </c:pt>
                <c:pt idx="5">
                  <c:v>165846865.76937869</c:v>
                </c:pt>
                <c:pt idx="6">
                  <c:v>175207446.21584722</c:v>
                </c:pt>
                <c:pt idx="7">
                  <c:v>174074041.90562162</c:v>
                </c:pt>
                <c:pt idx="8">
                  <c:v>174837462.18309715</c:v>
                </c:pt>
                <c:pt idx="9">
                  <c:v>188383383.54167727</c:v>
                </c:pt>
                <c:pt idx="10">
                  <c:v>183447501.63019586</c:v>
                </c:pt>
                <c:pt idx="11">
                  <c:v>189275554.8282997</c:v>
                </c:pt>
                <c:pt idx="12">
                  <c:v>185570635.32064036</c:v>
                </c:pt>
                <c:pt idx="13">
                  <c:v>178435180.31848434</c:v>
                </c:pt>
                <c:pt idx="14">
                  <c:v>184469801.87037647</c:v>
                </c:pt>
                <c:pt idx="15">
                  <c:v>186686295.30929995</c:v>
                </c:pt>
                <c:pt idx="16">
                  <c:v>190091284.75565851</c:v>
                </c:pt>
              </c:numCache>
            </c:numRef>
          </c:val>
        </c:ser>
        <c:dLbls>
          <c:showLegendKey val="0"/>
          <c:showVal val="0"/>
          <c:showCatName val="0"/>
          <c:showSerName val="0"/>
          <c:showPercent val="0"/>
          <c:showBubbleSize val="0"/>
        </c:dLbls>
        <c:gapWidth val="75"/>
        <c:overlap val="-25"/>
        <c:axId val="210429824"/>
        <c:axId val="210431360"/>
      </c:barChart>
      <c:catAx>
        <c:axId val="210429824"/>
        <c:scaling>
          <c:orientation val="minMax"/>
        </c:scaling>
        <c:delete val="0"/>
        <c:axPos val="b"/>
        <c:numFmt formatCode="General" sourceLinked="1"/>
        <c:majorTickMark val="none"/>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210431360"/>
        <c:crosses val="autoZero"/>
        <c:auto val="1"/>
        <c:lblAlgn val="ctr"/>
        <c:lblOffset val="100"/>
        <c:noMultiLvlLbl val="0"/>
      </c:catAx>
      <c:valAx>
        <c:axId val="210431360"/>
        <c:scaling>
          <c:orientation val="minMax"/>
          <c:min val="2500"/>
        </c:scaling>
        <c:delete val="0"/>
        <c:axPos val="l"/>
        <c:majorGridlines/>
        <c:numFmt formatCode="_(* #,##0_);_(* \(#,##0\);_(* &quot;-&quot;??_);_(@_)" sourceLinked="1"/>
        <c:majorTickMark val="none"/>
        <c:minorTickMark val="none"/>
        <c:tickLblPos val="nextTo"/>
        <c:spPr>
          <a:ln w="9525">
            <a:noFill/>
          </a:ln>
        </c:spPr>
        <c:txPr>
          <a:bodyPr rot="0" vert="horz"/>
          <a:lstStyle/>
          <a:p>
            <a:pPr>
              <a:defRPr sz="1100" b="0" i="0" u="none" strike="noStrike" baseline="0">
                <a:solidFill>
                  <a:srgbClr val="000000"/>
                </a:solidFill>
                <a:latin typeface="Arial"/>
                <a:ea typeface="Arial"/>
                <a:cs typeface="Arial"/>
              </a:defRPr>
            </a:pPr>
            <a:endParaRPr lang="en-US"/>
          </a:p>
        </c:txPr>
        <c:crossAx val="210429824"/>
        <c:crosses val="autoZero"/>
        <c:crossBetween val="between"/>
      </c:valAx>
      <c:spPr>
        <a:ln>
          <a:solidFill>
            <a:schemeClr val="tx1"/>
          </a:solidFill>
        </a:ln>
      </c:spPr>
    </c:plotArea>
    <c:legend>
      <c:legendPos val="b"/>
      <c:overlay val="0"/>
      <c:spPr>
        <a:ln>
          <a:solidFill>
            <a:schemeClr val="tx1"/>
          </a:solid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1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Chart10">
    <tabColor rgb="FF92D050"/>
  </sheetPr>
  <sheetViews>
    <sheetView zoomScale="7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6496050" cy="47148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15</xdr:col>
      <xdr:colOff>161925</xdr:colOff>
      <xdr:row>75</xdr:row>
      <xdr:rowOff>95250</xdr:rowOff>
    </xdr:to>
    <xdr:pic>
      <xdr:nvPicPr>
        <xdr:cNvPr id="2" name="Picture 1" descr="C:\Users\philip\AppData\Local\Temp\SNAGHTML24069fc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34300"/>
          <a:ext cx="6905625"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acon\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NOTL_Revenue%20Requirement_20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Loss%20Factor%20Calculator_2014%20COS_OEB%20Forma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8/NOTL_2014_RTSR_MODEL_V4.0_201307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9/LRAM%20from%20Vick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NOTLinc/System%20Load/System%20Load/LOADDAT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nvironment%20Canada%20Climate%20Dat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Statistics\2008%20Consumption%20&amp;%20Customer%20Number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Statistics\2009%20Consumption%20&amp;%20Customer%20Numbers%20(as%20of%20Dec%2031-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oea_hi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Copy%20of%20Real%20Ontario%20GDP%20Information%20for%202014%20Rate%20Applications_Revised%20to%20Reflect%202013%20Budget%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ansim6614927908536964073-csv.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3/Copy%20of%20MallAssum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bacon\Documents\London\2013%20Rate%20Applicaiton\Interrogatories\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EW%20XLStat%20Regression%20with%20Final%202012%20OPA%20Resul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rual%20calcul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eather%20sensitivity%20GS%20gt%2050_2012%20upd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Retailer%20by%20class%20kWh%202012%20from%20OC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Return on Capital"/>
      <sheetName val="Debt &amp; Capital Structure"/>
      <sheetName val="Tax rates"/>
      <sheetName val="CCA Continuity 2013"/>
      <sheetName val="CCA Continuity 2014"/>
      <sheetName val="Reserves Continuity"/>
      <sheetName val="Corporation Loss Continuity"/>
      <sheetName val="Tax Adjustments 2013"/>
      <sheetName val="Tax Adjustments 2014"/>
      <sheetName val="2014 Rev Deficiency"/>
      <sheetName val="Capital Tax &amp; Expense Schedules"/>
      <sheetName val="Revenue Requirement"/>
    </sheetNames>
    <sheetDataSet>
      <sheetData sheetId="0"/>
      <sheetData sheetId="1">
        <row r="10">
          <cell r="D10">
            <v>258134.21000000002</v>
          </cell>
        </row>
      </sheetData>
      <sheetData sheetId="2">
        <row r="10">
          <cell r="D10">
            <v>258134.21000000002</v>
          </cell>
        </row>
      </sheetData>
      <sheetData sheetId="3">
        <row r="10">
          <cell r="D10">
            <v>258134.21000000002</v>
          </cell>
        </row>
      </sheetData>
      <sheetData sheetId="4">
        <row r="10">
          <cell r="D10">
            <v>258134.21000000002</v>
          </cell>
        </row>
      </sheetData>
      <sheetData sheetId="5">
        <row r="10">
          <cell r="D10">
            <v>258134.21000000002</v>
          </cell>
        </row>
      </sheetData>
      <sheetData sheetId="6">
        <row r="10">
          <cell r="D10">
            <v>258134.21000000002</v>
          </cell>
        </row>
      </sheetData>
      <sheetData sheetId="7">
        <row r="232">
          <cell r="D232">
            <v>-4482764.03</v>
          </cell>
        </row>
        <row r="447">
          <cell r="N447">
            <v>75072.12000000001</v>
          </cell>
          <cell r="R447">
            <v>76503.600000000006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C7" t="str">
            <v>Pursuant to transfer by-law</v>
          </cell>
        </row>
      </sheetData>
      <sheetData sheetId="22"/>
      <sheetData sheetId="23"/>
      <sheetData sheetId="24"/>
      <sheetData sheetId="25"/>
      <sheetData sheetId="26"/>
      <sheetData sheetId="27"/>
      <sheetData sheetId="28"/>
      <sheetData sheetId="29">
        <row r="7">
          <cell r="D7">
            <v>-298131.27046545869</v>
          </cell>
        </row>
      </sheetData>
      <sheetData sheetId="30"/>
      <sheetData sheetId="31">
        <row r="16">
          <cell r="F16">
            <v>25482.540115330929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H29">
            <v>1.0379</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Adj Network to Current WS"/>
      <sheetName val="10. Adj Conn. to Current WS"/>
      <sheetName val="11. Adj Network to Forecast WS"/>
      <sheetName val="12. Adj Conn. to Forecast WS"/>
      <sheetName val="13. Final 2014 RTS Rates"/>
      <sheetName val="hidden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6">
          <cell r="F26">
            <v>6.8890159101076508E-3</v>
          </cell>
          <cell r="H26">
            <v>1.1704667495285024E-3</v>
          </cell>
        </row>
        <row r="27">
          <cell r="F27">
            <v>6.2985288320984243E-3</v>
          </cell>
          <cell r="H27">
            <v>1.1704667495285024E-3</v>
          </cell>
        </row>
        <row r="28">
          <cell r="F28">
            <v>2.5516914931038737</v>
          </cell>
          <cell r="H28">
            <v>0.42088033535129077</v>
          </cell>
        </row>
        <row r="30">
          <cell r="F30">
            <v>6.2985288320984226E-3</v>
          </cell>
          <cell r="H30">
            <v>1.1704667495285026E-3</v>
          </cell>
        </row>
        <row r="31">
          <cell r="F31">
            <v>1.9242005582060684</v>
          </cell>
          <cell r="H31">
            <v>0.3253897563689237</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s>
    <sheetDataSet>
      <sheetData sheetId="0">
        <row r="51">
          <cell r="B51">
            <v>0.21</v>
          </cell>
          <cell r="C51">
            <v>0.56999999999999995</v>
          </cell>
          <cell r="D51">
            <v>0.22</v>
          </cell>
        </row>
        <row r="53">
          <cell r="B53">
            <v>0.14000000000000001</v>
          </cell>
          <cell r="C53">
            <v>0.37</v>
          </cell>
          <cell r="D53">
            <v>0.49</v>
          </cell>
        </row>
        <row r="55">
          <cell r="B55">
            <v>0.14000000000000001</v>
          </cell>
          <cell r="C55">
            <v>0.37</v>
          </cell>
          <cell r="D55">
            <v>0.49</v>
          </cell>
        </row>
        <row r="57">
          <cell r="B57">
            <v>0.14000000000000001</v>
          </cell>
          <cell r="C57">
            <v>0.37</v>
          </cell>
          <cell r="D57">
            <v>0.49</v>
          </cell>
        </row>
        <row r="62">
          <cell r="D62">
            <v>32.200000000000003</v>
          </cell>
        </row>
        <row r="64">
          <cell r="D64">
            <v>72.960000000000008</v>
          </cell>
        </row>
        <row r="66">
          <cell r="D66">
            <v>499.5</v>
          </cell>
        </row>
        <row r="68">
          <cell r="D68">
            <v>499.5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sale vs Retail"/>
      <sheetName val="Sheet2"/>
      <sheetName val="LOADDATA"/>
      <sheetName val="KWHMONTHLY"/>
      <sheetName val="6yr peak load"/>
      <sheetName val="Chart1"/>
      <sheetName val="Sheet1"/>
      <sheetName val="kW purchased"/>
      <sheetName val="energy vs demand"/>
      <sheetName val="LF vs kWh "/>
      <sheetName val="Compatibility Report"/>
    </sheetNames>
    <sheetDataSet>
      <sheetData sheetId="0" refreshError="1"/>
      <sheetData sheetId="1"/>
      <sheetData sheetId="2">
        <row r="24">
          <cell r="AE24">
            <v>130987583</v>
          </cell>
        </row>
        <row r="25">
          <cell r="AE25">
            <v>127042585</v>
          </cell>
        </row>
        <row r="26">
          <cell r="AE26">
            <v>126615982</v>
          </cell>
        </row>
        <row r="27">
          <cell r="AE27">
            <v>135996428</v>
          </cell>
        </row>
        <row r="28">
          <cell r="AE28">
            <v>137138484</v>
          </cell>
        </row>
        <row r="29">
          <cell r="AE29">
            <v>135913545</v>
          </cell>
        </row>
        <row r="30">
          <cell r="AE30">
            <v>143381600</v>
          </cell>
        </row>
        <row r="31">
          <cell r="AE31">
            <v>152311035</v>
          </cell>
        </row>
        <row r="32">
          <cell r="AE32">
            <v>156667497</v>
          </cell>
        </row>
        <row r="33">
          <cell r="AE33">
            <v>165931549</v>
          </cell>
        </row>
        <row r="34">
          <cell r="AE34">
            <v>176920132.90000001</v>
          </cell>
        </row>
        <row r="35">
          <cell r="AE35">
            <v>174477589</v>
          </cell>
        </row>
        <row r="36">
          <cell r="AE36">
            <v>178152405</v>
          </cell>
        </row>
        <row r="37">
          <cell r="AE37">
            <v>188569914</v>
          </cell>
        </row>
        <row r="38">
          <cell r="AE38">
            <v>182453427</v>
          </cell>
        </row>
        <row r="39">
          <cell r="AE39">
            <v>188506590</v>
          </cell>
        </row>
        <row r="40">
          <cell r="AE40">
            <v>182813235</v>
          </cell>
        </row>
        <row r="41">
          <cell r="AE41">
            <v>178335382</v>
          </cell>
        </row>
        <row r="42">
          <cell r="AE42">
            <v>186321136</v>
          </cell>
        </row>
        <row r="43">
          <cell r="AE43">
            <v>188636352</v>
          </cell>
        </row>
        <row r="44">
          <cell r="AE44">
            <v>189168670.89000002</v>
          </cell>
        </row>
      </sheetData>
      <sheetData sheetId="3" refreshError="1"/>
      <sheetData sheetId="4" refreshError="1"/>
      <sheetData sheetId="5" refreshError="1"/>
      <sheetData sheetId="6"/>
      <sheetData sheetId="7" refreshError="1"/>
      <sheetData sheetId="8" refreshError="1"/>
      <sheetData sheetId="9" refreshError="1"/>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sheetName val="Port_Weller (Aut)_New"/>
      <sheetName val="Port Weller (Aut)"/>
      <sheetName val="Niagara Falls NPCSH"/>
      <sheetName val="Niagara_Falls NPCSH_New to 2006"/>
      <sheetName val="Power_Glen to 2006"/>
      <sheetName val="St. Cath A to 2000"/>
      <sheetName val="St. Cath A new to 2000"/>
    </sheetNames>
    <sheetDataSet>
      <sheetData sheetId="0">
        <row r="20">
          <cell r="A20" t="str">
            <v>Station: Majority are Port Weller. Missing data for some days is taken from next best available nearby station (Niagara District Airport for 1992 to 1994 or Vineland for some periods in 2005, 2006, 2008 and 2010).</v>
          </cell>
        </row>
        <row r="24">
          <cell r="B24">
            <v>634.4</v>
          </cell>
          <cell r="C24">
            <v>615.5</v>
          </cell>
          <cell r="D24">
            <v>840.2</v>
          </cell>
          <cell r="E24">
            <v>572.5</v>
          </cell>
          <cell r="F24">
            <v>705.05</v>
          </cell>
          <cell r="G24">
            <v>663.65</v>
          </cell>
          <cell r="H24">
            <v>563.04999999999995</v>
          </cell>
          <cell r="I24">
            <v>671.9</v>
          </cell>
          <cell r="J24">
            <v>662.5</v>
          </cell>
          <cell r="K24">
            <v>621.5</v>
          </cell>
          <cell r="L24">
            <v>528.04999999999995</v>
          </cell>
          <cell r="M24">
            <v>731.8</v>
          </cell>
          <cell r="N24">
            <v>750.2</v>
          </cell>
          <cell r="O24">
            <v>693.3</v>
          </cell>
          <cell r="P24">
            <v>509.6</v>
          </cell>
          <cell r="Q24">
            <v>578</v>
          </cell>
          <cell r="R24">
            <v>562.4</v>
          </cell>
          <cell r="S24">
            <v>723.9</v>
          </cell>
          <cell r="T24">
            <v>653.29999999999995</v>
          </cell>
          <cell r="U24">
            <v>678</v>
          </cell>
          <cell r="V24">
            <v>554.40000000000009</v>
          </cell>
        </row>
        <row r="25">
          <cell r="B25">
            <v>582.20000000000005</v>
          </cell>
          <cell r="C25">
            <v>692.9</v>
          </cell>
          <cell r="D25">
            <v>678.1</v>
          </cell>
          <cell r="E25">
            <v>622.65</v>
          </cell>
          <cell r="F25">
            <v>623.70000000000005</v>
          </cell>
          <cell r="G25">
            <v>521.4</v>
          </cell>
          <cell r="H25">
            <v>501.6</v>
          </cell>
          <cell r="I25">
            <v>502.7</v>
          </cell>
          <cell r="J25">
            <v>548.1</v>
          </cell>
          <cell r="K25">
            <v>533.75</v>
          </cell>
          <cell r="L25">
            <v>492.3</v>
          </cell>
          <cell r="M25">
            <v>632.15</v>
          </cell>
          <cell r="N25">
            <v>578.9</v>
          </cell>
          <cell r="O25">
            <v>582</v>
          </cell>
          <cell r="P25">
            <v>547.6</v>
          </cell>
          <cell r="Q25">
            <v>657.8</v>
          </cell>
          <cell r="R25">
            <v>599.9</v>
          </cell>
          <cell r="S25">
            <v>537</v>
          </cell>
          <cell r="T25">
            <v>551.1</v>
          </cell>
          <cell r="U25">
            <v>578.5</v>
          </cell>
          <cell r="V25">
            <v>482.39999999999992</v>
          </cell>
        </row>
        <row r="26">
          <cell r="B26">
            <v>556</v>
          </cell>
          <cell r="C26">
            <v>609.5</v>
          </cell>
          <cell r="D26">
            <v>553.1</v>
          </cell>
          <cell r="E26">
            <v>474</v>
          </cell>
          <cell r="F26">
            <v>585.35</v>
          </cell>
          <cell r="G26">
            <v>536.9</v>
          </cell>
          <cell r="H26">
            <v>483.8</v>
          </cell>
          <cell r="I26">
            <v>517.70000000000005</v>
          </cell>
          <cell r="J26">
            <v>426.9</v>
          </cell>
          <cell r="K26">
            <v>543.04999999999995</v>
          </cell>
          <cell r="L26">
            <v>513.5</v>
          </cell>
          <cell r="M26">
            <v>547.70000000000005</v>
          </cell>
          <cell r="N26">
            <v>479.8</v>
          </cell>
          <cell r="O26">
            <v>576.1</v>
          </cell>
          <cell r="P26">
            <v>486.4</v>
          </cell>
          <cell r="Q26">
            <v>514.20000000000005</v>
          </cell>
          <cell r="R26">
            <v>548</v>
          </cell>
          <cell r="S26">
            <v>509.1</v>
          </cell>
          <cell r="T26">
            <v>434.7</v>
          </cell>
          <cell r="U26">
            <v>527.45000000000005</v>
          </cell>
          <cell r="V26">
            <v>366.69999999999993</v>
          </cell>
        </row>
        <row r="27">
          <cell r="B27">
            <v>357.5</v>
          </cell>
          <cell r="C27">
            <v>317.5</v>
          </cell>
          <cell r="D27">
            <v>295.10000000000002</v>
          </cell>
          <cell r="E27">
            <v>392.85</v>
          </cell>
          <cell r="F27">
            <v>395.7</v>
          </cell>
          <cell r="G27">
            <v>368.15</v>
          </cell>
          <cell r="H27">
            <v>285.39999999999992</v>
          </cell>
          <cell r="I27">
            <v>314.89999999999998</v>
          </cell>
          <cell r="J27">
            <v>344.55</v>
          </cell>
          <cell r="K27">
            <v>322.5</v>
          </cell>
          <cell r="L27">
            <v>314.89999999999998</v>
          </cell>
          <cell r="M27">
            <v>398.3</v>
          </cell>
          <cell r="N27">
            <v>332.5</v>
          </cell>
          <cell r="O27">
            <v>345.1</v>
          </cell>
          <cell r="P27">
            <v>314.60000000000002</v>
          </cell>
          <cell r="Q27">
            <v>362.1</v>
          </cell>
          <cell r="R27">
            <v>303.3</v>
          </cell>
          <cell r="S27">
            <v>315.39999999999998</v>
          </cell>
          <cell r="T27">
            <v>253.2</v>
          </cell>
          <cell r="U27">
            <v>342.6</v>
          </cell>
          <cell r="V27">
            <v>296.29999999999995</v>
          </cell>
        </row>
        <row r="28">
          <cell r="B28">
            <v>167.7</v>
          </cell>
          <cell r="C28">
            <v>166.6</v>
          </cell>
          <cell r="D28">
            <v>205.1</v>
          </cell>
          <cell r="E28">
            <v>153</v>
          </cell>
          <cell r="F28">
            <v>240.4</v>
          </cell>
          <cell r="G28">
            <v>259.3</v>
          </cell>
          <cell r="H28">
            <v>107.59999999999998</v>
          </cell>
          <cell r="I28">
            <v>137.30000000000001</v>
          </cell>
          <cell r="J28">
            <v>149.19999999999999</v>
          </cell>
          <cell r="K28">
            <v>129.4</v>
          </cell>
          <cell r="L28">
            <v>224.5</v>
          </cell>
          <cell r="M28">
            <v>235.4</v>
          </cell>
          <cell r="N28">
            <v>169.7</v>
          </cell>
          <cell r="O28">
            <v>215.3</v>
          </cell>
          <cell r="P28">
            <v>155.1</v>
          </cell>
          <cell r="Q28">
            <v>157.9</v>
          </cell>
          <cell r="R28">
            <v>192.7</v>
          </cell>
          <cell r="S28">
            <v>179.22499999999999</v>
          </cell>
          <cell r="T28">
            <v>129.4</v>
          </cell>
          <cell r="U28">
            <v>187.1</v>
          </cell>
          <cell r="V28">
            <v>99.499999999999957</v>
          </cell>
        </row>
        <row r="29">
          <cell r="B29">
            <v>56</v>
          </cell>
          <cell r="C29">
            <v>43.4</v>
          </cell>
          <cell r="D29">
            <v>34.200000000000003</v>
          </cell>
          <cell r="E29">
            <v>23.6</v>
          </cell>
          <cell r="F29">
            <v>37.299999999999997</v>
          </cell>
          <cell r="G29">
            <v>39.4</v>
          </cell>
          <cell r="H29">
            <v>44.999999999999993</v>
          </cell>
          <cell r="I29">
            <v>17.7</v>
          </cell>
          <cell r="J29">
            <v>44.8</v>
          </cell>
          <cell r="K29">
            <v>27.7</v>
          </cell>
          <cell r="L29">
            <v>39.299999999999997</v>
          </cell>
          <cell r="M29">
            <v>74.099999999999994</v>
          </cell>
          <cell r="N29">
            <v>45.6</v>
          </cell>
          <cell r="O29">
            <v>10.4</v>
          </cell>
          <cell r="P29">
            <v>16.3</v>
          </cell>
          <cell r="Q29">
            <v>10.9</v>
          </cell>
          <cell r="R29">
            <v>30.4</v>
          </cell>
          <cell r="S29">
            <v>66.8</v>
          </cell>
          <cell r="T29">
            <v>15</v>
          </cell>
          <cell r="U29">
            <v>21.9</v>
          </cell>
          <cell r="V29">
            <v>18.899999999999999</v>
          </cell>
        </row>
        <row r="30">
          <cell r="B30">
            <v>16.399999999999999</v>
          </cell>
          <cell r="C30">
            <v>1.3</v>
          </cell>
          <cell r="D30">
            <v>0.2</v>
          </cell>
          <cell r="E30">
            <v>4.2</v>
          </cell>
          <cell r="F30">
            <v>2.6</v>
          </cell>
          <cell r="G30">
            <v>8</v>
          </cell>
          <cell r="H30">
            <v>0</v>
          </cell>
          <cell r="I30">
            <v>0</v>
          </cell>
          <cell r="J30">
            <v>0.2</v>
          </cell>
          <cell r="K30">
            <v>1.8</v>
          </cell>
          <cell r="L30">
            <v>0</v>
          </cell>
          <cell r="M30">
            <v>3.4</v>
          </cell>
          <cell r="N30">
            <v>1.9</v>
          </cell>
          <cell r="O30">
            <v>0</v>
          </cell>
          <cell r="P30">
            <v>0</v>
          </cell>
          <cell r="Q30">
            <v>0</v>
          </cell>
          <cell r="R30">
            <v>0</v>
          </cell>
          <cell r="S30">
            <v>0.6</v>
          </cell>
          <cell r="T30">
            <v>0</v>
          </cell>
          <cell r="U30">
            <v>0</v>
          </cell>
          <cell r="V30">
            <v>0</v>
          </cell>
        </row>
        <row r="31">
          <cell r="B31">
            <v>20.5</v>
          </cell>
          <cell r="C31">
            <v>6.8</v>
          </cell>
          <cell r="D31">
            <v>15.1</v>
          </cell>
          <cell r="E31">
            <v>0</v>
          </cell>
          <cell r="F31">
            <v>0</v>
          </cell>
          <cell r="G31">
            <v>7.2</v>
          </cell>
          <cell r="H31">
            <v>0</v>
          </cell>
          <cell r="I31">
            <v>1.6</v>
          </cell>
          <cell r="J31">
            <v>2.8</v>
          </cell>
          <cell r="K31">
            <v>0</v>
          </cell>
          <cell r="L31">
            <v>0</v>
          </cell>
          <cell r="M31">
            <v>0</v>
          </cell>
          <cell r="N31">
            <v>1.8</v>
          </cell>
          <cell r="O31">
            <v>0</v>
          </cell>
          <cell r="P31">
            <v>4.2</v>
          </cell>
          <cell r="Q31">
            <v>6.8</v>
          </cell>
          <cell r="R31">
            <v>4.5</v>
          </cell>
          <cell r="S31">
            <v>3.9</v>
          </cell>
          <cell r="T31">
            <v>0</v>
          </cell>
          <cell r="U31">
            <v>0</v>
          </cell>
          <cell r="V31">
            <v>0</v>
          </cell>
        </row>
        <row r="32">
          <cell r="B32">
            <v>93.3</v>
          </cell>
          <cell r="C32">
            <v>112.5</v>
          </cell>
          <cell r="D32">
            <v>67.599999999999994</v>
          </cell>
          <cell r="E32">
            <v>67.599999999999994</v>
          </cell>
          <cell r="F32">
            <v>30.9</v>
          </cell>
          <cell r="G32">
            <v>48.7</v>
          </cell>
          <cell r="H32">
            <v>14.600000000000001</v>
          </cell>
          <cell r="I32">
            <v>25.2</v>
          </cell>
          <cell r="J32">
            <v>60.3</v>
          </cell>
          <cell r="K32">
            <v>43.6</v>
          </cell>
          <cell r="L32">
            <v>9.4</v>
          </cell>
          <cell r="M32">
            <v>26.8</v>
          </cell>
          <cell r="N32">
            <v>14.6</v>
          </cell>
          <cell r="O32">
            <v>7.3</v>
          </cell>
          <cell r="P32">
            <v>45.9</v>
          </cell>
          <cell r="Q32">
            <v>19.2</v>
          </cell>
          <cell r="R32">
            <v>38.6</v>
          </cell>
          <cell r="S32">
            <v>32.4</v>
          </cell>
          <cell r="T32">
            <v>52.85</v>
          </cell>
          <cell r="U32">
            <v>26.9</v>
          </cell>
          <cell r="V32">
            <v>37.9</v>
          </cell>
        </row>
        <row r="33">
          <cell r="B33">
            <v>293.2</v>
          </cell>
          <cell r="C33">
            <v>280.10000000000002</v>
          </cell>
          <cell r="D33">
            <v>230.4</v>
          </cell>
          <cell r="E33">
            <v>142</v>
          </cell>
          <cell r="F33">
            <v>142.1</v>
          </cell>
          <cell r="G33">
            <v>222.95</v>
          </cell>
          <cell r="H33">
            <v>157</v>
          </cell>
          <cell r="I33">
            <v>203.75</v>
          </cell>
          <cell r="J33">
            <v>184.7</v>
          </cell>
          <cell r="K33">
            <v>184.9</v>
          </cell>
          <cell r="L33">
            <v>233.85</v>
          </cell>
          <cell r="M33">
            <v>245.3</v>
          </cell>
          <cell r="N33">
            <v>196.4</v>
          </cell>
          <cell r="O33">
            <v>201.6</v>
          </cell>
          <cell r="P33">
            <v>234.4</v>
          </cell>
          <cell r="Q33">
            <v>103</v>
          </cell>
          <cell r="R33">
            <v>207.1</v>
          </cell>
          <cell r="S33">
            <v>241.2</v>
          </cell>
          <cell r="T33">
            <v>175.2</v>
          </cell>
          <cell r="U33">
            <v>185.7</v>
          </cell>
          <cell r="V33">
            <v>191.9</v>
          </cell>
        </row>
        <row r="34">
          <cell r="B34">
            <v>413.1</v>
          </cell>
          <cell r="C34">
            <v>423.6</v>
          </cell>
          <cell r="D34">
            <v>335.8</v>
          </cell>
          <cell r="E34">
            <v>447.55</v>
          </cell>
          <cell r="F34">
            <v>435.7</v>
          </cell>
          <cell r="G34">
            <v>413.45</v>
          </cell>
          <cell r="H34">
            <v>340.5</v>
          </cell>
          <cell r="I34">
            <v>333.7</v>
          </cell>
          <cell r="J34">
            <v>376.6</v>
          </cell>
          <cell r="K34">
            <v>290.39999999999998</v>
          </cell>
          <cell r="L34">
            <v>381.2</v>
          </cell>
          <cell r="M34">
            <v>348</v>
          </cell>
          <cell r="N34">
            <v>341</v>
          </cell>
          <cell r="O34">
            <v>350.6</v>
          </cell>
          <cell r="P34">
            <v>341.9</v>
          </cell>
          <cell r="Q34">
            <v>385.4</v>
          </cell>
          <cell r="R34">
            <v>407.1</v>
          </cell>
          <cell r="S34">
            <v>320.8</v>
          </cell>
          <cell r="T34">
            <v>346.05</v>
          </cell>
          <cell r="U34">
            <v>284.89999999999998</v>
          </cell>
          <cell r="V34">
            <v>381.9</v>
          </cell>
        </row>
        <row r="35">
          <cell r="B35">
            <v>568.5</v>
          </cell>
          <cell r="C35">
            <v>609.29999999999995</v>
          </cell>
          <cell r="D35">
            <v>526.70000000000005</v>
          </cell>
          <cell r="E35">
            <v>632.29999999999995</v>
          </cell>
          <cell r="F35">
            <v>512.79999999999995</v>
          </cell>
          <cell r="G35">
            <v>529.54999999999995</v>
          </cell>
          <cell r="H35">
            <v>466.2</v>
          </cell>
          <cell r="I35">
            <v>516</v>
          </cell>
          <cell r="J35">
            <v>679.5</v>
          </cell>
          <cell r="K35">
            <v>455</v>
          </cell>
          <cell r="L35">
            <v>567.20000000000005</v>
          </cell>
          <cell r="M35">
            <v>510.1</v>
          </cell>
          <cell r="N35">
            <v>566.70000000000005</v>
          </cell>
          <cell r="O35">
            <v>631.29999999999995</v>
          </cell>
          <cell r="P35">
            <v>445.2</v>
          </cell>
          <cell r="Q35">
            <v>567.1</v>
          </cell>
          <cell r="R35">
            <v>589.29999999999995</v>
          </cell>
          <cell r="S35">
            <v>565.29999999999995</v>
          </cell>
          <cell r="T35">
            <v>600.5</v>
          </cell>
          <cell r="U35">
            <v>463.7</v>
          </cell>
          <cell r="V35">
            <v>462.50000000000006</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v>0</v>
          </cell>
          <cell r="C47">
            <v>0</v>
          </cell>
          <cell r="D47">
            <v>0</v>
          </cell>
          <cell r="E47">
            <v>0</v>
          </cell>
          <cell r="F47">
            <v>0</v>
          </cell>
          <cell r="G47">
            <v>0</v>
          </cell>
          <cell r="H47">
            <v>0</v>
          </cell>
          <cell r="I47">
            <v>0</v>
          </cell>
          <cell r="J47">
            <v>0</v>
          </cell>
          <cell r="K47">
            <v>0</v>
          </cell>
          <cell r="L47">
            <v>0</v>
          </cell>
          <cell r="M47">
            <v>0</v>
          </cell>
          <cell r="N47">
            <v>0.5</v>
          </cell>
          <cell r="O47">
            <v>0</v>
          </cell>
          <cell r="P47">
            <v>0</v>
          </cell>
          <cell r="Q47">
            <v>0</v>
          </cell>
          <cell r="R47">
            <v>0</v>
          </cell>
          <cell r="S47">
            <v>0</v>
          </cell>
          <cell r="T47">
            <v>0</v>
          </cell>
          <cell r="U47">
            <v>0</v>
          </cell>
          <cell r="V47">
            <v>0</v>
          </cell>
        </row>
        <row r="48">
          <cell r="B48">
            <v>4.8</v>
          </cell>
          <cell r="C48">
            <v>2.5</v>
          </cell>
          <cell r="D48">
            <v>7.5</v>
          </cell>
          <cell r="E48">
            <v>0.8</v>
          </cell>
          <cell r="F48">
            <v>3.2</v>
          </cell>
          <cell r="G48">
            <v>0</v>
          </cell>
          <cell r="H48">
            <v>16.799999999999997</v>
          </cell>
          <cell r="I48">
            <v>14.1</v>
          </cell>
          <cell r="J48">
            <v>10.199999999999999</v>
          </cell>
          <cell r="K48">
            <v>2.2000000000000002</v>
          </cell>
          <cell r="L48">
            <v>2.4</v>
          </cell>
          <cell r="M48">
            <v>0</v>
          </cell>
          <cell r="N48">
            <v>1.2</v>
          </cell>
          <cell r="O48">
            <v>0</v>
          </cell>
          <cell r="P48">
            <v>28.3</v>
          </cell>
          <cell r="Q48">
            <v>13.6</v>
          </cell>
          <cell r="R48">
            <v>0</v>
          </cell>
          <cell r="S48">
            <v>0</v>
          </cell>
          <cell r="T48">
            <v>22.4</v>
          </cell>
          <cell r="U48">
            <v>4.0999999999999996</v>
          </cell>
          <cell r="V48">
            <v>22.400000000000002</v>
          </cell>
        </row>
        <row r="49">
          <cell r="B49">
            <v>21.2</v>
          </cell>
          <cell r="C49">
            <v>38.6</v>
          </cell>
          <cell r="D49">
            <v>73</v>
          </cell>
          <cell r="E49">
            <v>52.05</v>
          </cell>
          <cell r="F49">
            <v>21.9</v>
          </cell>
          <cell r="G49">
            <v>64.400000000000006</v>
          </cell>
          <cell r="H49">
            <v>52.999999999999986</v>
          </cell>
          <cell r="I49">
            <v>72.599999999999994</v>
          </cell>
          <cell r="J49">
            <v>33.1</v>
          </cell>
          <cell r="K49">
            <v>61</v>
          </cell>
          <cell r="L49">
            <v>54.8</v>
          </cell>
          <cell r="M49">
            <v>44.6</v>
          </cell>
          <cell r="N49">
            <v>26.3</v>
          </cell>
          <cell r="O49">
            <v>107.8</v>
          </cell>
          <cell r="P49">
            <v>56.8</v>
          </cell>
          <cell r="Q49">
            <v>81.7</v>
          </cell>
          <cell r="R49">
            <v>62.5</v>
          </cell>
          <cell r="S49">
            <v>33</v>
          </cell>
          <cell r="T49">
            <v>60.6</v>
          </cell>
          <cell r="U49">
            <v>41.8</v>
          </cell>
          <cell r="V49">
            <v>105.60000000000001</v>
          </cell>
        </row>
        <row r="50">
          <cell r="B50">
            <v>41.1</v>
          </cell>
          <cell r="C50">
            <v>136.69999999999999</v>
          </cell>
          <cell r="D50">
            <v>130.69999999999999</v>
          </cell>
          <cell r="E50">
            <v>143.94999999999999</v>
          </cell>
          <cell r="F50">
            <v>77.099999999999994</v>
          </cell>
          <cell r="G50">
            <v>96.6</v>
          </cell>
          <cell r="H50">
            <v>141.85</v>
          </cell>
          <cell r="I50">
            <v>194.4</v>
          </cell>
          <cell r="J50">
            <v>83.7</v>
          </cell>
          <cell r="K50">
            <v>89.6</v>
          </cell>
          <cell r="L50">
            <v>191.6</v>
          </cell>
          <cell r="M50">
            <v>105</v>
          </cell>
          <cell r="N50">
            <v>79.3</v>
          </cell>
          <cell r="O50">
            <v>183.5</v>
          </cell>
          <cell r="P50">
            <v>161.19999999999999</v>
          </cell>
          <cell r="Q50">
            <v>109</v>
          </cell>
          <cell r="R50">
            <v>115.4</v>
          </cell>
          <cell r="S50">
            <v>56.8</v>
          </cell>
          <cell r="T50">
            <v>172</v>
          </cell>
          <cell r="U50">
            <v>196.9</v>
          </cell>
          <cell r="V50">
            <v>203.49999999999997</v>
          </cell>
        </row>
        <row r="51">
          <cell r="B51">
            <v>46.6</v>
          </cell>
          <cell r="C51">
            <v>122.5</v>
          </cell>
          <cell r="D51">
            <v>63.5</v>
          </cell>
          <cell r="E51">
            <v>156</v>
          </cell>
          <cell r="F51">
            <v>145.44999999999999</v>
          </cell>
          <cell r="G51">
            <v>71.3</v>
          </cell>
          <cell r="H51">
            <v>139.69999999999996</v>
          </cell>
          <cell r="I51">
            <v>90.35</v>
          </cell>
          <cell r="J51">
            <v>109.1</v>
          </cell>
          <cell r="K51">
            <v>170.1</v>
          </cell>
          <cell r="L51">
            <v>155</v>
          </cell>
          <cell r="M51">
            <v>139.85</v>
          </cell>
          <cell r="N51">
            <v>85</v>
          </cell>
          <cell r="O51">
            <v>165.7</v>
          </cell>
          <cell r="P51">
            <v>97.7</v>
          </cell>
          <cell r="Q51">
            <v>142.5</v>
          </cell>
          <cell r="R51">
            <v>85.7</v>
          </cell>
          <cell r="S51">
            <v>118.8</v>
          </cell>
          <cell r="T51">
            <v>150.80000000000001</v>
          </cell>
          <cell r="U51">
            <v>146.30000000000001</v>
          </cell>
          <cell r="V51">
            <v>148.69999999999999</v>
          </cell>
        </row>
        <row r="52">
          <cell r="B52">
            <v>31.9</v>
          </cell>
          <cell r="C52">
            <v>25.4</v>
          </cell>
          <cell r="D52">
            <v>19.600000000000001</v>
          </cell>
          <cell r="E52">
            <v>29.2</v>
          </cell>
          <cell r="F52">
            <v>44.75</v>
          </cell>
          <cell r="G52">
            <v>18.3</v>
          </cell>
          <cell r="H52">
            <v>64.199999999999989</v>
          </cell>
          <cell r="I52">
            <v>59.6</v>
          </cell>
          <cell r="J52">
            <v>50.3</v>
          </cell>
          <cell r="K52">
            <v>45.2</v>
          </cell>
          <cell r="L52">
            <v>98.85</v>
          </cell>
          <cell r="M52">
            <v>27.4</v>
          </cell>
          <cell r="N52">
            <v>65.3</v>
          </cell>
          <cell r="O52">
            <v>76.599999999999994</v>
          </cell>
          <cell r="P52">
            <v>17</v>
          </cell>
          <cell r="Q52">
            <v>54.7</v>
          </cell>
          <cell r="R52">
            <v>39.6</v>
          </cell>
          <cell r="S52">
            <v>30.7</v>
          </cell>
          <cell r="T52">
            <v>40.200000000000003</v>
          </cell>
          <cell r="U52">
            <v>39.9</v>
          </cell>
          <cell r="V52">
            <v>50.29999999999999</v>
          </cell>
        </row>
        <row r="53">
          <cell r="B53">
            <v>0</v>
          </cell>
          <cell r="C53">
            <v>1.4</v>
          </cell>
          <cell r="D53">
            <v>1.9</v>
          </cell>
          <cell r="E53">
            <v>12.6</v>
          </cell>
          <cell r="F53">
            <v>7.3</v>
          </cell>
          <cell r="G53">
            <v>2.1</v>
          </cell>
          <cell r="H53">
            <v>0.3</v>
          </cell>
          <cell r="I53">
            <v>1</v>
          </cell>
          <cell r="J53">
            <v>2.2000000000000002</v>
          </cell>
          <cell r="K53">
            <v>3.8</v>
          </cell>
          <cell r="L53">
            <v>11.4</v>
          </cell>
          <cell r="M53">
            <v>0</v>
          </cell>
          <cell r="N53">
            <v>2.6</v>
          </cell>
          <cell r="O53">
            <v>10.7</v>
          </cell>
          <cell r="P53">
            <v>0.4</v>
          </cell>
          <cell r="Q53">
            <v>20.6</v>
          </cell>
          <cell r="R53">
            <v>0.4</v>
          </cell>
          <cell r="S53">
            <v>0</v>
          </cell>
          <cell r="T53">
            <v>1.2</v>
          </cell>
          <cell r="U53">
            <v>4.2</v>
          </cell>
          <cell r="V53">
            <v>2.6</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sheetData>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D4">
            <v>6436</v>
          </cell>
        </row>
        <row r="5">
          <cell r="D5">
            <v>1225</v>
          </cell>
        </row>
        <row r="6">
          <cell r="D6">
            <v>115</v>
          </cell>
        </row>
        <row r="7">
          <cell r="D7">
            <v>1904</v>
          </cell>
        </row>
        <row r="8">
          <cell r="D8">
            <v>71</v>
          </cell>
        </row>
        <row r="9">
          <cell r="D9">
            <v>22</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E4">
            <v>6507</v>
          </cell>
        </row>
        <row r="5">
          <cell r="E5">
            <v>1230</v>
          </cell>
        </row>
        <row r="6">
          <cell r="E6">
            <v>92</v>
          </cell>
        </row>
        <row r="7">
          <cell r="E7">
            <v>29</v>
          </cell>
        </row>
        <row r="8">
          <cell r="E8">
            <v>1915</v>
          </cell>
        </row>
        <row r="9">
          <cell r="E9">
            <v>22</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3">
          <cell r="F73">
            <v>1320428</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1-I to 2012-II"/>
      <sheetName val="Sheet2"/>
      <sheetName val="Sheet3"/>
    </sheetNames>
    <sheetDataSet>
      <sheetData sheetId="0">
        <row r="173">
          <cell r="AS173">
            <v>325650</v>
          </cell>
          <cell r="AT173">
            <v>326410</v>
          </cell>
          <cell r="AU173">
            <v>325879</v>
          </cell>
          <cell r="AV173">
            <v>323620</v>
          </cell>
          <cell r="AW173">
            <v>327855</v>
          </cell>
          <cell r="AX173">
            <v>325892</v>
          </cell>
          <cell r="AY173">
            <v>327423</v>
          </cell>
          <cell r="AZ173">
            <v>330881</v>
          </cell>
          <cell r="BA173">
            <v>332031</v>
          </cell>
          <cell r="BB173">
            <v>339055</v>
          </cell>
          <cell r="BC173">
            <v>345184</v>
          </cell>
          <cell r="BD173">
            <v>352218</v>
          </cell>
          <cell r="BE173">
            <v>357555</v>
          </cell>
          <cell r="BF173">
            <v>357568</v>
          </cell>
          <cell r="BG173">
            <v>357881</v>
          </cell>
          <cell r="BH173">
            <v>361647</v>
          </cell>
          <cell r="BI173">
            <v>366061</v>
          </cell>
          <cell r="BJ173">
            <v>362092</v>
          </cell>
          <cell r="BK173">
            <v>363582</v>
          </cell>
          <cell r="BL173">
            <v>366392</v>
          </cell>
          <cell r="BM173">
            <v>366982</v>
          </cell>
          <cell r="BN173">
            <v>373606</v>
          </cell>
          <cell r="BO173">
            <v>376846</v>
          </cell>
          <cell r="BP173">
            <v>385056</v>
          </cell>
          <cell r="BQ173">
            <v>389432</v>
          </cell>
          <cell r="BR173">
            <v>396394</v>
          </cell>
          <cell r="BS173">
            <v>396928</v>
          </cell>
          <cell r="BT173">
            <v>400201</v>
          </cell>
          <cell r="BU173">
            <v>405097</v>
          </cell>
          <cell r="BV173">
            <v>416370</v>
          </cell>
          <cell r="BW173">
            <v>425635</v>
          </cell>
          <cell r="BX173">
            <v>434155</v>
          </cell>
          <cell r="BY173">
            <v>442628</v>
          </cell>
          <cell r="BZ173">
            <v>447722</v>
          </cell>
          <cell r="CA173">
            <v>453967</v>
          </cell>
          <cell r="CB173">
            <v>459626</v>
          </cell>
          <cell r="CC173">
            <v>459621</v>
          </cell>
          <cell r="CD173">
            <v>460659</v>
          </cell>
          <cell r="CE173">
            <v>464009</v>
          </cell>
          <cell r="CF173">
            <v>462562</v>
          </cell>
          <cell r="CG173">
            <v>466198</v>
          </cell>
          <cell r="CH173">
            <v>472866</v>
          </cell>
          <cell r="CI173">
            <v>474549</v>
          </cell>
          <cell r="CJ173">
            <v>480503</v>
          </cell>
          <cell r="CK173">
            <v>483135</v>
          </cell>
          <cell r="CL173">
            <v>486423</v>
          </cell>
          <cell r="CM173">
            <v>484863</v>
          </cell>
          <cell r="CN173">
            <v>480756</v>
          </cell>
          <cell r="CO173">
            <v>485322</v>
          </cell>
          <cell r="CP173">
            <v>487149</v>
          </cell>
          <cell r="CQ173">
            <v>494851</v>
          </cell>
          <cell r="CR173">
            <v>501398</v>
          </cell>
          <cell r="CS173">
            <v>503722</v>
          </cell>
          <cell r="CT173">
            <v>506258</v>
          </cell>
          <cell r="CU173">
            <v>508717</v>
          </cell>
          <cell r="CV173">
            <v>512080</v>
          </cell>
          <cell r="CW173">
            <v>514981</v>
          </cell>
          <cell r="CX173">
            <v>520850</v>
          </cell>
          <cell r="CY173">
            <v>522735</v>
          </cell>
          <cell r="CZ173">
            <v>522227</v>
          </cell>
          <cell r="DA173">
            <v>526180</v>
          </cell>
          <cell r="DB173">
            <v>529139</v>
          </cell>
          <cell r="DC173">
            <v>534383</v>
          </cell>
          <cell r="DD173">
            <v>534293</v>
          </cell>
          <cell r="DE173">
            <v>535117</v>
          </cell>
          <cell r="DF173">
            <v>531864</v>
          </cell>
          <cell r="DG173">
            <v>532886</v>
          </cell>
          <cell r="DH173">
            <v>529864</v>
          </cell>
          <cell r="DI173">
            <v>524698</v>
          </cell>
          <cell r="DJ173">
            <v>514008</v>
          </cell>
          <cell r="DK173">
            <v>508545</v>
          </cell>
          <cell r="DL173">
            <v>509873</v>
          </cell>
          <cell r="DM173">
            <v>518314</v>
          </cell>
          <cell r="DN173">
            <v>524123</v>
          </cell>
          <cell r="DO173">
            <v>526401</v>
          </cell>
          <cell r="DP173">
            <v>528403</v>
          </cell>
          <cell r="DQ173">
            <v>532324</v>
          </cell>
          <cell r="DR173">
            <v>536012</v>
          </cell>
          <cell r="DS173">
            <v>535207</v>
          </cell>
          <cell r="DT173">
            <v>540267</v>
          </cell>
          <cell r="DU173">
            <v>543777</v>
          </cell>
          <cell r="DV173">
            <v>546784</v>
          </cell>
          <cell r="DW173">
            <v>549610</v>
          </cell>
        </row>
        <row r="513">
          <cell r="L513">
            <v>323008</v>
          </cell>
          <cell r="M513">
            <v>325941</v>
          </cell>
          <cell r="N513">
            <v>329057</v>
          </cell>
          <cell r="O513">
            <v>348503</v>
          </cell>
          <cell r="P513">
            <v>360789</v>
          </cell>
          <cell r="Q513">
            <v>364762</v>
          </cell>
          <cell r="R513">
            <v>381235</v>
          </cell>
          <cell r="S513">
            <v>399655</v>
          </cell>
          <cell r="T513">
            <v>429697</v>
          </cell>
          <cell r="U513">
            <v>455234</v>
          </cell>
          <cell r="V513">
            <v>463357</v>
          </cell>
          <cell r="W513">
            <v>477763</v>
          </cell>
          <cell r="X513">
            <v>484341</v>
          </cell>
          <cell r="Y513">
            <v>496780</v>
          </cell>
          <cell r="Z513">
            <v>510509</v>
          </cell>
          <cell r="AA513">
            <v>522998</v>
          </cell>
          <cell r="AB513">
            <v>533233</v>
          </cell>
          <cell r="AC513">
            <v>529828</v>
          </cell>
          <cell r="AD513">
            <v>512685</v>
          </cell>
          <cell r="AE513">
            <v>527813</v>
          </cell>
          <cell r="AF513">
            <v>538816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39">
          <cell r="B39">
            <v>84.786892247640637</v>
          </cell>
        </row>
        <row r="40">
          <cell r="B40">
            <v>84.84928948001577</v>
          </cell>
        </row>
        <row r="41">
          <cell r="B41">
            <v>84.911732632396991</v>
          </cell>
        </row>
        <row r="42">
          <cell r="B42">
            <v>84.974221738578223</v>
          </cell>
        </row>
        <row r="43">
          <cell r="B43">
            <v>85.036756832378245</v>
          </cell>
        </row>
        <row r="44">
          <cell r="B44">
            <v>85.099337947640734</v>
          </cell>
        </row>
        <row r="45">
          <cell r="B45">
            <v>85.161965118234278</v>
          </cell>
        </row>
        <row r="46">
          <cell r="B46">
            <v>85.224638378052376</v>
          </cell>
        </row>
        <row r="47">
          <cell r="B47">
            <v>85.287357761013482</v>
          </cell>
        </row>
        <row r="48">
          <cell r="B48">
            <v>85.350123301061018</v>
          </cell>
        </row>
        <row r="49">
          <cell r="B49">
            <v>85.412935032163361</v>
          </cell>
        </row>
        <row r="50">
          <cell r="B50">
            <v>85.47579298831387</v>
          </cell>
        </row>
        <row r="51">
          <cell r="B51">
            <v>85.545043949434969</v>
          </cell>
        </row>
        <row r="52">
          <cell r="B52">
            <v>85.61435101644814</v>
          </cell>
        </row>
        <row r="53">
          <cell r="B53">
            <v>85.683714234809372</v>
          </cell>
        </row>
        <row r="54">
          <cell r="B54">
            <v>85.753133650011492</v>
          </cell>
        </row>
        <row r="55">
          <cell r="B55">
            <v>85.822609307584173</v>
          </cell>
        </row>
        <row r="56">
          <cell r="B56">
            <v>85.892141253093982</v>
          </cell>
        </row>
        <row r="57">
          <cell r="B57">
            <v>85.961729532144389</v>
          </cell>
        </row>
        <row r="58">
          <cell r="B58">
            <v>86.031374190375828</v>
          </cell>
        </row>
        <row r="59">
          <cell r="B59">
            <v>86.10107527346571</v>
          </cell>
        </row>
        <row r="60">
          <cell r="B60">
            <v>86.17083282712845</v>
          </cell>
        </row>
        <row r="61">
          <cell r="B61">
            <v>86.240646897115496</v>
          </cell>
        </row>
        <row r="62">
          <cell r="B62">
            <v>86.31051752921536</v>
          </cell>
        </row>
        <row r="63">
          <cell r="B63">
            <v>86.72377734139485</v>
          </cell>
        </row>
        <row r="64">
          <cell r="B64">
            <v>87.139015865755113</v>
          </cell>
        </row>
        <row r="65">
          <cell r="B65">
            <v>87.556242576485914</v>
          </cell>
        </row>
        <row r="66">
          <cell r="B66">
            <v>87.975466993140046</v>
          </cell>
        </row>
        <row r="67">
          <cell r="B67">
            <v>88.396698680850434</v>
          </cell>
        </row>
        <row r="68">
          <cell r="B68">
            <v>88.819947250548452</v>
          </cell>
        </row>
        <row r="69">
          <cell r="B69">
            <v>89.24522235918316</v>
          </cell>
        </row>
        <row r="70">
          <cell r="B70">
            <v>89.672533709941646</v>
          </cell>
        </row>
        <row r="71">
          <cell r="B71">
            <v>90.101891052470449</v>
          </cell>
        </row>
        <row r="72">
          <cell r="B72">
            <v>90.533304183097982</v>
          </cell>
        </row>
        <row r="73">
          <cell r="B73">
            <v>90.966782945058043</v>
          </cell>
        </row>
        <row r="74">
          <cell r="B74">
            <v>91.402337228714515</v>
          </cell>
        </row>
        <row r="75">
          <cell r="B75">
            <v>91.667046632406738</v>
          </cell>
        </row>
        <row r="76">
          <cell r="B76">
            <v>91.932522658381586</v>
          </cell>
        </row>
        <row r="77">
          <cell r="B77">
            <v>92.198767526846254</v>
          </cell>
        </row>
        <row r="78">
          <cell r="B78">
            <v>92.465783464437862</v>
          </cell>
        </row>
        <row r="79">
          <cell r="B79">
            <v>92.733572704242079</v>
          </cell>
        </row>
        <row r="80">
          <cell r="B80">
            <v>93.002137485811772</v>
          </cell>
        </row>
        <row r="81">
          <cell r="B81">
            <v>93.271480055185776</v>
          </cell>
        </row>
        <row r="82">
          <cell r="B82">
            <v>93.541602664907657</v>
          </cell>
        </row>
        <row r="83">
          <cell r="B83">
            <v>93.812507574044531</v>
          </cell>
        </row>
        <row r="84">
          <cell r="B84">
            <v>94.084197048205993</v>
          </cell>
        </row>
        <row r="85">
          <cell r="B85">
            <v>94.356673359563032</v>
          </cell>
        </row>
        <row r="86">
          <cell r="B86">
            <v>94.629938786867015</v>
          </cell>
        </row>
        <row r="87">
          <cell r="B87">
            <v>94.715305091666934</v>
          </cell>
        </row>
        <row r="88">
          <cell r="B88">
            <v>94.800748405985075</v>
          </cell>
        </row>
        <row r="89">
          <cell r="B89">
            <v>94.886268799292239</v>
          </cell>
        </row>
        <row r="90">
          <cell r="B90">
            <v>94.971866341121896</v>
          </cell>
        </row>
        <row r="91">
          <cell r="B91">
            <v>95.057541101070257</v>
          </cell>
        </row>
        <row r="92">
          <cell r="B92">
            <v>95.143293148796303</v>
          </cell>
        </row>
        <row r="93">
          <cell r="B93">
            <v>95.22912255402187</v>
          </cell>
        </row>
        <row r="94">
          <cell r="B94">
            <v>95.315029386531663</v>
          </cell>
        </row>
        <row r="95">
          <cell r="B95">
            <v>95.401013716173367</v>
          </cell>
        </row>
        <row r="96">
          <cell r="B96">
            <v>95.487075612857652</v>
          </cell>
        </row>
        <row r="97">
          <cell r="B97">
            <v>95.573215146558283</v>
          </cell>
        </row>
        <row r="98">
          <cell r="B98">
            <v>95.659432387312208</v>
          </cell>
        </row>
        <row r="99">
          <cell r="B99">
            <v>96.013834907485574</v>
          </cell>
        </row>
        <row r="100">
          <cell r="B100">
            <v>96.369550430916135</v>
          </cell>
        </row>
        <row r="101">
          <cell r="B101">
            <v>96.726583822065777</v>
          </cell>
        </row>
        <row r="102">
          <cell r="B102">
            <v>97.084939963418421</v>
          </cell>
        </row>
        <row r="103">
          <cell r="B103">
            <v>97.444623755546786</v>
          </cell>
        </row>
        <row r="104">
          <cell r="B104">
            <v>97.805640117179436</v>
          </cell>
        </row>
        <row r="105">
          <cell r="B105">
            <v>98.167993985267998</v>
          </cell>
        </row>
        <row r="106">
          <cell r="B106">
            <v>98.531690315054689</v>
          </cell>
        </row>
        <row r="107">
          <cell r="B107">
            <v>98.896734080140092</v>
          </cell>
        </row>
        <row r="108">
          <cell r="B108">
            <v>99.26313027255118</v>
          </cell>
        </row>
        <row r="109">
          <cell r="B109">
            <v>99.630883902809558</v>
          </cell>
        </row>
        <row r="110">
          <cell r="B110">
            <v>100</v>
          </cell>
        </row>
        <row r="111">
          <cell r="B111">
            <v>100.39254461560812</v>
          </cell>
        </row>
        <row r="112">
          <cell r="B112">
            <v>100.78663014396867</v>
          </cell>
        </row>
        <row r="113">
          <cell r="B113">
            <v>101.18226263385168</v>
          </cell>
        </row>
        <row r="114">
          <cell r="B114">
            <v>101.57944815777132</v>
          </cell>
        </row>
        <row r="115">
          <cell r="B115">
            <v>101.97819281207909</v>
          </cell>
        </row>
        <row r="116">
          <cell r="B116">
            <v>102.37850271705736</v>
          </cell>
        </row>
        <row r="117">
          <cell r="B117">
            <v>102.78038401701338</v>
          </cell>
        </row>
        <row r="118">
          <cell r="B118">
            <v>103.1838428803735</v>
          </cell>
        </row>
        <row r="119">
          <cell r="B119">
            <v>103.58888549977794</v>
          </cell>
        </row>
        <row r="120">
          <cell r="B120">
            <v>103.99551809217577</v>
          </cell>
        </row>
        <row r="121">
          <cell r="B121">
            <v>104.40374689892037</v>
          </cell>
        </row>
        <row r="122">
          <cell r="B122">
            <v>104.81357818586534</v>
          </cell>
        </row>
        <row r="123">
          <cell r="B123">
            <v>105.44819844915847</v>
          </cell>
        </row>
        <row r="124">
          <cell r="B124">
            <v>106.08666118100913</v>
          </cell>
        </row>
        <row r="125">
          <cell r="B125">
            <v>106.72898964661303</v>
          </cell>
        </row>
        <row r="126">
          <cell r="B126">
            <v>107.37520725203085</v>
          </cell>
        </row>
        <row r="127">
          <cell r="B127">
            <v>108.02533754504118</v>
          </cell>
        </row>
        <row r="128">
          <cell r="B128">
            <v>108.6794042159986</v>
          </cell>
        </row>
        <row r="129">
          <cell r="B129">
            <v>109.33743109869688</v>
          </cell>
        </row>
        <row r="130">
          <cell r="B130">
            <v>109.99944217123755</v>
          </cell>
        </row>
        <row r="131">
          <cell r="B131">
            <v>110.66546155690358</v>
          </cell>
        </row>
        <row r="132">
          <cell r="B132">
            <v>111.33551352503846</v>
          </cell>
        </row>
        <row r="133">
          <cell r="B133">
            <v>112.00962249193054</v>
          </cell>
        </row>
        <row r="134">
          <cell r="B134">
            <v>112.68781302170287</v>
          </cell>
        </row>
        <row r="135">
          <cell r="B135">
            <v>113.20550742744629</v>
          </cell>
        </row>
        <row r="136">
          <cell r="B136">
            <v>113.72558015157706</v>
          </cell>
        </row>
        <row r="137">
          <cell r="B137">
            <v>114.24804212022897</v>
          </cell>
        </row>
        <row r="138">
          <cell r="B138">
            <v>114.77290430973115</v>
          </cell>
        </row>
        <row r="139">
          <cell r="B139">
            <v>115.30017774683859</v>
          </cell>
        </row>
        <row r="140">
          <cell r="B140">
            <v>115.82987350896386</v>
          </cell>
        </row>
        <row r="141">
          <cell r="B141">
            <v>116.36200272440982</v>
          </cell>
        </row>
        <row r="142">
          <cell r="B142">
            <v>116.89657657260338</v>
          </cell>
        </row>
        <row r="143">
          <cell r="B143">
            <v>117.43360628433041</v>
          </cell>
        </row>
        <row r="144">
          <cell r="B144">
            <v>117.97310314197166</v>
          </cell>
        </row>
        <row r="145">
          <cell r="B145">
            <v>118.51507847973981</v>
          </cell>
        </row>
        <row r="146">
          <cell r="B146">
            <v>119.05954368391765</v>
          </cell>
        </row>
        <row r="147">
          <cell r="B147">
            <v>119.23206305749976</v>
          </cell>
        </row>
        <row r="148">
          <cell r="B148">
            <v>119.40483241468957</v>
          </cell>
        </row>
        <row r="149">
          <cell r="B149">
            <v>119.57785211771773</v>
          </cell>
        </row>
        <row r="150">
          <cell r="B150">
            <v>119.75112252933975</v>
          </cell>
        </row>
        <row r="151">
          <cell r="B151">
            <v>119.92464401283681</v>
          </cell>
        </row>
        <row r="152">
          <cell r="B152">
            <v>120.09841693201646</v>
          </cell>
        </row>
        <row r="153">
          <cell r="B153">
            <v>120.27244165121344</v>
          </cell>
        </row>
        <row r="154">
          <cell r="B154">
            <v>120.4467185352904</v>
          </cell>
        </row>
        <row r="155">
          <cell r="B155">
            <v>120.62124794963869</v>
          </cell>
        </row>
        <row r="156">
          <cell r="B156">
            <v>120.79603026017911</v>
          </cell>
        </row>
        <row r="157">
          <cell r="B157">
            <v>120.9710658333627</v>
          </cell>
        </row>
        <row r="158">
          <cell r="B158">
            <v>121.1463550361714</v>
          </cell>
        </row>
        <row r="159">
          <cell r="B159">
            <v>121.50450639216388</v>
          </cell>
        </row>
        <row r="160">
          <cell r="B160">
            <v>121.86371656989111</v>
          </cell>
        </row>
        <row r="161">
          <cell r="B161">
            <v>122.22398869960362</v>
          </cell>
        </row>
        <row r="162">
          <cell r="B162">
            <v>122.58532592080604</v>
          </cell>
        </row>
        <row r="163">
          <cell r="B163">
            <v>122.9477313822845</v>
          </cell>
        </row>
        <row r="164">
          <cell r="B164">
            <v>123.31120824213403</v>
          </cell>
        </row>
        <row r="165">
          <cell r="B165">
            <v>123.67575966778612</v>
          </cell>
        </row>
        <row r="166">
          <cell r="B166">
            <v>124.04138883603632</v>
          </cell>
        </row>
        <row r="167">
          <cell r="B167">
            <v>124.40809893307186</v>
          </cell>
        </row>
        <row r="168">
          <cell r="B168">
            <v>124.7758931544995</v>
          </cell>
        </row>
        <row r="169">
          <cell r="B169">
            <v>125.14477470537335</v>
          </cell>
        </row>
        <row r="170">
          <cell r="B170">
            <v>125.51474680022261</v>
          </cell>
        </row>
        <row r="171">
          <cell r="B171">
            <v>125.66024937363977</v>
          </cell>
        </row>
        <row r="172">
          <cell r="B172">
            <v>125.80592062045517</v>
          </cell>
        </row>
        <row r="173">
          <cell r="B173">
            <v>125.9517607362029</v>
          </cell>
        </row>
        <row r="174">
          <cell r="B174">
            <v>126.09776991664374</v>
          </cell>
        </row>
        <row r="175">
          <cell r="B175">
            <v>126.2439483577654</v>
          </cell>
        </row>
        <row r="176">
          <cell r="B176">
            <v>126.3902962557828</v>
          </cell>
        </row>
        <row r="177">
          <cell r="B177">
            <v>126.5368138071383</v>
          </cell>
        </row>
        <row r="178">
          <cell r="B178">
            <v>126.68350120850199</v>
          </cell>
        </row>
        <row r="179">
          <cell r="B179">
            <v>126.83035865677196</v>
          </cell>
        </row>
        <row r="180">
          <cell r="B180">
            <v>126.97738634907456</v>
          </cell>
        </row>
        <row r="181">
          <cell r="B181">
            <v>127.12458448276465</v>
          </cell>
        </row>
        <row r="182">
          <cell r="B182">
            <v>127.27195325542573</v>
          </cell>
        </row>
        <row r="183">
          <cell r="B183">
            <v>127.53411264087498</v>
          </cell>
        </row>
        <row r="184">
          <cell r="B184">
            <v>127.79681203173486</v>
          </cell>
        </row>
        <row r="185">
          <cell r="B185">
            <v>128.06005254032812</v>
          </cell>
        </row>
        <row r="186">
          <cell r="B186">
            <v>128.32383528126866</v>
          </cell>
        </row>
        <row r="187">
          <cell r="B187">
            <v>128.58816137146633</v>
          </cell>
        </row>
        <row r="188">
          <cell r="B188">
            <v>128.85303193013166</v>
          </cell>
        </row>
        <row r="189">
          <cell r="B189">
            <v>129.11844807878055</v>
          </cell>
        </row>
        <row r="190">
          <cell r="B190">
            <v>129.38441094123903</v>
          </cell>
        </row>
        <row r="191">
          <cell r="B191">
            <v>129.65092164364802</v>
          </cell>
        </row>
        <row r="192">
          <cell r="B192">
            <v>129.91798131446814</v>
          </cell>
        </row>
        <row r="193">
          <cell r="B193">
            <v>130.18559108448443</v>
          </cell>
        </row>
        <row r="194">
          <cell r="B194">
            <v>130.45375208681136</v>
          </cell>
        </row>
        <row r="195">
          <cell r="B195">
            <v>130.74370215685079</v>
          </cell>
        </row>
        <row r="196">
          <cell r="B196">
            <v>131.0342966778299</v>
          </cell>
        </row>
        <row r="197">
          <cell r="B197">
            <v>131.32553708212293</v>
          </cell>
        </row>
        <row r="198">
          <cell r="B198">
            <v>131.61742480528775</v>
          </cell>
        </row>
        <row r="199">
          <cell r="B199">
            <v>131.90996128607298</v>
          </cell>
        </row>
        <row r="200">
          <cell r="B200">
            <v>132.20314796642501</v>
          </cell>
        </row>
        <row r="201">
          <cell r="B201">
            <v>132.49698629149512</v>
          </cell>
        </row>
        <row r="202">
          <cell r="B202">
            <v>132.79147770964664</v>
          </cell>
        </row>
        <row r="203">
          <cell r="B203">
            <v>133.08662367246211</v>
          </cell>
        </row>
        <row r="204">
          <cell r="B204">
            <v>133.38242563475035</v>
          </cell>
        </row>
        <row r="205">
          <cell r="B205">
            <v>133.67888505455369</v>
          </cell>
        </row>
        <row r="206">
          <cell r="B206">
            <v>133.97600339315525</v>
          </cell>
        </row>
        <row r="207">
          <cell r="B207">
            <v>134.25197202423305</v>
          </cell>
        </row>
        <row r="208">
          <cell r="B208">
            <v>134.52850910550649</v>
          </cell>
        </row>
        <row r="209">
          <cell r="B209">
            <v>134.80561580788986</v>
          </cell>
        </row>
        <row r="210">
          <cell r="B210">
            <v>135.08329330470943</v>
          </cell>
        </row>
        <row r="211">
          <cell r="B211">
            <v>135.36154277170829</v>
          </cell>
        </row>
        <row r="212">
          <cell r="B212">
            <v>135.64036538705133</v>
          </cell>
        </row>
        <row r="213">
          <cell r="B213">
            <v>135.9197623313303</v>
          </cell>
        </row>
        <row r="214">
          <cell r="B214">
            <v>136.19973478756879</v>
          </cell>
        </row>
        <row r="215">
          <cell r="B215">
            <v>136.48028394122719</v>
          </cell>
        </row>
        <row r="216">
          <cell r="B216">
            <v>136.76141098020776</v>
          </cell>
        </row>
        <row r="217">
          <cell r="B217">
            <v>137.04311709485967</v>
          </cell>
        </row>
        <row r="218">
          <cell r="B218">
            <v>137.32540347798411</v>
          </cell>
        </row>
        <row r="219">
          <cell r="B219">
            <v>137.552207546647</v>
          </cell>
        </row>
        <row r="220">
          <cell r="B220">
            <v>137.77938620066888</v>
          </cell>
        </row>
        <row r="221">
          <cell r="B221">
            <v>138.00694005870795</v>
          </cell>
        </row>
        <row r="222">
          <cell r="B222">
            <v>138.23486974044414</v>
          </cell>
        </row>
        <row r="223">
          <cell r="B223">
            <v>138.46317586658083</v>
          </cell>
        </row>
        <row r="224">
          <cell r="B224">
            <v>138.69185905884657</v>
          </cell>
        </row>
        <row r="225">
          <cell r="B225">
            <v>138.92091993999671</v>
          </cell>
        </row>
        <row r="226">
          <cell r="B226">
            <v>139.15035913381516</v>
          </cell>
        </row>
        <row r="227">
          <cell r="B227">
            <v>139.38017726511606</v>
          </cell>
        </row>
        <row r="228">
          <cell r="B228">
            <v>139.61037495974546</v>
          </cell>
        </row>
        <row r="229">
          <cell r="B229">
            <v>139.84095284458306</v>
          </cell>
        </row>
        <row r="230">
          <cell r="B230">
            <v>140.07191154754381</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134.72247169214629</v>
          </cell>
        </row>
        <row r="256">
          <cell r="B256">
            <v>135.07656774367356</v>
          </cell>
        </row>
        <row r="257">
          <cell r="B257">
            <v>135.43159447894001</v>
          </cell>
        </row>
        <row r="258">
          <cell r="B258">
            <v>135.78755434409612</v>
          </cell>
        </row>
        <row r="259">
          <cell r="B259">
            <v>136.14444979172168</v>
          </cell>
        </row>
        <row r="260">
          <cell r="B260">
            <v>136.50228328084265</v>
          </cell>
        </row>
        <row r="261">
          <cell r="B261">
            <v>136.86105727694815</v>
          </cell>
        </row>
        <row r="262">
          <cell r="B262">
            <v>137.22077425200746</v>
          </cell>
        </row>
        <row r="263">
          <cell r="B263">
            <v>137.58143668448704</v>
          </cell>
        </row>
        <row r="264">
          <cell r="B264">
            <v>137.94304705936756</v>
          </cell>
        </row>
        <row r="265">
          <cell r="B265">
            <v>138.30560786816105</v>
          </cell>
        </row>
        <row r="266">
          <cell r="B266">
            <v>138.66912160892804</v>
          </cell>
        </row>
        <row r="267">
          <cell r="B267">
            <v>138.87542873989656</v>
          </cell>
        </row>
        <row r="268">
          <cell r="B268">
            <v>139.08204280749089</v>
          </cell>
        </row>
        <row r="269">
          <cell r="B269">
            <v>139.28896426836073</v>
          </cell>
        </row>
        <row r="270">
          <cell r="B270">
            <v>139.49619357983516</v>
          </cell>
        </row>
        <row r="271">
          <cell r="B271">
            <v>139.70373119992371</v>
          </cell>
        </row>
        <row r="272">
          <cell r="B272">
            <v>139.91157758731728</v>
          </cell>
        </row>
        <row r="273">
          <cell r="B273">
            <v>140.11973320138921</v>
          </cell>
        </row>
        <row r="274">
          <cell r="B274">
            <v>140.32819850219627</v>
          </cell>
        </row>
        <row r="275">
          <cell r="B275">
            <v>140.53697395047968</v>
          </cell>
        </row>
        <row r="276">
          <cell r="B276">
            <v>140.74606000766616</v>
          </cell>
        </row>
        <row r="277">
          <cell r="B277">
            <v>140.9554571358689</v>
          </cell>
        </row>
        <row r="278">
          <cell r="B278">
            <v>141.16516579788873</v>
          </cell>
        </row>
        <row r="279">
          <cell r="B279">
            <v>141.35201968430201</v>
          </cell>
        </row>
        <row r="280">
          <cell r="B280">
            <v>141.53912090067567</v>
          </cell>
        </row>
        <row r="281">
          <cell r="B281">
            <v>141.72646977438913</v>
          </cell>
        </row>
        <row r="282">
          <cell r="B282">
            <v>141.91406663325509</v>
          </cell>
        </row>
        <row r="283">
          <cell r="B283">
            <v>142.10191180552019</v>
          </cell>
        </row>
        <row r="284">
          <cell r="B284">
            <v>142.29000561986552</v>
          </cell>
        </row>
        <row r="285">
          <cell r="B285">
            <v>142.47834840540727</v>
          </cell>
        </row>
        <row r="286">
          <cell r="B286">
            <v>142.66694049169723</v>
          </cell>
        </row>
        <row r="287">
          <cell r="B287">
            <v>142.85578220872344</v>
          </cell>
        </row>
        <row r="288">
          <cell r="B288">
            <v>143.04487388691072</v>
          </cell>
        </row>
        <row r="289">
          <cell r="B289">
            <v>143.23421585712123</v>
          </cell>
        </row>
        <row r="290">
          <cell r="B290">
            <v>143.42380845065495</v>
          </cell>
        </row>
        <row r="291">
          <cell r="B291">
            <v>143.60186734709282</v>
          </cell>
        </row>
        <row r="292">
          <cell r="B292">
            <v>143.78014730146342</v>
          </cell>
        </row>
        <row r="293">
          <cell r="B293">
            <v>143.95864858820744</v>
          </cell>
        </row>
        <row r="294">
          <cell r="B294">
            <v>144.13737148210635</v>
          </cell>
        </row>
        <row r="295">
          <cell r="B295">
            <v>144.31631625828265</v>
          </cell>
        </row>
        <row r="296">
          <cell r="B296">
            <v>144.49548319220051</v>
          </cell>
        </row>
        <row r="297">
          <cell r="B297">
            <v>144.67487255966603</v>
          </cell>
        </row>
        <row r="298">
          <cell r="B298">
            <v>144.85448463682772</v>
          </cell>
        </row>
        <row r="299">
          <cell r="B299">
            <v>145.03431970017692</v>
          </cell>
        </row>
        <row r="300">
          <cell r="B300">
            <v>145.21437802654827</v>
          </cell>
        </row>
        <row r="301">
          <cell r="B301">
            <v>145.39465989312006</v>
          </cell>
        </row>
        <row r="302">
          <cell r="B302">
            <v>145.57516557741477</v>
          </cell>
        </row>
        <row r="303">
          <cell r="B303">
            <v>145.85128582788457</v>
          </cell>
        </row>
        <row r="304">
          <cell r="B304">
            <v>146.12792981049245</v>
          </cell>
        </row>
        <row r="305">
          <cell r="B305">
            <v>146.40509851862936</v>
          </cell>
        </row>
        <row r="306">
          <cell r="B306">
            <v>146.68279294757042</v>
          </cell>
        </row>
        <row r="307">
          <cell r="B307">
            <v>146.96101409447857</v>
          </cell>
        </row>
        <row r="308">
          <cell r="B308">
            <v>147.23976295840814</v>
          </cell>
        </row>
        <row r="309">
          <cell r="B309">
            <v>147.5190405403084</v>
          </cell>
        </row>
        <row r="310">
          <cell r="B310">
            <v>147.79884784302718</v>
          </cell>
        </row>
        <row r="311">
          <cell r="B311">
            <v>148.07918587131445</v>
          </cell>
        </row>
        <row r="312">
          <cell r="B312">
            <v>148.36005563182596</v>
          </cell>
        </row>
        <row r="313">
          <cell r="B313">
            <v>148.64145813312683</v>
          </cell>
        </row>
        <row r="314">
          <cell r="B314">
            <v>148.9233943856953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sim6614927908536964073"/>
    </sheetNames>
    <sheetDataSet>
      <sheetData sheetId="0">
        <row r="9">
          <cell r="B9">
            <v>164.6</v>
          </cell>
          <cell r="C9">
            <v>156.6</v>
          </cell>
          <cell r="D9">
            <v>17.100000000000001</v>
          </cell>
          <cell r="E9">
            <v>19.2</v>
          </cell>
        </row>
        <row r="10">
          <cell r="B10">
            <v>165.7</v>
          </cell>
          <cell r="C10">
            <v>159.80000000000001</v>
          </cell>
          <cell r="D10">
            <v>17</v>
          </cell>
          <cell r="E10">
            <v>18.5</v>
          </cell>
        </row>
        <row r="11">
          <cell r="B11">
            <v>167</v>
          </cell>
          <cell r="C11">
            <v>164.9</v>
          </cell>
          <cell r="D11">
            <v>16.8</v>
          </cell>
          <cell r="E11">
            <v>17.7</v>
          </cell>
        </row>
        <row r="12">
          <cell r="B12">
            <v>169</v>
          </cell>
          <cell r="C12">
            <v>172.5</v>
          </cell>
          <cell r="D12">
            <v>16.600000000000001</v>
          </cell>
          <cell r="E12">
            <v>15.7</v>
          </cell>
        </row>
        <row r="13">
          <cell r="B13">
            <v>169.1</v>
          </cell>
          <cell r="C13">
            <v>175.8</v>
          </cell>
          <cell r="D13">
            <v>16.899999999999999</v>
          </cell>
          <cell r="E13">
            <v>16.399999999999999</v>
          </cell>
        </row>
        <row r="14">
          <cell r="B14">
            <v>170.7</v>
          </cell>
          <cell r="C14">
            <v>178.7</v>
          </cell>
          <cell r="D14">
            <v>16.600000000000001</v>
          </cell>
          <cell r="E14">
            <v>16.7</v>
          </cell>
        </row>
        <row r="15">
          <cell r="B15">
            <v>171.9</v>
          </cell>
          <cell r="C15">
            <v>177.2</v>
          </cell>
          <cell r="D15">
            <v>16.2</v>
          </cell>
          <cell r="E15">
            <v>16.5</v>
          </cell>
        </row>
        <row r="16">
          <cell r="B16">
            <v>174.4</v>
          </cell>
          <cell r="C16">
            <v>177.5</v>
          </cell>
          <cell r="D16">
            <v>16.3</v>
          </cell>
          <cell r="E16">
            <v>15.8</v>
          </cell>
        </row>
        <row r="17">
          <cell r="B17">
            <v>173.8</v>
          </cell>
          <cell r="C17">
            <v>173.9</v>
          </cell>
          <cell r="D17">
            <v>16.399999999999999</v>
          </cell>
          <cell r="E17">
            <v>15.5</v>
          </cell>
        </row>
        <row r="18">
          <cell r="B18">
            <v>172</v>
          </cell>
          <cell r="C18">
            <v>170.2</v>
          </cell>
          <cell r="D18">
            <v>17.100000000000001</v>
          </cell>
          <cell r="E18">
            <v>16.2</v>
          </cell>
        </row>
        <row r="19">
          <cell r="B19">
            <v>169.2</v>
          </cell>
          <cell r="C19">
            <v>164.5</v>
          </cell>
          <cell r="D19">
            <v>17.899999999999999</v>
          </cell>
          <cell r="E19">
            <v>17.8</v>
          </cell>
        </row>
        <row r="20">
          <cell r="B20">
            <v>167.7</v>
          </cell>
          <cell r="C20">
            <v>160.80000000000001</v>
          </cell>
          <cell r="D20">
            <v>18.8</v>
          </cell>
          <cell r="E20">
            <v>19.100000000000001</v>
          </cell>
        </row>
        <row r="21">
          <cell r="B21">
            <v>167</v>
          </cell>
          <cell r="C21">
            <v>158.9</v>
          </cell>
          <cell r="D21">
            <v>19.899999999999999</v>
          </cell>
          <cell r="E21">
            <v>21.8</v>
          </cell>
        </row>
        <row r="22">
          <cell r="B22">
            <v>166.5</v>
          </cell>
          <cell r="C22">
            <v>160.19999999999999</v>
          </cell>
          <cell r="D22">
            <v>20.100000000000001</v>
          </cell>
          <cell r="E22">
            <v>21.6</v>
          </cell>
        </row>
        <row r="23">
          <cell r="B23">
            <v>167</v>
          </cell>
          <cell r="C23">
            <v>164.6</v>
          </cell>
          <cell r="D23">
            <v>19.8</v>
          </cell>
          <cell r="E23">
            <v>21</v>
          </cell>
        </row>
        <row r="24">
          <cell r="B24">
            <v>167.1</v>
          </cell>
          <cell r="C24">
            <v>170.1</v>
          </cell>
          <cell r="D24">
            <v>18.899999999999999</v>
          </cell>
          <cell r="E24">
            <v>18.5</v>
          </cell>
        </row>
        <row r="25">
          <cell r="B25">
            <v>168.1</v>
          </cell>
          <cell r="C25">
            <v>174.4</v>
          </cell>
          <cell r="D25">
            <v>18.5</v>
          </cell>
          <cell r="E25">
            <v>18.3</v>
          </cell>
        </row>
        <row r="26">
          <cell r="B26">
            <v>168.4</v>
          </cell>
          <cell r="C26">
            <v>175.9</v>
          </cell>
          <cell r="D26">
            <v>18</v>
          </cell>
          <cell r="E26">
            <v>18.100000000000001</v>
          </cell>
        </row>
        <row r="27">
          <cell r="B27">
            <v>167.8</v>
          </cell>
          <cell r="C27">
            <v>173.1</v>
          </cell>
          <cell r="D27">
            <v>18.2</v>
          </cell>
          <cell r="E27">
            <v>18.399999999999999</v>
          </cell>
        </row>
        <row r="28">
          <cell r="B28">
            <v>166.8</v>
          </cell>
          <cell r="C28">
            <v>169.9</v>
          </cell>
          <cell r="D28">
            <v>17.2</v>
          </cell>
          <cell r="E28">
            <v>16.600000000000001</v>
          </cell>
        </row>
        <row r="29">
          <cell r="B29">
            <v>166.5</v>
          </cell>
          <cell r="C29">
            <v>166.9</v>
          </cell>
          <cell r="D29">
            <v>16.899999999999999</v>
          </cell>
          <cell r="E29">
            <v>15.9</v>
          </cell>
        </row>
        <row r="30">
          <cell r="B30">
            <v>166.5</v>
          </cell>
          <cell r="C30">
            <v>165.2</v>
          </cell>
          <cell r="D30">
            <v>15.7</v>
          </cell>
          <cell r="E30">
            <v>14.6</v>
          </cell>
        </row>
        <row r="31">
          <cell r="B31">
            <v>168.4</v>
          </cell>
          <cell r="C31">
            <v>164</v>
          </cell>
          <cell r="D31">
            <v>15.1</v>
          </cell>
          <cell r="E31">
            <v>14.9</v>
          </cell>
        </row>
        <row r="32">
          <cell r="B32">
            <v>171.2</v>
          </cell>
          <cell r="C32">
            <v>164.6</v>
          </cell>
          <cell r="D32">
            <v>14.2</v>
          </cell>
          <cell r="E32">
            <v>14.4</v>
          </cell>
        </row>
        <row r="33">
          <cell r="B33">
            <v>174.2</v>
          </cell>
          <cell r="C33">
            <v>166.5</v>
          </cell>
          <cell r="D33">
            <v>14.3</v>
          </cell>
          <cell r="E33">
            <v>15.7</v>
          </cell>
        </row>
        <row r="34">
          <cell r="B34">
            <v>174.5</v>
          </cell>
          <cell r="C34">
            <v>168.5</v>
          </cell>
          <cell r="D34">
            <v>15.5</v>
          </cell>
          <cell r="E34">
            <v>16.7</v>
          </cell>
        </row>
        <row r="35">
          <cell r="B35">
            <v>173.4</v>
          </cell>
          <cell r="C35">
            <v>171.3</v>
          </cell>
          <cell r="D35">
            <v>15.8</v>
          </cell>
          <cell r="E35">
            <v>17</v>
          </cell>
        </row>
        <row r="36">
          <cell r="B36">
            <v>173.5</v>
          </cell>
          <cell r="C36">
            <v>176.4</v>
          </cell>
          <cell r="D36">
            <v>16.5</v>
          </cell>
          <cell r="E36">
            <v>16.5</v>
          </cell>
        </row>
        <row r="37">
          <cell r="B37">
            <v>175</v>
          </cell>
          <cell r="C37">
            <v>181.6</v>
          </cell>
          <cell r="D37">
            <v>15.4</v>
          </cell>
          <cell r="E37">
            <v>15.3</v>
          </cell>
        </row>
        <row r="38">
          <cell r="B38">
            <v>176.2</v>
          </cell>
          <cell r="C38">
            <v>183.9</v>
          </cell>
          <cell r="D38">
            <v>15.8</v>
          </cell>
          <cell r="E38">
            <v>15.6</v>
          </cell>
        </row>
        <row r="39">
          <cell r="B39">
            <v>176.8</v>
          </cell>
          <cell r="C39">
            <v>182.4</v>
          </cell>
          <cell r="D39">
            <v>14.8</v>
          </cell>
          <cell r="E39">
            <v>14.7</v>
          </cell>
        </row>
        <row r="40">
          <cell r="B40">
            <v>177.3</v>
          </cell>
          <cell r="C40">
            <v>180.6</v>
          </cell>
          <cell r="D40">
            <v>14.2</v>
          </cell>
          <cell r="E40">
            <v>13.4</v>
          </cell>
        </row>
        <row r="41">
          <cell r="B41">
            <v>178.8</v>
          </cell>
          <cell r="C41">
            <v>179.5</v>
          </cell>
          <cell r="D41">
            <v>12.6</v>
          </cell>
          <cell r="E41">
            <v>11.5</v>
          </cell>
        </row>
        <row r="42">
          <cell r="B42">
            <v>179.3</v>
          </cell>
          <cell r="C42">
            <v>178.4</v>
          </cell>
          <cell r="D42">
            <v>12.7</v>
          </cell>
          <cell r="E42">
            <v>11.6</v>
          </cell>
        </row>
        <row r="43">
          <cell r="B43">
            <v>178.7</v>
          </cell>
          <cell r="C43">
            <v>174.6</v>
          </cell>
          <cell r="D43">
            <v>12.6</v>
          </cell>
          <cell r="E43">
            <v>12.4</v>
          </cell>
        </row>
        <row r="44">
          <cell r="B44">
            <v>177.7</v>
          </cell>
          <cell r="C44">
            <v>171.4</v>
          </cell>
          <cell r="D44">
            <v>13.2</v>
          </cell>
          <cell r="E44">
            <v>13.4</v>
          </cell>
        </row>
        <row r="45">
          <cell r="B45">
            <v>176.2</v>
          </cell>
          <cell r="C45">
            <v>168.6</v>
          </cell>
          <cell r="D45">
            <v>12.6</v>
          </cell>
          <cell r="E45">
            <v>14</v>
          </cell>
        </row>
        <row r="46">
          <cell r="B46">
            <v>175.8</v>
          </cell>
          <cell r="C46">
            <v>169.8</v>
          </cell>
          <cell r="D46">
            <v>12.3</v>
          </cell>
          <cell r="E46">
            <v>13.4</v>
          </cell>
        </row>
        <row r="47">
          <cell r="B47">
            <v>175</v>
          </cell>
          <cell r="C47">
            <v>172.6</v>
          </cell>
          <cell r="D47">
            <v>11.9</v>
          </cell>
          <cell r="E47">
            <v>13.5</v>
          </cell>
        </row>
        <row r="48">
          <cell r="B48">
            <v>173.5</v>
          </cell>
          <cell r="C48">
            <v>175.8</v>
          </cell>
          <cell r="D48">
            <v>11.8</v>
          </cell>
          <cell r="E48">
            <v>12.1</v>
          </cell>
        </row>
        <row r="49">
          <cell r="B49">
            <v>171.3</v>
          </cell>
          <cell r="C49">
            <v>177.5</v>
          </cell>
          <cell r="D49">
            <v>12.8</v>
          </cell>
          <cell r="E49">
            <v>12.9</v>
          </cell>
        </row>
        <row r="50">
          <cell r="B50">
            <v>172.4</v>
          </cell>
          <cell r="C50">
            <v>179.8</v>
          </cell>
          <cell r="D50">
            <v>12.4</v>
          </cell>
          <cell r="E50">
            <v>12.1</v>
          </cell>
        </row>
        <row r="51">
          <cell r="B51">
            <v>174.2</v>
          </cell>
          <cell r="C51">
            <v>179.8</v>
          </cell>
          <cell r="D51">
            <v>13.2</v>
          </cell>
          <cell r="E51">
            <v>13</v>
          </cell>
        </row>
        <row r="52">
          <cell r="B52">
            <v>175.9</v>
          </cell>
          <cell r="C52">
            <v>179.5</v>
          </cell>
          <cell r="D52">
            <v>13.2</v>
          </cell>
          <cell r="E52">
            <v>12.4</v>
          </cell>
        </row>
        <row r="53">
          <cell r="B53">
            <v>173.7</v>
          </cell>
          <cell r="C53">
            <v>174.8</v>
          </cell>
          <cell r="D53">
            <v>14.6</v>
          </cell>
          <cell r="E53">
            <v>13.3</v>
          </cell>
        </row>
        <row r="54">
          <cell r="B54">
            <v>175.3</v>
          </cell>
          <cell r="C54">
            <v>175</v>
          </cell>
          <cell r="D54">
            <v>14</v>
          </cell>
          <cell r="E54">
            <v>12.9</v>
          </cell>
        </row>
        <row r="55">
          <cell r="B55">
            <v>177.3</v>
          </cell>
          <cell r="C55">
            <v>173.8</v>
          </cell>
          <cell r="D55">
            <v>13.2</v>
          </cell>
          <cell r="E55">
            <v>13</v>
          </cell>
        </row>
        <row r="56">
          <cell r="B56">
            <v>180.6</v>
          </cell>
          <cell r="C56">
            <v>174.9</v>
          </cell>
          <cell r="D56">
            <v>11.4</v>
          </cell>
          <cell r="E56">
            <v>11.7</v>
          </cell>
        </row>
        <row r="57">
          <cell r="B57">
            <v>182.7</v>
          </cell>
          <cell r="C57">
            <v>175.1</v>
          </cell>
          <cell r="D57">
            <v>10.199999999999999</v>
          </cell>
          <cell r="E57">
            <v>11.6</v>
          </cell>
        </row>
        <row r="58">
          <cell r="B58">
            <v>185.7</v>
          </cell>
          <cell r="C58">
            <v>179.1</v>
          </cell>
          <cell r="D58">
            <v>10.199999999999999</v>
          </cell>
          <cell r="E58">
            <v>11.4</v>
          </cell>
        </row>
        <row r="59">
          <cell r="B59">
            <v>189.6</v>
          </cell>
          <cell r="C59">
            <v>187.2</v>
          </cell>
          <cell r="D59">
            <v>11.4</v>
          </cell>
          <cell r="E59">
            <v>12</v>
          </cell>
        </row>
        <row r="60">
          <cell r="B60">
            <v>192.7</v>
          </cell>
          <cell r="C60">
            <v>195.5</v>
          </cell>
          <cell r="D60">
            <v>11.9</v>
          </cell>
          <cell r="E60">
            <v>11.3</v>
          </cell>
        </row>
        <row r="61">
          <cell r="B61">
            <v>193.7</v>
          </cell>
          <cell r="C61">
            <v>201.3</v>
          </cell>
          <cell r="D61">
            <v>11.8</v>
          </cell>
          <cell r="E61">
            <v>10.7</v>
          </cell>
        </row>
        <row r="62">
          <cell r="B62">
            <v>193.3</v>
          </cell>
          <cell r="C62">
            <v>201.3</v>
          </cell>
          <cell r="D62">
            <v>11.6</v>
          </cell>
          <cell r="E62">
            <v>10.9</v>
          </cell>
        </row>
        <row r="63">
          <cell r="B63">
            <v>191.2</v>
          </cell>
          <cell r="C63">
            <v>197.7</v>
          </cell>
          <cell r="D63">
            <v>12.7</v>
          </cell>
          <cell r="E63">
            <v>12</v>
          </cell>
        </row>
        <row r="64">
          <cell r="B64">
            <v>190</v>
          </cell>
          <cell r="C64">
            <v>194.5</v>
          </cell>
          <cell r="D64">
            <v>13.8</v>
          </cell>
          <cell r="E64">
            <v>12.6</v>
          </cell>
        </row>
        <row r="65">
          <cell r="B65">
            <v>188.3</v>
          </cell>
          <cell r="C65">
            <v>190.5</v>
          </cell>
          <cell r="D65">
            <v>14</v>
          </cell>
          <cell r="E65">
            <v>12.4</v>
          </cell>
        </row>
        <row r="66">
          <cell r="B66">
            <v>185.7</v>
          </cell>
          <cell r="C66">
            <v>186.6</v>
          </cell>
          <cell r="D66">
            <v>14.3</v>
          </cell>
          <cell r="E66">
            <v>12.8</v>
          </cell>
        </row>
        <row r="67">
          <cell r="B67">
            <v>184.2</v>
          </cell>
          <cell r="C67">
            <v>181.1</v>
          </cell>
          <cell r="D67">
            <v>14.4</v>
          </cell>
          <cell r="E67">
            <v>14.5</v>
          </cell>
        </row>
        <row r="68">
          <cell r="B68">
            <v>184.2</v>
          </cell>
          <cell r="C68">
            <v>178.8</v>
          </cell>
          <cell r="D68">
            <v>14.5</v>
          </cell>
          <cell r="E68">
            <v>15.6</v>
          </cell>
        </row>
        <row r="69">
          <cell r="B69">
            <v>186.2</v>
          </cell>
          <cell r="C69">
            <v>178.2</v>
          </cell>
          <cell r="D69">
            <v>14.2</v>
          </cell>
          <cell r="E69">
            <v>16.3</v>
          </cell>
        </row>
        <row r="70">
          <cell r="B70">
            <v>186.1</v>
          </cell>
          <cell r="C70">
            <v>180.3</v>
          </cell>
          <cell r="D70">
            <v>13.2</v>
          </cell>
          <cell r="E70">
            <v>14.4</v>
          </cell>
        </row>
        <row r="71">
          <cell r="B71">
            <v>185.3</v>
          </cell>
          <cell r="C71">
            <v>183.2</v>
          </cell>
          <cell r="D71">
            <v>12.6</v>
          </cell>
          <cell r="E71">
            <v>13.4</v>
          </cell>
        </row>
        <row r="72">
          <cell r="B72">
            <v>184</v>
          </cell>
          <cell r="C72">
            <v>186.7</v>
          </cell>
          <cell r="D72">
            <v>12.4</v>
          </cell>
          <cell r="E72">
            <v>12</v>
          </cell>
        </row>
        <row r="73">
          <cell r="B73">
            <v>183.2</v>
          </cell>
          <cell r="C73">
            <v>189</v>
          </cell>
          <cell r="D73">
            <v>12.1</v>
          </cell>
          <cell r="E73">
            <v>11.4</v>
          </cell>
        </row>
        <row r="74">
          <cell r="B74">
            <v>182.1</v>
          </cell>
          <cell r="C74">
            <v>188.7</v>
          </cell>
          <cell r="D74">
            <v>11.7</v>
          </cell>
          <cell r="E74">
            <v>10.9</v>
          </cell>
        </row>
        <row r="75">
          <cell r="B75">
            <v>182.2</v>
          </cell>
          <cell r="C75">
            <v>188</v>
          </cell>
          <cell r="D75">
            <v>11.1</v>
          </cell>
          <cell r="E75">
            <v>10.199999999999999</v>
          </cell>
        </row>
        <row r="76">
          <cell r="B76">
            <v>182.8</v>
          </cell>
          <cell r="C76">
            <v>187.5</v>
          </cell>
          <cell r="D76">
            <v>11.2</v>
          </cell>
          <cell r="E76">
            <v>9.6999999999999993</v>
          </cell>
        </row>
        <row r="77">
          <cell r="B77">
            <v>183.8</v>
          </cell>
          <cell r="C77">
            <v>186.6</v>
          </cell>
          <cell r="D77">
            <v>12.1</v>
          </cell>
          <cell r="E77">
            <v>10.1</v>
          </cell>
        </row>
        <row r="78">
          <cell r="B78">
            <v>184.2</v>
          </cell>
          <cell r="C78">
            <v>185.9</v>
          </cell>
          <cell r="D78">
            <v>13</v>
          </cell>
          <cell r="E78">
            <v>11.3</v>
          </cell>
        </row>
        <row r="79">
          <cell r="B79">
            <v>184.2</v>
          </cell>
          <cell r="C79">
            <v>181.9</v>
          </cell>
          <cell r="D79">
            <v>13.8</v>
          </cell>
          <cell r="E79">
            <v>13.9</v>
          </cell>
        </row>
        <row r="80">
          <cell r="B80">
            <v>184.4</v>
          </cell>
          <cell r="C80">
            <v>179.7</v>
          </cell>
          <cell r="D80">
            <v>14.5</v>
          </cell>
          <cell r="E80">
            <v>15.6</v>
          </cell>
        </row>
        <row r="81">
          <cell r="B81">
            <v>184.1</v>
          </cell>
          <cell r="C81">
            <v>176.7</v>
          </cell>
          <cell r="D81">
            <v>15.2</v>
          </cell>
          <cell r="E81">
            <v>17.399999999999999</v>
          </cell>
        </row>
        <row r="82">
          <cell r="B82">
            <v>184.2</v>
          </cell>
          <cell r="C82">
            <v>178.4</v>
          </cell>
          <cell r="D82">
            <v>15.7</v>
          </cell>
          <cell r="E82">
            <v>17.100000000000001</v>
          </cell>
        </row>
        <row r="83">
          <cell r="B83">
            <v>184.9</v>
          </cell>
          <cell r="C83">
            <v>182.2</v>
          </cell>
          <cell r="D83">
            <v>16</v>
          </cell>
          <cell r="E83">
            <v>17</v>
          </cell>
        </row>
        <row r="84">
          <cell r="B84">
            <v>186.2</v>
          </cell>
          <cell r="C84">
            <v>187.9</v>
          </cell>
          <cell r="D84">
            <v>14.8</v>
          </cell>
          <cell r="E84">
            <v>14.6</v>
          </cell>
        </row>
        <row r="85">
          <cell r="B85">
            <v>187.5</v>
          </cell>
          <cell r="C85">
            <v>192.7</v>
          </cell>
          <cell r="D85">
            <v>14.2</v>
          </cell>
          <cell r="E85">
            <v>13.8</v>
          </cell>
        </row>
        <row r="86">
          <cell r="B86">
            <v>190</v>
          </cell>
          <cell r="C86">
            <v>196.5</v>
          </cell>
          <cell r="D86">
            <v>13.5</v>
          </cell>
          <cell r="E86">
            <v>12.6</v>
          </cell>
        </row>
        <row r="87">
          <cell r="B87">
            <v>192</v>
          </cell>
          <cell r="C87">
            <v>197.3</v>
          </cell>
          <cell r="D87">
            <v>14.4</v>
          </cell>
          <cell r="E87">
            <v>13.2</v>
          </cell>
        </row>
        <row r="88">
          <cell r="B88">
            <v>192.7</v>
          </cell>
          <cell r="C88">
            <v>196.7</v>
          </cell>
          <cell r="D88">
            <v>14.8</v>
          </cell>
          <cell r="E88">
            <v>13.4</v>
          </cell>
        </row>
        <row r="89">
          <cell r="B89">
            <v>191.1</v>
          </cell>
          <cell r="C89">
            <v>192</v>
          </cell>
          <cell r="D89">
            <v>14.9</v>
          </cell>
          <cell r="E89">
            <v>13.9</v>
          </cell>
        </row>
        <row r="90">
          <cell r="B90">
            <v>188</v>
          </cell>
          <cell r="C90">
            <v>187.4</v>
          </cell>
          <cell r="D90">
            <v>15.8</v>
          </cell>
          <cell r="E90">
            <v>15.3</v>
          </cell>
        </row>
        <row r="91">
          <cell r="B91">
            <v>188.4</v>
          </cell>
          <cell r="C91">
            <v>184.2</v>
          </cell>
          <cell r="D91">
            <v>15.5</v>
          </cell>
          <cell r="E91">
            <v>16.2</v>
          </cell>
        </row>
        <row r="92">
          <cell r="B92">
            <v>189.2</v>
          </cell>
          <cell r="C92">
            <v>183.7</v>
          </cell>
          <cell r="D92">
            <v>16.100000000000001</v>
          </cell>
          <cell r="E92">
            <v>17.2</v>
          </cell>
        </row>
        <row r="93">
          <cell r="B93">
            <v>193.1</v>
          </cell>
          <cell r="C93">
            <v>185.6</v>
          </cell>
          <cell r="D93">
            <v>13.8</v>
          </cell>
          <cell r="E93">
            <v>16</v>
          </cell>
        </row>
        <row r="94">
          <cell r="B94">
            <v>192.3</v>
          </cell>
          <cell r="C94">
            <v>186</v>
          </cell>
          <cell r="D94">
            <v>13.6</v>
          </cell>
          <cell r="E94">
            <v>15.1</v>
          </cell>
        </row>
        <row r="95">
          <cell r="B95">
            <v>192</v>
          </cell>
          <cell r="C95">
            <v>188.4</v>
          </cell>
          <cell r="D95">
            <v>12.9</v>
          </cell>
          <cell r="E95">
            <v>14.3</v>
          </cell>
        </row>
        <row r="96">
          <cell r="B96">
            <v>190.6</v>
          </cell>
          <cell r="C96">
            <v>191.2</v>
          </cell>
          <cell r="D96">
            <v>14.1</v>
          </cell>
          <cell r="E96">
            <v>14.3</v>
          </cell>
        </row>
        <row r="97">
          <cell r="B97">
            <v>192.4</v>
          </cell>
          <cell r="C97">
            <v>196.7</v>
          </cell>
          <cell r="D97">
            <v>13.9</v>
          </cell>
          <cell r="E97">
            <v>14</v>
          </cell>
        </row>
        <row r="98">
          <cell r="B98">
            <v>194.4</v>
          </cell>
          <cell r="C98">
            <v>200.4</v>
          </cell>
          <cell r="D98">
            <v>14</v>
          </cell>
          <cell r="E98">
            <v>13.4</v>
          </cell>
        </row>
        <row r="99">
          <cell r="B99">
            <v>195</v>
          </cell>
          <cell r="C99">
            <v>200.6</v>
          </cell>
          <cell r="D99">
            <v>14.5</v>
          </cell>
          <cell r="E99">
            <v>13.2</v>
          </cell>
        </row>
        <row r="100">
          <cell r="B100">
            <v>194.6</v>
          </cell>
          <cell r="C100">
            <v>199</v>
          </cell>
          <cell r="D100">
            <v>14.9</v>
          </cell>
          <cell r="E100">
            <v>13.2</v>
          </cell>
        </row>
        <row r="101">
          <cell r="B101">
            <v>192.9</v>
          </cell>
          <cell r="C101">
            <v>194.5</v>
          </cell>
          <cell r="D101">
            <v>14.7</v>
          </cell>
          <cell r="E101">
            <v>13.4</v>
          </cell>
        </row>
        <row r="102">
          <cell r="B102">
            <v>192.6</v>
          </cell>
          <cell r="C102">
            <v>192.6</v>
          </cell>
          <cell r="D102">
            <v>13.5</v>
          </cell>
          <cell r="E102">
            <v>12.8</v>
          </cell>
        </row>
        <row r="103">
          <cell r="B103">
            <v>191</v>
          </cell>
          <cell r="C103">
            <v>187.5</v>
          </cell>
          <cell r="D103">
            <v>14.1</v>
          </cell>
          <cell r="E103">
            <v>14.5</v>
          </cell>
        </row>
        <row r="104">
          <cell r="B104">
            <v>188.9</v>
          </cell>
          <cell r="C104">
            <v>184.1</v>
          </cell>
          <cell r="D104">
            <v>14.9</v>
          </cell>
          <cell r="E104">
            <v>15.8</v>
          </cell>
        </row>
        <row r="105">
          <cell r="B105">
            <v>187.1</v>
          </cell>
          <cell r="C105">
            <v>180.9</v>
          </cell>
          <cell r="D105">
            <v>16.2</v>
          </cell>
          <cell r="E105">
            <v>18.100000000000001</v>
          </cell>
        </row>
        <row r="106">
          <cell r="B106">
            <v>186.1</v>
          </cell>
          <cell r="C106">
            <v>180.5</v>
          </cell>
          <cell r="D106">
            <v>16.100000000000001</v>
          </cell>
          <cell r="E106">
            <v>17.5</v>
          </cell>
        </row>
        <row r="107">
          <cell r="B107">
            <v>185.4</v>
          </cell>
          <cell r="C107">
            <v>181.7</v>
          </cell>
          <cell r="D107">
            <v>15.8</v>
          </cell>
          <cell r="E107">
            <v>17.399999999999999</v>
          </cell>
        </row>
        <row r="108">
          <cell r="B108">
            <v>184.2</v>
          </cell>
          <cell r="C108">
            <v>183.9</v>
          </cell>
          <cell r="D108">
            <v>15.8</v>
          </cell>
          <cell r="E108">
            <v>16.399999999999999</v>
          </cell>
        </row>
        <row r="109">
          <cell r="B109">
            <v>184.2</v>
          </cell>
          <cell r="C109">
            <v>187.8</v>
          </cell>
          <cell r="D109">
            <v>15.3</v>
          </cell>
          <cell r="E109">
            <v>15.9</v>
          </cell>
        </row>
        <row r="110">
          <cell r="B110">
            <v>185.3</v>
          </cell>
          <cell r="C110">
            <v>191</v>
          </cell>
          <cell r="D110">
            <v>14.9</v>
          </cell>
          <cell r="E110">
            <v>14.7</v>
          </cell>
        </row>
        <row r="111">
          <cell r="B111">
            <v>187.6</v>
          </cell>
          <cell r="C111">
            <v>193.2</v>
          </cell>
          <cell r="D111">
            <v>13.6</v>
          </cell>
          <cell r="E111">
            <v>12.8</v>
          </cell>
        </row>
        <row r="112">
          <cell r="B112">
            <v>190.6</v>
          </cell>
          <cell r="C112">
            <v>195.3</v>
          </cell>
          <cell r="D112">
            <v>13.1</v>
          </cell>
          <cell r="E112">
            <v>11.4</v>
          </cell>
        </row>
        <row r="113">
          <cell r="B113">
            <v>194</v>
          </cell>
          <cell r="C113">
            <v>196.6</v>
          </cell>
          <cell r="D113">
            <v>13.3</v>
          </cell>
          <cell r="E113">
            <v>11.6</v>
          </cell>
        </row>
        <row r="114">
          <cell r="B114">
            <v>196.6</v>
          </cell>
          <cell r="C114">
            <v>197.7</v>
          </cell>
          <cell r="D114">
            <v>14.1</v>
          </cell>
          <cell r="E114">
            <v>12.9</v>
          </cell>
        </row>
        <row r="115">
          <cell r="B115">
            <v>198.8</v>
          </cell>
          <cell r="C115">
            <v>196.3</v>
          </cell>
          <cell r="D115">
            <v>14.2</v>
          </cell>
          <cell r="E115">
            <v>14.2</v>
          </cell>
        </row>
        <row r="116">
          <cell r="B116">
            <v>200</v>
          </cell>
          <cell r="C116">
            <v>195.5</v>
          </cell>
          <cell r="D116">
            <v>13.6</v>
          </cell>
          <cell r="E116">
            <v>14.2</v>
          </cell>
        </row>
        <row r="117">
          <cell r="B117">
            <v>199.3</v>
          </cell>
          <cell r="C117">
            <v>192.9</v>
          </cell>
          <cell r="D117">
            <v>14</v>
          </cell>
          <cell r="E117">
            <v>15.5</v>
          </cell>
        </row>
        <row r="118">
          <cell r="B118">
            <v>197.4</v>
          </cell>
          <cell r="C118">
            <v>191.5</v>
          </cell>
          <cell r="D118">
            <v>15.3</v>
          </cell>
          <cell r="E118">
            <v>16.7</v>
          </cell>
        </row>
        <row r="119">
          <cell r="B119">
            <v>194.9</v>
          </cell>
          <cell r="C119">
            <v>191.9</v>
          </cell>
          <cell r="D119">
            <v>15.6</v>
          </cell>
          <cell r="E119">
            <v>15.9</v>
          </cell>
        </row>
        <row r="120">
          <cell r="B120">
            <v>195.2</v>
          </cell>
          <cell r="C120">
            <v>195.8</v>
          </cell>
          <cell r="D120">
            <v>14.7</v>
          </cell>
          <cell r="E120">
            <v>13.9</v>
          </cell>
        </row>
        <row r="121">
          <cell r="B121">
            <v>194.5</v>
          </cell>
          <cell r="C121">
            <v>199.2</v>
          </cell>
          <cell r="D121">
            <v>14.6</v>
          </cell>
          <cell r="E121">
            <v>13.9</v>
          </cell>
        </row>
        <row r="122">
          <cell r="B122">
            <v>193.4</v>
          </cell>
          <cell r="C122">
            <v>199.1</v>
          </cell>
          <cell r="D122">
            <v>16.5</v>
          </cell>
          <cell r="E122">
            <v>16.3</v>
          </cell>
        </row>
        <row r="123">
          <cell r="B123">
            <v>191.9</v>
          </cell>
          <cell r="C123">
            <v>197.5</v>
          </cell>
          <cell r="D123">
            <v>16.8</v>
          </cell>
          <cell r="E123">
            <v>16.100000000000001</v>
          </cell>
        </row>
        <row r="124">
          <cell r="B124">
            <v>190.3</v>
          </cell>
          <cell r="C124">
            <v>195</v>
          </cell>
          <cell r="D124">
            <v>16</v>
          </cell>
          <cell r="E124">
            <v>14.3</v>
          </cell>
        </row>
        <row r="125">
          <cell r="B125">
            <v>190.2</v>
          </cell>
          <cell r="C125">
            <v>193.2</v>
          </cell>
          <cell r="D125">
            <v>14.3</v>
          </cell>
          <cell r="E125">
            <v>12.5</v>
          </cell>
        </row>
        <row r="126">
          <cell r="B126">
            <v>188.8</v>
          </cell>
          <cell r="C126">
            <v>190.4</v>
          </cell>
          <cell r="D126">
            <v>14.4</v>
          </cell>
          <cell r="E126">
            <v>13.1</v>
          </cell>
        </row>
        <row r="127">
          <cell r="B127">
            <v>188.4</v>
          </cell>
          <cell r="C127">
            <v>186.2</v>
          </cell>
          <cell r="D127">
            <v>14.3</v>
          </cell>
          <cell r="E127">
            <v>14.8</v>
          </cell>
        </row>
        <row r="128">
          <cell r="B128">
            <v>186.4</v>
          </cell>
          <cell r="C128">
            <v>182</v>
          </cell>
          <cell r="D128">
            <v>13.7</v>
          </cell>
          <cell r="E128">
            <v>14.8</v>
          </cell>
        </row>
        <row r="129">
          <cell r="B129">
            <v>186.9</v>
          </cell>
          <cell r="C129">
            <v>180.5</v>
          </cell>
          <cell r="D129">
            <v>13.6</v>
          </cell>
          <cell r="E129">
            <v>15.6</v>
          </cell>
        </row>
        <row r="130">
          <cell r="B130">
            <v>188.6</v>
          </cell>
          <cell r="C130">
            <v>182.9</v>
          </cell>
          <cell r="D130">
            <v>12.7</v>
          </cell>
          <cell r="E130">
            <v>14.1</v>
          </cell>
        </row>
        <row r="131">
          <cell r="B131">
            <v>191.9</v>
          </cell>
          <cell r="C131">
            <v>188.9</v>
          </cell>
          <cell r="D131">
            <v>13.3</v>
          </cell>
          <cell r="E131">
            <v>13.9</v>
          </cell>
        </row>
        <row r="132">
          <cell r="B132">
            <v>193.5</v>
          </cell>
          <cell r="C132">
            <v>194.1</v>
          </cell>
          <cell r="D132">
            <v>13.1</v>
          </cell>
          <cell r="E132">
            <v>12.5</v>
          </cell>
        </row>
        <row r="133">
          <cell r="B133">
            <v>194.7</v>
          </cell>
          <cell r="C133">
            <v>199.3</v>
          </cell>
          <cell r="D133">
            <v>13.4</v>
          </cell>
          <cell r="E133">
            <v>12.8</v>
          </cell>
        </row>
        <row r="134">
          <cell r="B134">
            <v>197.4</v>
          </cell>
          <cell r="C134">
            <v>203.1</v>
          </cell>
          <cell r="D134">
            <v>12.9</v>
          </cell>
          <cell r="E134">
            <v>12.6</v>
          </cell>
        </row>
        <row r="135">
          <cell r="B135">
            <v>196.7</v>
          </cell>
          <cell r="C135">
            <v>202.1</v>
          </cell>
          <cell r="D135">
            <v>13.3</v>
          </cell>
          <cell r="E135">
            <v>12.7</v>
          </cell>
        </row>
        <row r="136">
          <cell r="B136">
            <v>195.3</v>
          </cell>
          <cell r="C136">
            <v>200</v>
          </cell>
          <cell r="D136">
            <v>13.3</v>
          </cell>
          <cell r="E136">
            <v>11.6</v>
          </cell>
        </row>
        <row r="137">
          <cell r="B137">
            <v>190.2</v>
          </cell>
          <cell r="C137">
            <v>193.5</v>
          </cell>
          <cell r="D137">
            <v>13.8</v>
          </cell>
          <cell r="E137">
            <v>11.8</v>
          </cell>
        </row>
        <row r="138">
          <cell r="B138">
            <v>188.9</v>
          </cell>
          <cell r="C138">
            <v>190.9</v>
          </cell>
          <cell r="D138">
            <v>13.2</v>
          </cell>
          <cell r="E138">
            <v>11.7</v>
          </cell>
        </row>
        <row r="139">
          <cell r="B139">
            <v>188.1</v>
          </cell>
          <cell r="C139">
            <v>186.5</v>
          </cell>
          <cell r="D139">
            <v>12.9</v>
          </cell>
          <cell r="E139">
            <v>13.1</v>
          </cell>
        </row>
        <row r="140">
          <cell r="B140">
            <v>189.8</v>
          </cell>
          <cell r="C140">
            <v>185.5</v>
          </cell>
          <cell r="D140">
            <v>13.1</v>
          </cell>
          <cell r="E140">
            <v>14.1</v>
          </cell>
        </row>
        <row r="141">
          <cell r="B141">
            <v>192</v>
          </cell>
          <cell r="C141">
            <v>185.6</v>
          </cell>
          <cell r="D141">
            <v>13.2</v>
          </cell>
          <cell r="E141">
            <v>15</v>
          </cell>
        </row>
        <row r="142">
          <cell r="B142">
            <v>195.1</v>
          </cell>
          <cell r="C142">
            <v>190</v>
          </cell>
          <cell r="D142">
            <v>13.4</v>
          </cell>
          <cell r="E142">
            <v>14.6</v>
          </cell>
        </row>
        <row r="143">
          <cell r="B143">
            <v>197.1</v>
          </cell>
          <cell r="C143">
            <v>194.8</v>
          </cell>
          <cell r="D143">
            <v>12.4</v>
          </cell>
          <cell r="E143">
            <v>13.1</v>
          </cell>
        </row>
        <row r="144">
          <cell r="B144">
            <v>195.6</v>
          </cell>
          <cell r="C144">
            <v>197.3</v>
          </cell>
          <cell r="D144">
            <v>13.5</v>
          </cell>
          <cell r="E144">
            <v>12.9</v>
          </cell>
        </row>
        <row r="145">
          <cell r="B145">
            <v>193</v>
          </cell>
          <cell r="C145">
            <v>197</v>
          </cell>
          <cell r="D145">
            <v>15</v>
          </cell>
          <cell r="E145">
            <v>14.6</v>
          </cell>
        </row>
        <row r="146">
          <cell r="B146">
            <v>192.3</v>
          </cell>
          <cell r="C146">
            <v>197.3</v>
          </cell>
          <cell r="D146">
            <v>16.8</v>
          </cell>
          <cell r="E146">
            <v>16.399999999999999</v>
          </cell>
        </row>
        <row r="147">
          <cell r="B147">
            <v>194.2</v>
          </cell>
          <cell r="C147">
            <v>198.6</v>
          </cell>
          <cell r="D147">
            <v>16.899999999999999</v>
          </cell>
          <cell r="E147">
            <v>16.399999999999999</v>
          </cell>
        </row>
        <row r="148">
          <cell r="B148">
            <v>196.9</v>
          </cell>
          <cell r="C148">
            <v>201.6</v>
          </cell>
          <cell r="D148">
            <v>16.5</v>
          </cell>
          <cell r="E148">
            <v>14.7</v>
          </cell>
        </row>
        <row r="149">
          <cell r="B149">
            <v>199</v>
          </cell>
          <cell r="C149">
            <v>202.7</v>
          </cell>
          <cell r="D149">
            <v>15.1</v>
          </cell>
          <cell r="E149">
            <v>13</v>
          </cell>
        </row>
        <row r="150">
          <cell r="B150">
            <v>198.8</v>
          </cell>
          <cell r="C150">
            <v>201.4</v>
          </cell>
          <cell r="D150">
            <v>14.3</v>
          </cell>
          <cell r="E150">
            <v>12.7</v>
          </cell>
        </row>
        <row r="151">
          <cell r="B151">
            <v>200.2</v>
          </cell>
          <cell r="C151">
            <v>199.2</v>
          </cell>
          <cell r="D151">
            <v>13.6</v>
          </cell>
          <cell r="E151">
            <v>13.7</v>
          </cell>
        </row>
        <row r="152">
          <cell r="B152">
            <v>201.6</v>
          </cell>
          <cell r="C152">
            <v>197.4</v>
          </cell>
          <cell r="D152">
            <v>13.4</v>
          </cell>
          <cell r="E152">
            <v>14.4</v>
          </cell>
        </row>
        <row r="153">
          <cell r="B153">
            <v>203.4</v>
          </cell>
          <cell r="C153">
            <v>196.8</v>
          </cell>
          <cell r="D153">
            <v>13.5</v>
          </cell>
          <cell r="E153">
            <v>15.3</v>
          </cell>
        </row>
        <row r="154">
          <cell r="B154">
            <v>203.3</v>
          </cell>
          <cell r="C154">
            <v>197.5</v>
          </cell>
          <cell r="D154">
            <v>14.2</v>
          </cell>
          <cell r="E154">
            <v>15.5</v>
          </cell>
        </row>
        <row r="155">
          <cell r="B155">
            <v>201.8</v>
          </cell>
          <cell r="C155">
            <v>198.8</v>
          </cell>
          <cell r="D155">
            <v>15.3</v>
          </cell>
          <cell r="E155">
            <v>16.5</v>
          </cell>
        </row>
        <row r="156">
          <cell r="B156">
            <v>201.4</v>
          </cell>
          <cell r="C156">
            <v>202.5</v>
          </cell>
          <cell r="D156">
            <v>15.5</v>
          </cell>
          <cell r="E156">
            <v>15.5</v>
          </cell>
        </row>
        <row r="157">
          <cell r="B157">
            <v>201.1</v>
          </cell>
          <cell r="C157">
            <v>204.9</v>
          </cell>
          <cell r="D157">
            <v>15.2</v>
          </cell>
          <cell r="E157">
            <v>15.2</v>
          </cell>
        </row>
        <row r="158">
          <cell r="B158">
            <v>201</v>
          </cell>
          <cell r="C158">
            <v>206</v>
          </cell>
          <cell r="D158">
            <v>15.7</v>
          </cell>
          <cell r="E158">
            <v>15.2</v>
          </cell>
        </row>
        <row r="159">
          <cell r="B159">
            <v>200.1</v>
          </cell>
          <cell r="C159">
            <v>203.6</v>
          </cell>
          <cell r="D159">
            <v>16</v>
          </cell>
          <cell r="E159">
            <v>15.4</v>
          </cell>
        </row>
        <row r="160">
          <cell r="B160">
            <v>199.3</v>
          </cell>
          <cell r="C160">
            <v>202.6</v>
          </cell>
          <cell r="D160">
            <v>17</v>
          </cell>
          <cell r="E160">
            <v>15.7</v>
          </cell>
        </row>
        <row r="161">
          <cell r="B161">
            <v>197.7</v>
          </cell>
          <cell r="C161">
            <v>199.3</v>
          </cell>
          <cell r="D161">
            <v>17.8</v>
          </cell>
          <cell r="E161">
            <v>16.600000000000001</v>
          </cell>
        </row>
        <row r="162">
          <cell r="B162">
            <v>197.8</v>
          </cell>
          <cell r="C162">
            <v>198.1</v>
          </cell>
          <cell r="D162">
            <v>18.7</v>
          </cell>
          <cell r="E162">
            <v>18.100000000000001</v>
          </cell>
        </row>
        <row r="163">
          <cell r="B163">
            <v>196.5</v>
          </cell>
          <cell r="C163">
            <v>194.2</v>
          </cell>
          <cell r="D163">
            <v>18.5</v>
          </cell>
          <cell r="E163">
            <v>19.2</v>
          </cell>
        </row>
        <row r="164">
          <cell r="B164">
            <v>194</v>
          </cell>
          <cell r="C164">
            <v>189.9</v>
          </cell>
          <cell r="D164">
            <v>19.8</v>
          </cell>
          <cell r="E164">
            <v>21.1</v>
          </cell>
        </row>
        <row r="165">
          <cell r="B165">
            <v>190.6</v>
          </cell>
          <cell r="C165">
            <v>185.8</v>
          </cell>
          <cell r="D165">
            <v>20.399999999999999</v>
          </cell>
          <cell r="E165">
            <v>22</v>
          </cell>
        </row>
        <row r="166">
          <cell r="B166">
            <v>186.1</v>
          </cell>
          <cell r="C166">
            <v>181.5</v>
          </cell>
          <cell r="D166">
            <v>21.9</v>
          </cell>
          <cell r="E166">
            <v>23.1</v>
          </cell>
        </row>
        <row r="167">
          <cell r="B167">
            <v>183.5</v>
          </cell>
          <cell r="C167">
            <v>181.1</v>
          </cell>
          <cell r="D167">
            <v>21.8</v>
          </cell>
          <cell r="E167">
            <v>22.8</v>
          </cell>
        </row>
        <row r="168">
          <cell r="B168">
            <v>183.4</v>
          </cell>
          <cell r="C168">
            <v>184.3</v>
          </cell>
          <cell r="D168">
            <v>22.5</v>
          </cell>
          <cell r="E168">
            <v>22.5</v>
          </cell>
        </row>
        <row r="169">
          <cell r="B169">
            <v>185.3</v>
          </cell>
          <cell r="C169">
            <v>188.8</v>
          </cell>
          <cell r="D169">
            <v>21.8</v>
          </cell>
          <cell r="E169">
            <v>21.6</v>
          </cell>
        </row>
        <row r="170">
          <cell r="B170">
            <v>187.7</v>
          </cell>
          <cell r="C170">
            <v>192.7</v>
          </cell>
          <cell r="D170">
            <v>21</v>
          </cell>
          <cell r="E170">
            <v>20</v>
          </cell>
        </row>
        <row r="171">
          <cell r="B171">
            <v>188.2</v>
          </cell>
          <cell r="C171">
            <v>191.6</v>
          </cell>
          <cell r="D171">
            <v>21</v>
          </cell>
          <cell r="E171">
            <v>20.2</v>
          </cell>
        </row>
        <row r="172">
          <cell r="B172">
            <v>189</v>
          </cell>
          <cell r="C172">
            <v>192.3</v>
          </cell>
          <cell r="D172">
            <v>21.5</v>
          </cell>
          <cell r="E172">
            <v>19.899999999999999</v>
          </cell>
        </row>
        <row r="173">
          <cell r="B173">
            <v>189.5</v>
          </cell>
          <cell r="C173">
            <v>191.3</v>
          </cell>
          <cell r="D173">
            <v>22.3</v>
          </cell>
          <cell r="E173">
            <v>20.7</v>
          </cell>
        </row>
        <row r="174">
          <cell r="B174">
            <v>189.2</v>
          </cell>
          <cell r="C174">
            <v>189.8</v>
          </cell>
          <cell r="D174">
            <v>22.7</v>
          </cell>
          <cell r="E174">
            <v>22</v>
          </cell>
        </row>
        <row r="175">
          <cell r="B175">
            <v>189.5</v>
          </cell>
          <cell r="C175">
            <v>187.8</v>
          </cell>
          <cell r="D175">
            <v>23</v>
          </cell>
          <cell r="E175">
            <v>23.7</v>
          </cell>
        </row>
        <row r="176">
          <cell r="B176">
            <v>189.9</v>
          </cell>
          <cell r="C176">
            <v>186.2</v>
          </cell>
          <cell r="D176">
            <v>22.7</v>
          </cell>
          <cell r="E176">
            <v>24.2</v>
          </cell>
        </row>
        <row r="177">
          <cell r="B177">
            <v>191.5</v>
          </cell>
          <cell r="C177">
            <v>186.9</v>
          </cell>
          <cell r="D177">
            <v>21.5</v>
          </cell>
          <cell r="E177">
            <v>23.3</v>
          </cell>
        </row>
        <row r="178">
          <cell r="B178">
            <v>192.6</v>
          </cell>
          <cell r="C178">
            <v>187.7</v>
          </cell>
          <cell r="D178">
            <v>19.5</v>
          </cell>
          <cell r="E178">
            <v>20.8</v>
          </cell>
        </row>
        <row r="179">
          <cell r="B179">
            <v>194.3</v>
          </cell>
          <cell r="C179">
            <v>191.3</v>
          </cell>
          <cell r="D179">
            <v>18.7</v>
          </cell>
          <cell r="E179">
            <v>20</v>
          </cell>
        </row>
        <row r="180">
          <cell r="B180">
            <v>195.9</v>
          </cell>
          <cell r="C180">
            <v>196.7</v>
          </cell>
          <cell r="D180">
            <v>17.8</v>
          </cell>
          <cell r="E180">
            <v>17.8</v>
          </cell>
        </row>
        <row r="181">
          <cell r="B181">
            <v>194.9</v>
          </cell>
          <cell r="C181">
            <v>198.6</v>
          </cell>
          <cell r="D181">
            <v>19</v>
          </cell>
          <cell r="E181">
            <v>18.600000000000001</v>
          </cell>
        </row>
        <row r="182">
          <cell r="B182">
            <v>192.5</v>
          </cell>
          <cell r="C182">
            <v>197.7</v>
          </cell>
          <cell r="D182">
            <v>19.600000000000001</v>
          </cell>
          <cell r="E182">
            <v>18.7</v>
          </cell>
        </row>
        <row r="183">
          <cell r="B183">
            <v>189.5</v>
          </cell>
          <cell r="C183">
            <v>193.1</v>
          </cell>
          <cell r="D183">
            <v>20.399999999999999</v>
          </cell>
          <cell r="E183">
            <v>19.8</v>
          </cell>
        </row>
        <row r="184">
          <cell r="B184">
            <v>189.5</v>
          </cell>
          <cell r="C184">
            <v>192.8</v>
          </cell>
          <cell r="D184">
            <v>20.100000000000001</v>
          </cell>
          <cell r="E184">
            <v>18.8</v>
          </cell>
        </row>
        <row r="185">
          <cell r="B185">
            <v>190.8</v>
          </cell>
          <cell r="C185">
            <v>192.8</v>
          </cell>
          <cell r="D185">
            <v>20.2</v>
          </cell>
          <cell r="E185">
            <v>18.399999999999999</v>
          </cell>
        </row>
        <row r="186">
          <cell r="B186">
            <v>192.4</v>
          </cell>
          <cell r="C186">
            <v>193.3</v>
          </cell>
          <cell r="D186">
            <v>20.3</v>
          </cell>
          <cell r="E186">
            <v>19.3</v>
          </cell>
        </row>
        <row r="187">
          <cell r="B187">
            <v>194.1</v>
          </cell>
          <cell r="C187">
            <v>192.9</v>
          </cell>
          <cell r="D187">
            <v>20.7</v>
          </cell>
          <cell r="E187">
            <v>21.3</v>
          </cell>
        </row>
        <row r="188">
          <cell r="B188">
            <v>194.8</v>
          </cell>
          <cell r="C188">
            <v>191.2</v>
          </cell>
          <cell r="D188">
            <v>20.3</v>
          </cell>
          <cell r="E188">
            <v>22</v>
          </cell>
        </row>
        <row r="189">
          <cell r="B189">
            <v>195.8</v>
          </cell>
          <cell r="C189">
            <v>191.1</v>
          </cell>
          <cell r="D189">
            <v>20.3</v>
          </cell>
          <cell r="E189">
            <v>22.1</v>
          </cell>
        </row>
        <row r="190">
          <cell r="B190">
            <v>197.1</v>
          </cell>
          <cell r="C190">
            <v>191.8</v>
          </cell>
          <cell r="D190">
            <v>19.5</v>
          </cell>
          <cell r="E190">
            <v>20.9</v>
          </cell>
        </row>
        <row r="191">
          <cell r="B191">
            <v>197.2</v>
          </cell>
          <cell r="C191">
            <v>194.5</v>
          </cell>
          <cell r="D191">
            <v>19.3</v>
          </cell>
          <cell r="E191">
            <v>19.600000000000001</v>
          </cell>
        </row>
        <row r="192">
          <cell r="B192">
            <v>197.3</v>
          </cell>
          <cell r="C192">
            <v>198.5</v>
          </cell>
          <cell r="D192">
            <v>18.5</v>
          </cell>
          <cell r="E192">
            <v>17.3</v>
          </cell>
        </row>
        <row r="193">
          <cell r="B193">
            <v>196.7</v>
          </cell>
          <cell r="C193">
            <v>201.2</v>
          </cell>
          <cell r="D193">
            <v>18.100000000000001</v>
          </cell>
          <cell r="E193">
            <v>16.5</v>
          </cell>
        </row>
        <row r="194">
          <cell r="B194">
            <v>197.1</v>
          </cell>
          <cell r="C194">
            <v>202.6</v>
          </cell>
          <cell r="D194">
            <v>17.7</v>
          </cell>
          <cell r="E194">
            <v>16.600000000000001</v>
          </cell>
        </row>
        <row r="195">
          <cell r="B195">
            <v>198.2</v>
          </cell>
          <cell r="C195">
            <v>202.2</v>
          </cell>
          <cell r="D195">
            <v>17.600000000000001</v>
          </cell>
          <cell r="E195">
            <v>16.899999999999999</v>
          </cell>
        </row>
        <row r="196">
          <cell r="B196">
            <v>197.9</v>
          </cell>
          <cell r="C196">
            <v>201.5</v>
          </cell>
          <cell r="D196">
            <v>17.2</v>
          </cell>
          <cell r="E196">
            <v>15.7</v>
          </cell>
        </row>
        <row r="197">
          <cell r="B197">
            <v>196.9</v>
          </cell>
          <cell r="C197">
            <v>199.2</v>
          </cell>
          <cell r="D197">
            <v>16.100000000000001</v>
          </cell>
          <cell r="E197">
            <v>14.1</v>
          </cell>
        </row>
        <row r="198">
          <cell r="B198">
            <v>195.8</v>
          </cell>
          <cell r="C198">
            <v>196.9</v>
          </cell>
          <cell r="D198">
            <v>15.7</v>
          </cell>
          <cell r="E198">
            <v>14.4</v>
          </cell>
        </row>
        <row r="199">
          <cell r="B199">
            <v>195.6</v>
          </cell>
          <cell r="C199">
            <v>194.7</v>
          </cell>
          <cell r="D199">
            <v>15.4</v>
          </cell>
          <cell r="E199">
            <v>15.9</v>
          </cell>
        </row>
        <row r="200">
          <cell r="B200">
            <v>197.1</v>
          </cell>
          <cell r="C200">
            <v>193.9</v>
          </cell>
          <cell r="D200">
            <v>16.2</v>
          </cell>
          <cell r="E200">
            <v>17.899999999999999</v>
          </cell>
        </row>
        <row r="201">
          <cell r="B201">
            <v>197.9</v>
          </cell>
          <cell r="C201">
            <v>193.3</v>
          </cell>
          <cell r="D201">
            <v>16</v>
          </cell>
          <cell r="E201">
            <v>18</v>
          </cell>
        </row>
        <row r="202">
          <cell r="B202">
            <v>199.1</v>
          </cell>
          <cell r="C202">
            <v>194.5</v>
          </cell>
          <cell r="D202">
            <v>16.7</v>
          </cell>
          <cell r="E202">
            <v>18.2</v>
          </cell>
        </row>
        <row r="203">
          <cell r="B203">
            <v>201.5</v>
          </cell>
          <cell r="C203">
            <v>200.2</v>
          </cell>
          <cell r="D203">
            <v>16.8</v>
          </cell>
          <cell r="E203">
            <v>17.5</v>
          </cell>
        </row>
        <row r="204">
          <cell r="B204">
            <v>203.2</v>
          </cell>
          <cell r="C204">
            <v>206.2</v>
          </cell>
          <cell r="D204">
            <v>17.8</v>
          </cell>
          <cell r="E204">
            <v>16.899999999999999</v>
          </cell>
        </row>
        <row r="205">
          <cell r="B205">
            <v>204.8</v>
          </cell>
          <cell r="C205">
            <v>209.9</v>
          </cell>
          <cell r="D205">
            <v>18.399999999999999</v>
          </cell>
          <cell r="E205">
            <v>17.399999999999999</v>
          </cell>
        </row>
        <row r="206">
          <cell r="B206">
            <v>204.3</v>
          </cell>
          <cell r="C206">
            <v>209.8</v>
          </cell>
          <cell r="D206">
            <v>18.899999999999999</v>
          </cell>
          <cell r="E206">
            <v>18.100000000000001</v>
          </cell>
        </row>
        <row r="207">
          <cell r="B207">
            <v>205</v>
          </cell>
          <cell r="C207">
            <v>209.3</v>
          </cell>
          <cell r="D207">
            <v>19.100000000000001</v>
          </cell>
          <cell r="E207">
            <v>18.8</v>
          </cell>
        </row>
        <row r="208">
          <cell r="B208">
            <v>204.5</v>
          </cell>
          <cell r="C208">
            <v>208.5</v>
          </cell>
          <cell r="D208">
            <v>19.399999999999999</v>
          </cell>
          <cell r="E208">
            <v>18</v>
          </cell>
        </row>
        <row r="209">
          <cell r="B209">
            <v>202.6</v>
          </cell>
          <cell r="C209">
            <v>204.6</v>
          </cell>
          <cell r="D209">
            <v>18.2</v>
          </cell>
          <cell r="E209">
            <v>15.6</v>
          </cell>
        </row>
        <row r="210">
          <cell r="B210">
            <v>201.3</v>
          </cell>
          <cell r="C210">
            <v>201.6</v>
          </cell>
          <cell r="D210">
            <v>17</v>
          </cell>
          <cell r="E210">
            <v>14.9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0">
          <cell r="C20">
            <v>89</v>
          </cell>
          <cell r="D20">
            <v>2</v>
          </cell>
          <cell r="O20">
            <v>3744552.2687999993</v>
          </cell>
          <cell r="P20">
            <v>151969.91666666672</v>
          </cell>
          <cell r="Q2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sheetName val="XLSTAT"/>
      <sheetName val="Sheet2"/>
      <sheetName val="Sheet3"/>
    </sheetNames>
    <sheetDataSet>
      <sheetData sheetId="0">
        <row r="4">
          <cell r="B4">
            <v>0.98338766001559264</v>
          </cell>
        </row>
        <row r="5">
          <cell r="B5">
            <v>0.9670512898709428</v>
          </cell>
        </row>
        <row r="6">
          <cell r="B6">
            <v>0.96587455022347646</v>
          </cell>
        </row>
        <row r="7">
          <cell r="B7">
            <v>429065.58266284893</v>
          </cell>
        </row>
        <row r="8">
          <cell r="B8">
            <v>204</v>
          </cell>
        </row>
      </sheetData>
      <sheetData sheetId="1">
        <row r="65">
          <cell r="N65">
            <v>7</v>
          </cell>
          <cell r="O65">
            <v>1059045259667958.4</v>
          </cell>
          <cell r="P65">
            <v>151292179952565.47</v>
          </cell>
          <cell r="Q65">
            <v>821.80564915371008</v>
          </cell>
          <cell r="R65" t="str">
            <v>&lt; 0.0001</v>
          </cell>
        </row>
        <row r="66">
          <cell r="N66">
            <v>196</v>
          </cell>
          <cell r="O66">
            <v>36083065748257.594</v>
          </cell>
          <cell r="P66">
            <v>184097274225.80405</v>
          </cell>
        </row>
        <row r="67">
          <cell r="N67">
            <v>203</v>
          </cell>
          <cell r="O67">
            <v>1095128325416216</v>
          </cell>
        </row>
        <row r="74">
          <cell r="N74">
            <v>-15344496.002066933</v>
          </cell>
          <cell r="O74">
            <v>1234248.1451511448</v>
          </cell>
          <cell r="P74">
            <v>-12.432261747647075</v>
          </cell>
          <cell r="Q74" t="str">
            <v>&lt; 0.0001</v>
          </cell>
          <cell r="R74">
            <v>-17778607.64687942</v>
          </cell>
          <cell r="S74">
            <v>-12910384.357254446</v>
          </cell>
        </row>
        <row r="75">
          <cell r="N75">
            <v>3680.5617562101411</v>
          </cell>
          <cell r="O75">
            <v>190.03726619235874</v>
          </cell>
          <cell r="P75">
            <v>19.367578948881626</v>
          </cell>
          <cell r="Q75" t="str">
            <v>&lt; 0.0001</v>
          </cell>
          <cell r="R75">
            <v>3305.7814299002284</v>
          </cell>
          <cell r="S75">
            <v>4055.3420825200537</v>
          </cell>
        </row>
        <row r="76">
          <cell r="N76">
            <v>32879.06928415304</v>
          </cell>
          <cell r="O76">
            <v>1065.9180106472852</v>
          </cell>
          <cell r="P76">
            <v>30.845777025746123</v>
          </cell>
          <cell r="Q76" t="str">
            <v>&lt; 0.0001</v>
          </cell>
          <cell r="R76">
            <v>30776.92843644353</v>
          </cell>
          <cell r="S76">
            <v>34981.21013186255</v>
          </cell>
        </row>
        <row r="77">
          <cell r="N77">
            <v>485348.56871051533</v>
          </cell>
          <cell r="O77">
            <v>39412.736953171989</v>
          </cell>
          <cell r="P77">
            <v>12.314510643784505</v>
          </cell>
          <cell r="Q77" t="str">
            <v>&lt; 0.0001</v>
          </cell>
          <cell r="R77">
            <v>407621.08550664206</v>
          </cell>
          <cell r="S77">
            <v>563076.05191438855</v>
          </cell>
        </row>
        <row r="78">
          <cell r="N78">
            <v>598193.32544841163</v>
          </cell>
          <cell r="O78">
            <v>120647.94202280573</v>
          </cell>
          <cell r="P78">
            <v>4.958172641977904</v>
          </cell>
          <cell r="Q78" t="str">
            <v>&lt; 0.0001</v>
          </cell>
          <cell r="R78">
            <v>360258.54567654443</v>
          </cell>
          <cell r="S78">
            <v>836128.10522027884</v>
          </cell>
        </row>
        <row r="79">
          <cell r="N79">
            <v>-908059.84532999666</v>
          </cell>
          <cell r="O79">
            <v>77415.142630754752</v>
          </cell>
          <cell r="P79">
            <v>-11.729744523770357</v>
          </cell>
          <cell r="Q79" t="str">
            <v>&lt; 0.0001</v>
          </cell>
          <cell r="R79">
            <v>-1060733.4392929545</v>
          </cell>
          <cell r="S79">
            <v>-755386.25136703881</v>
          </cell>
        </row>
        <row r="80">
          <cell r="N80">
            <v>-2.2017872935928944</v>
          </cell>
          <cell r="O80">
            <v>0.4070953160719637</v>
          </cell>
          <cell r="P80">
            <v>-5.4085301566173669</v>
          </cell>
          <cell r="Q80" t="str">
            <v>&lt; 0.0001</v>
          </cell>
          <cell r="R80">
            <v>-3.0046367475639517</v>
          </cell>
          <cell r="S80">
            <v>-1.3989378396218373</v>
          </cell>
        </row>
        <row r="81">
          <cell r="N81">
            <v>103951.59910560434</v>
          </cell>
          <cell r="O81">
            <v>2679.0392285937614</v>
          </cell>
          <cell r="P81">
            <v>38.80182044223703</v>
          </cell>
          <cell r="Q81" t="str">
            <v>&lt; 0.0001</v>
          </cell>
          <cell r="R81">
            <v>98668.155408444916</v>
          </cell>
          <cell r="S81">
            <v>109235.04280276377</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 to 2012"/>
    </sheetNames>
    <sheetDataSet>
      <sheetData sheetId="0">
        <row r="24">
          <cell r="F24">
            <v>59473067.616589859</v>
          </cell>
        </row>
        <row r="25">
          <cell r="F25">
            <v>35228354</v>
          </cell>
        </row>
        <row r="26">
          <cell r="F26">
            <v>70539226</v>
          </cell>
          <cell r="K26">
            <v>190424.12</v>
          </cell>
        </row>
        <row r="27">
          <cell r="F27">
            <v>884324.1333333333</v>
          </cell>
          <cell r="K27">
            <v>2379.9104000000002</v>
          </cell>
        </row>
        <row r="28">
          <cell r="F28">
            <v>145274</v>
          </cell>
          <cell r="K28">
            <v>422.24788414519463</v>
          </cell>
        </row>
        <row r="30">
          <cell r="F30">
            <v>166270245.74992317</v>
          </cell>
        </row>
        <row r="31">
          <cell r="F31">
            <v>174477589</v>
          </cell>
        </row>
        <row r="38">
          <cell r="F38">
            <v>60142431</v>
          </cell>
        </row>
        <row r="39">
          <cell r="F39">
            <v>34567346</v>
          </cell>
        </row>
        <row r="40">
          <cell r="F40">
            <v>73966550</v>
          </cell>
          <cell r="K40">
            <v>199831.88</v>
          </cell>
        </row>
        <row r="41">
          <cell r="F41">
            <v>914682</v>
          </cell>
          <cell r="K41">
            <v>2576.6799999999998</v>
          </cell>
        </row>
        <row r="42">
          <cell r="F42">
            <v>197474</v>
          </cell>
          <cell r="K42">
            <v>401.14632311453829</v>
          </cell>
        </row>
        <row r="44">
          <cell r="F44">
            <v>169788483</v>
          </cell>
        </row>
        <row r="45">
          <cell r="F45">
            <v>178152405</v>
          </cell>
        </row>
        <row r="52">
          <cell r="F52">
            <v>67990535</v>
          </cell>
        </row>
        <row r="53">
          <cell r="F53">
            <v>34696999</v>
          </cell>
        </row>
        <row r="54">
          <cell r="F54">
            <v>76163682</v>
          </cell>
          <cell r="K54">
            <v>183435</v>
          </cell>
        </row>
        <row r="55">
          <cell r="F55">
            <v>995698</v>
          </cell>
          <cell r="K55">
            <v>2626</v>
          </cell>
        </row>
        <row r="56">
          <cell r="F56">
            <v>121803</v>
          </cell>
          <cell r="K56">
            <v>337</v>
          </cell>
        </row>
        <row r="58">
          <cell r="F58">
            <v>179968717</v>
          </cell>
        </row>
        <row r="59">
          <cell r="F59">
            <v>188569914</v>
          </cell>
        </row>
        <row r="66">
          <cell r="F66">
            <v>64063446</v>
          </cell>
        </row>
        <row r="67">
          <cell r="F67">
            <v>30478041</v>
          </cell>
        </row>
        <row r="68">
          <cell r="F68">
            <v>79256712</v>
          </cell>
          <cell r="K68">
            <v>201104</v>
          </cell>
        </row>
        <row r="69">
          <cell r="F69">
            <v>1118911</v>
          </cell>
          <cell r="K69">
            <v>2644</v>
          </cell>
        </row>
        <row r="70">
          <cell r="F70">
            <v>123813.62746201461</v>
          </cell>
          <cell r="K70">
            <v>251</v>
          </cell>
        </row>
        <row r="72">
          <cell r="F72">
            <v>175258854.62746203</v>
          </cell>
        </row>
        <row r="73">
          <cell r="F73">
            <v>182453427</v>
          </cell>
        </row>
        <row r="80">
          <cell r="F80">
            <v>65499951</v>
          </cell>
        </row>
        <row r="81">
          <cell r="F81">
            <v>34969161</v>
          </cell>
        </row>
        <row r="82">
          <cell r="F82">
            <v>78684896</v>
          </cell>
          <cell r="K82">
            <v>203395</v>
          </cell>
        </row>
        <row r="83">
          <cell r="F83">
            <v>1002185</v>
          </cell>
          <cell r="K83">
            <v>2899</v>
          </cell>
        </row>
        <row r="84">
          <cell r="F84">
            <v>100974</v>
          </cell>
          <cell r="K84">
            <v>257</v>
          </cell>
        </row>
        <row r="86">
          <cell r="F86">
            <v>180475098</v>
          </cell>
        </row>
        <row r="87">
          <cell r="F87">
            <v>188506590</v>
          </cell>
        </row>
        <row r="95">
          <cell r="F95">
            <v>62980676.951219514</v>
          </cell>
        </row>
        <row r="96">
          <cell r="F96">
            <v>35045141.781299576</v>
          </cell>
        </row>
        <row r="97">
          <cell r="F97">
            <v>74475846.068181574</v>
          </cell>
          <cell r="K97">
            <v>199264.06025278466</v>
          </cell>
        </row>
        <row r="98">
          <cell r="F98">
            <v>1121118.2660441326</v>
          </cell>
          <cell r="K98">
            <v>3094.7685294731714</v>
          </cell>
        </row>
        <row r="99">
          <cell r="F99">
            <v>65335.910294257686</v>
          </cell>
          <cell r="K99">
            <v>244.58537744657013</v>
          </cell>
        </row>
        <row r="100">
          <cell r="F100">
            <v>211278.88536708895</v>
          </cell>
        </row>
        <row r="101">
          <cell r="F101">
            <v>173899397.86240616</v>
          </cell>
        </row>
        <row r="102">
          <cell r="F102">
            <v>182813235</v>
          </cell>
        </row>
        <row r="109">
          <cell r="F109">
            <v>63244583.51031895</v>
          </cell>
        </row>
        <row r="110">
          <cell r="F110">
            <v>33688872.79423999</v>
          </cell>
        </row>
        <row r="111">
          <cell r="F111">
            <v>74591201.455103308</v>
          </cell>
          <cell r="K111">
            <v>192955.14550135657</v>
          </cell>
        </row>
        <row r="112">
          <cell r="F112">
            <v>1155889.8842094042</v>
          </cell>
          <cell r="K112">
            <v>2883.032223061407</v>
          </cell>
        </row>
        <row r="113">
          <cell r="F113">
            <v>5467.0983715836583</v>
          </cell>
          <cell r="K113">
            <v>102.41462255342987</v>
          </cell>
        </row>
        <row r="114">
          <cell r="F114">
            <v>196888.83628239558</v>
          </cell>
        </row>
        <row r="115">
          <cell r="F115">
            <v>172882903.57852563</v>
          </cell>
        </row>
        <row r="116">
          <cell r="F116">
            <v>178335380.82587692</v>
          </cell>
        </row>
        <row r="123">
          <cell r="F123">
            <v>66159480.468461536</v>
          </cell>
        </row>
        <row r="124">
          <cell r="F124">
            <v>33426752.734460428</v>
          </cell>
        </row>
        <row r="125">
          <cell r="F125">
            <v>76704892.796715111</v>
          </cell>
          <cell r="K125">
            <v>197719.76424585879</v>
          </cell>
        </row>
        <row r="126">
          <cell r="F126">
            <v>1135598.169746463</v>
          </cell>
          <cell r="K126">
            <v>3197.9392474654219</v>
          </cell>
        </row>
        <row r="128">
          <cell r="F128">
            <v>217647.11835051546</v>
          </cell>
        </row>
        <row r="129">
          <cell r="F129">
            <v>177644371.28773403</v>
          </cell>
        </row>
        <row r="130">
          <cell r="F130">
            <v>186321134.65720975</v>
          </cell>
        </row>
        <row r="137">
          <cell r="F137">
            <v>67609924.159999996</v>
          </cell>
        </row>
        <row r="138">
          <cell r="F138">
            <v>34407699.510000005</v>
          </cell>
        </row>
        <row r="139">
          <cell r="F139">
            <v>80480195.260000005</v>
          </cell>
          <cell r="K139">
            <v>200689.96</v>
          </cell>
        </row>
        <row r="140">
          <cell r="F140">
            <v>1153818.49</v>
          </cell>
          <cell r="K140">
            <v>3221.49</v>
          </cell>
        </row>
        <row r="142">
          <cell r="F142">
            <v>237398.62</v>
          </cell>
        </row>
        <row r="143">
          <cell r="F143">
            <v>183889036.04000002</v>
          </cell>
        </row>
        <row r="144">
          <cell r="F144">
            <v>188636352</v>
          </cell>
        </row>
        <row r="151">
          <cell r="F151">
            <v>67185686.109999999</v>
          </cell>
        </row>
        <row r="152">
          <cell r="F152">
            <v>35564177.82</v>
          </cell>
        </row>
        <row r="153">
          <cell r="F153">
            <v>79222400.810000002</v>
          </cell>
          <cell r="K153">
            <v>202737.31</v>
          </cell>
        </row>
        <row r="154">
          <cell r="F154">
            <v>1163464</v>
          </cell>
          <cell r="K154">
            <v>3238</v>
          </cell>
        </row>
        <row r="156">
          <cell r="F156">
            <v>235713.28</v>
          </cell>
        </row>
        <row r="157">
          <cell r="F157">
            <v>183371442.02000001</v>
          </cell>
        </row>
        <row r="158">
          <cell r="F158">
            <v>189168670.89000002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GS&gt;50 FIXED"/>
      <sheetName val="G1"/>
      <sheetName val="V1"/>
      <sheetName val="ALL"/>
    </sheetNames>
    <sheetDataSet>
      <sheetData sheetId="0"/>
      <sheetData sheetId="1"/>
      <sheetData sheetId="2"/>
      <sheetData sheetId="3">
        <row r="2">
          <cell r="H2">
            <v>0.76357818593682636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B21">
            <v>0.96538068898838592</v>
          </cell>
          <cell r="C21">
            <v>0.91421284566311478</v>
          </cell>
          <cell r="D21">
            <v>6.9246055159486467E-2</v>
          </cell>
          <cell r="E21">
            <v>8.7395914269801214E-2</v>
          </cell>
          <cell r="F21">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Y70"/>
  <sheetViews>
    <sheetView workbookViewId="0">
      <pane xSplit="1" ySplit="3" topLeftCell="F4" activePane="bottomRight" state="frozen"/>
      <selection pane="topRight" activeCell="B1" sqref="B1"/>
      <selection pane="bottomLeft" activeCell="A4" sqref="A4"/>
      <selection pane="bottomRight" activeCell="G76" sqref="G76"/>
    </sheetView>
  </sheetViews>
  <sheetFormatPr defaultRowHeight="12.75" x14ac:dyDescent="0.2"/>
  <cols>
    <col min="1" max="1" width="34.7109375" customWidth="1"/>
    <col min="2" max="13" width="14" style="1" customWidth="1"/>
    <col min="14" max="14" width="14" style="24" customWidth="1"/>
    <col min="15" max="15" width="14" style="1" customWidth="1"/>
    <col min="16" max="16" width="14" style="168" bestFit="1" customWidth="1"/>
    <col min="17" max="17" width="14" bestFit="1" customWidth="1"/>
    <col min="18" max="18" width="32.7109375" customWidth="1"/>
    <col min="19" max="19" width="12.7109375" bestFit="1" customWidth="1"/>
    <col min="22" max="22" width="16.42578125" customWidth="1"/>
    <col min="25" max="25" width="25.5703125" bestFit="1" customWidth="1"/>
  </cols>
  <sheetData>
    <row r="1" spans="1:25" ht="15.75" x14ac:dyDescent="0.25">
      <c r="A1" s="46" t="s">
        <v>184</v>
      </c>
    </row>
    <row r="3" spans="1:25" ht="51" x14ac:dyDescent="0.2">
      <c r="B3" s="48" t="s">
        <v>50</v>
      </c>
      <c r="C3" s="48" t="s">
        <v>51</v>
      </c>
      <c r="D3" s="48" t="s">
        <v>52</v>
      </c>
      <c r="E3" s="48" t="s">
        <v>53</v>
      </c>
      <c r="F3" s="48" t="s">
        <v>54</v>
      </c>
      <c r="G3" s="48" t="s">
        <v>55</v>
      </c>
      <c r="H3" s="48" t="s">
        <v>56</v>
      </c>
      <c r="I3" s="48" t="s">
        <v>57</v>
      </c>
      <c r="J3" s="48" t="s">
        <v>67</v>
      </c>
      <c r="K3" s="48" t="s">
        <v>68</v>
      </c>
      <c r="L3" s="48" t="s">
        <v>73</v>
      </c>
      <c r="M3" s="48" t="s">
        <v>75</v>
      </c>
      <c r="N3" s="48" t="s">
        <v>182</v>
      </c>
      <c r="O3" s="48" t="s">
        <v>76</v>
      </c>
      <c r="P3" s="48" t="s">
        <v>183</v>
      </c>
      <c r="V3" s="635" t="s">
        <v>110</v>
      </c>
      <c r="W3" s="638" t="s">
        <v>465</v>
      </c>
      <c r="X3" s="638" t="s">
        <v>466</v>
      </c>
    </row>
    <row r="4" spans="1:25" x14ac:dyDescent="0.2">
      <c r="A4" s="20" t="s">
        <v>60</v>
      </c>
      <c r="B4" s="30">
        <f>'Purchased Power Model '!B286</f>
        <v>156667497</v>
      </c>
      <c r="C4" s="30">
        <f>'Purchased Power Model '!B287</f>
        <v>165931549</v>
      </c>
      <c r="D4" s="6">
        <f>'Purchased Power Model '!B288</f>
        <v>176920132.90000001</v>
      </c>
      <c r="E4" s="30">
        <f>'Purchased Power Model '!B289</f>
        <v>174477589</v>
      </c>
      <c r="F4" s="30">
        <f>'Purchased Power Model '!B290</f>
        <v>178152405</v>
      </c>
      <c r="G4" s="30">
        <f>'Purchased Power Model '!B291</f>
        <v>188569914</v>
      </c>
      <c r="H4" s="30">
        <f>'Purchased Power Model '!B292</f>
        <v>182453427</v>
      </c>
      <c r="I4" s="30">
        <f>'Purchased Power Model '!B293</f>
        <v>188506590</v>
      </c>
      <c r="J4" s="30">
        <f>'Purchased Power Model '!B294</f>
        <v>182813235</v>
      </c>
      <c r="K4" s="30">
        <f>'Purchased Power Model '!B295</f>
        <v>178335380.82587692</v>
      </c>
      <c r="L4" s="30">
        <f>'Purchased Power Model '!B296</f>
        <v>186321134.65720975</v>
      </c>
      <c r="M4" s="30">
        <f>'Purchased Power Model '!B297</f>
        <v>188636352</v>
      </c>
      <c r="N4" s="59">
        <f>'Purchased Power Model '!B298</f>
        <v>189168670.89000002</v>
      </c>
      <c r="V4" s="636"/>
    </row>
    <row r="5" spans="1:25" x14ac:dyDescent="0.2">
      <c r="A5" s="20" t="s">
        <v>61</v>
      </c>
      <c r="B5" s="30">
        <f>'Purchased Power Model '!T286</f>
        <v>159709880.52386999</v>
      </c>
      <c r="C5" s="30">
        <f>'Purchased Power Model '!T287</f>
        <v>165846865.76937869</v>
      </c>
      <c r="D5" s="30">
        <f>'Purchased Power Model '!T288</f>
        <v>175207446.21584722</v>
      </c>
      <c r="E5" s="30">
        <f>'Purchased Power Model '!T289</f>
        <v>174074041.90562162</v>
      </c>
      <c r="F5" s="30">
        <f>'Purchased Power Model '!T290</f>
        <v>174837462.18309715</v>
      </c>
      <c r="G5" s="30">
        <f>'Purchased Power Model '!T291</f>
        <v>188383383.54167727</v>
      </c>
      <c r="H5" s="30">
        <f>'Purchased Power Model '!T292</f>
        <v>183447501.63019586</v>
      </c>
      <c r="I5" s="30">
        <f>'Purchased Power Model '!T293</f>
        <v>189275554.8282997</v>
      </c>
      <c r="J5" s="30">
        <f>'Purchased Power Model '!T294</f>
        <v>185570635.32064036</v>
      </c>
      <c r="K5" s="30">
        <f>'Purchased Power Model '!T295</f>
        <v>178435180.31848434</v>
      </c>
      <c r="L5" s="30">
        <f>'Purchased Power Model '!T296</f>
        <v>184469801.87037647</v>
      </c>
      <c r="M5" s="30">
        <f>'Purchased Power Model '!T297</f>
        <v>186686295.30929995</v>
      </c>
      <c r="N5" s="59">
        <f>'Purchased Power Model '!T298</f>
        <v>190091284.75565851</v>
      </c>
      <c r="O5" s="30">
        <f>'Purchased Power Model '!T299</f>
        <v>189087891.90591452</v>
      </c>
      <c r="P5" s="30">
        <f>'Purchased Power Model '!T300</f>
        <v>193206757.02486607</v>
      </c>
      <c r="V5" s="636"/>
    </row>
    <row r="6" spans="1:25" x14ac:dyDescent="0.2">
      <c r="A6" s="20" t="s">
        <v>8</v>
      </c>
      <c r="B6" s="47">
        <f t="shared" ref="B6:N6" si="0">(B5-B4)/B4</f>
        <v>1.941936637865601E-2</v>
      </c>
      <c r="C6" s="47">
        <f t="shared" si="0"/>
        <v>-5.1035038925182393E-4</v>
      </c>
      <c r="D6" s="47">
        <f t="shared" si="0"/>
        <v>-9.6805640832343162E-3</v>
      </c>
      <c r="E6" s="47">
        <f t="shared" si="0"/>
        <v>-2.3128878424516857E-3</v>
      </c>
      <c r="F6" s="47">
        <f t="shared" si="0"/>
        <v>-1.8607342499265423E-2</v>
      </c>
      <c r="G6" s="47">
        <f t="shared" si="0"/>
        <v>-9.891846178745865E-4</v>
      </c>
      <c r="H6" s="47">
        <f t="shared" si="0"/>
        <v>5.4483746704075669E-3</v>
      </c>
      <c r="I6" s="47">
        <f t="shared" si="0"/>
        <v>4.0792463982277823E-3</v>
      </c>
      <c r="J6" s="47">
        <f t="shared" si="0"/>
        <v>1.5083154787126629E-2</v>
      </c>
      <c r="K6" s="47">
        <f t="shared" si="0"/>
        <v>5.5961689792143347E-4</v>
      </c>
      <c r="L6" s="47">
        <f t="shared" si="0"/>
        <v>-9.9362468473548904E-3</v>
      </c>
      <c r="M6" s="47">
        <f t="shared" si="0"/>
        <v>-1.0337650564298731E-2</v>
      </c>
      <c r="N6" s="47">
        <f t="shared" si="0"/>
        <v>4.8772022413530831E-3</v>
      </c>
      <c r="O6" s="50"/>
      <c r="P6" s="50"/>
      <c r="Q6" s="51"/>
      <c r="R6" s="34"/>
      <c r="S6" s="34"/>
      <c r="V6" s="636"/>
    </row>
    <row r="7" spans="1:25" x14ac:dyDescent="0.2">
      <c r="B7"/>
      <c r="C7"/>
      <c r="D7"/>
      <c r="E7"/>
      <c r="F7"/>
      <c r="G7"/>
      <c r="H7"/>
      <c r="I7"/>
      <c r="J7"/>
      <c r="K7"/>
      <c r="L7"/>
      <c r="M7"/>
      <c r="N7"/>
      <c r="O7"/>
      <c r="P7"/>
      <c r="V7" s="636"/>
    </row>
    <row r="8" spans="1:25" x14ac:dyDescent="0.2">
      <c r="A8" s="20" t="s">
        <v>63</v>
      </c>
      <c r="B8" s="30">
        <f>'Rate Class Energy Model'!G11</f>
        <v>0</v>
      </c>
      <c r="C8" s="30">
        <f>'Rate Class Energy Model'!G12</f>
        <v>0</v>
      </c>
      <c r="D8" s="30">
        <f>'Rate Class Energy Model'!G13</f>
        <v>0</v>
      </c>
      <c r="E8" s="30">
        <f>'Rate Class Energy Model'!G14</f>
        <v>166270245.74992317</v>
      </c>
      <c r="F8" s="30">
        <f>'Rate Class Energy Model'!G15</f>
        <v>169788483</v>
      </c>
      <c r="G8" s="30">
        <f>'Rate Class Energy Model'!G16</f>
        <v>179968717</v>
      </c>
      <c r="H8" s="30">
        <f>'Rate Class Energy Model'!G17</f>
        <v>175258854.62746203</v>
      </c>
      <c r="I8" s="30">
        <f>'Rate Class Energy Model'!G18</f>
        <v>180475098</v>
      </c>
      <c r="J8" s="30">
        <f>'Rate Class Energy Model'!G19</f>
        <v>173899397.86240616</v>
      </c>
      <c r="K8" s="30">
        <f>'Rate Class Energy Model'!G20</f>
        <v>172882903.57852563</v>
      </c>
      <c r="L8" s="30">
        <f>'Rate Class Energy Model'!G21</f>
        <v>177644371.28773403</v>
      </c>
      <c r="M8" s="30">
        <f>'Rate Class Energy Model'!G22</f>
        <v>183889036.04000002</v>
      </c>
      <c r="N8" s="59">
        <f>'Rate Class Energy Model'!G23</f>
        <v>183371442.02000001</v>
      </c>
      <c r="O8" s="59">
        <f>'Rate Class Energy Model'!N80</f>
        <v>180713812.20642555</v>
      </c>
      <c r="P8" s="59">
        <f>'Rate Class Energy Model'!N81</f>
        <v>187976750.17647019</v>
      </c>
      <c r="V8" s="637">
        <f>'Exhibit 3 Tables'!D391</f>
        <v>183346000</v>
      </c>
      <c r="W8" s="639">
        <f>P8-V8</f>
        <v>4630750.1764701903</v>
      </c>
      <c r="X8" s="640">
        <f>W8/V8</f>
        <v>2.5256892304550905E-2</v>
      </c>
      <c r="Y8" s="20" t="str">
        <f>A8</f>
        <v>Billed kWh</v>
      </c>
    </row>
    <row r="9" spans="1:25" x14ac:dyDescent="0.2">
      <c r="A9" s="20"/>
      <c r="B9" s="44"/>
      <c r="C9" s="44"/>
      <c r="D9" s="44"/>
      <c r="E9" s="44"/>
      <c r="F9" s="44"/>
      <c r="G9" s="44"/>
      <c r="H9" s="44"/>
      <c r="I9" s="44"/>
      <c r="K9" s="24"/>
      <c r="L9" s="24"/>
      <c r="M9" s="24"/>
      <c r="V9" s="636"/>
      <c r="Y9" s="20"/>
    </row>
    <row r="10" spans="1:25" ht="15.75" x14ac:dyDescent="0.25">
      <c r="A10" s="46" t="s">
        <v>62</v>
      </c>
      <c r="V10" s="636"/>
      <c r="Y10" s="46" t="str">
        <f t="shared" ref="Y10:Y51" si="1">A10</f>
        <v>By Class</v>
      </c>
    </row>
    <row r="11" spans="1:25" x14ac:dyDescent="0.2">
      <c r="A11" s="45" t="str">
        <f>'Rate Class Energy Model'!H2</f>
        <v xml:space="preserve">Residential </v>
      </c>
      <c r="V11" s="636"/>
      <c r="Y11" s="45" t="str">
        <f t="shared" si="1"/>
        <v xml:space="preserve">Residential </v>
      </c>
    </row>
    <row r="12" spans="1:25" ht="15" x14ac:dyDescent="0.25">
      <c r="A12" t="s">
        <v>47</v>
      </c>
      <c r="B12" s="311">
        <f>'Rate Class Customer Model'!B7</f>
        <v>0</v>
      </c>
      <c r="C12" s="311">
        <f>'Rate Class Customer Model'!B8</f>
        <v>0</v>
      </c>
      <c r="D12" s="311">
        <f>'Rate Class Customer Model'!B9</f>
        <v>5507</v>
      </c>
      <c r="E12" s="311">
        <f>'Rate Class Customer Model'!B10</f>
        <v>5661</v>
      </c>
      <c r="F12" s="311">
        <f>'Rate Class Customer Model'!B11</f>
        <v>5902</v>
      </c>
      <c r="G12" s="6">
        <f>'Rate Class Customer Model'!B12</f>
        <v>6124</v>
      </c>
      <c r="H12" s="6">
        <f>'Rate Class Customer Model'!B13</f>
        <v>6276</v>
      </c>
      <c r="I12" s="6">
        <f>'Rate Class Customer Model'!B14</f>
        <v>6424</v>
      </c>
      <c r="J12" s="6">
        <f>'Rate Class Customer Model'!B15</f>
        <v>6436</v>
      </c>
      <c r="K12" s="6">
        <f>'Rate Class Customer Model'!B16</f>
        <v>6507</v>
      </c>
      <c r="L12" s="28">
        <f>'Rate Class Customer Model'!B17</f>
        <v>6537</v>
      </c>
      <c r="M12" s="28">
        <f>'Rate Class Customer Model'!B18</f>
        <v>6666</v>
      </c>
      <c r="N12" s="6">
        <f>'Rate Class Customer Model'!B19</f>
        <v>6818</v>
      </c>
      <c r="O12" s="6">
        <f>'Rate Class Customer Model'!B20</f>
        <v>6965.1614702650531</v>
      </c>
      <c r="P12" s="6">
        <f>'Rate Class Customer Model'!B21</f>
        <v>7115.4993116551541</v>
      </c>
      <c r="V12" s="637">
        <f>'Exhibit 3 Tables'!D362</f>
        <v>6584</v>
      </c>
      <c r="W12" s="639">
        <f t="shared" ref="W12:W13" si="2">P12-V12</f>
        <v>531.49931165515409</v>
      </c>
      <c r="X12" s="640">
        <f t="shared" ref="X12:X13" si="3">W12/V12</f>
        <v>8.0725897882010039E-2</v>
      </c>
      <c r="Y12" t="str">
        <f t="shared" si="1"/>
        <v xml:space="preserve">  Customers</v>
      </c>
    </row>
    <row r="13" spans="1:25" x14ac:dyDescent="0.2">
      <c r="A13" t="s">
        <v>48</v>
      </c>
      <c r="B13" s="6">
        <f>'Rate Class Energy Model'!H11</f>
        <v>0</v>
      </c>
      <c r="C13" s="6">
        <f>'Rate Class Energy Model'!H12</f>
        <v>0</v>
      </c>
      <c r="D13" s="6">
        <f>'Rate Class Energy Model'!H13</f>
        <v>0</v>
      </c>
      <c r="E13" s="6">
        <f>'Rate Class Energy Model'!H14</f>
        <v>59473067.616589859</v>
      </c>
      <c r="F13" s="6">
        <f>'Rate Class Energy Model'!H15</f>
        <v>60142431</v>
      </c>
      <c r="G13" s="6">
        <f>'Rate Class Energy Model'!H16</f>
        <v>67990535</v>
      </c>
      <c r="H13" s="6">
        <f>'Rate Class Energy Model'!H17</f>
        <v>64063446</v>
      </c>
      <c r="I13" s="6">
        <f>'Rate Class Energy Model'!H18</f>
        <v>65499951</v>
      </c>
      <c r="J13" s="6">
        <f>'Rate Class Energy Model'!H19</f>
        <v>62980676.951219514</v>
      </c>
      <c r="K13" s="6">
        <f>'Rate Class Energy Model'!H20</f>
        <v>63244583.51031895</v>
      </c>
      <c r="L13" s="6">
        <f>'Rate Class Energy Model'!H21</f>
        <v>66159480.468461536</v>
      </c>
      <c r="M13" s="6">
        <f>'Rate Class Energy Model'!H22</f>
        <v>67609924.159999996</v>
      </c>
      <c r="N13" s="28">
        <f>'Rate Class Energy Model'!H23</f>
        <v>67185686.109999999</v>
      </c>
      <c r="O13" s="6">
        <f>'Rate Class Energy Model'!H80</f>
        <v>66370992.168057308</v>
      </c>
      <c r="P13" s="6">
        <f>'Rate Class Energy Model'!H81</f>
        <v>67875318.610012323</v>
      </c>
      <c r="V13" s="637">
        <f>'Exhibit 3 Tables'!D363</f>
        <v>66607551</v>
      </c>
      <c r="W13" s="639">
        <f t="shared" si="2"/>
        <v>1267767.6100123227</v>
      </c>
      <c r="X13" s="640">
        <f t="shared" si="3"/>
        <v>1.9033391724795928E-2</v>
      </c>
      <c r="Y13" t="str">
        <f t="shared" si="1"/>
        <v xml:space="preserve">  kWh</v>
      </c>
    </row>
    <row r="14" spans="1:25" x14ac:dyDescent="0.2">
      <c r="J14" s="51"/>
      <c r="K14" s="24"/>
      <c r="L14" s="24"/>
      <c r="M14" s="24"/>
      <c r="O14" s="50"/>
      <c r="P14" s="50"/>
      <c r="V14" s="636"/>
    </row>
    <row r="15" spans="1:25" x14ac:dyDescent="0.2">
      <c r="A15" s="45" t="str">
        <f>'Rate Class Energy Model'!I2</f>
        <v>General Service
&lt; 50 kW</v>
      </c>
      <c r="P15" s="312"/>
      <c r="V15" s="636"/>
      <c r="Y15" s="45" t="str">
        <f t="shared" si="1"/>
        <v>General Service
&lt; 50 kW</v>
      </c>
    </row>
    <row r="16" spans="1:25" ht="15" x14ac:dyDescent="0.25">
      <c r="A16" t="s">
        <v>47</v>
      </c>
      <c r="B16" s="311">
        <f>'Rate Class Customer Model'!C7</f>
        <v>0</v>
      </c>
      <c r="C16" s="311">
        <f>'Rate Class Customer Model'!C8</f>
        <v>0</v>
      </c>
      <c r="D16" s="311">
        <f>'Rate Class Customer Model'!C9</f>
        <v>1234</v>
      </c>
      <c r="E16" s="311">
        <f>'Rate Class Customer Model'!C10</f>
        <v>1230</v>
      </c>
      <c r="F16" s="311">
        <f>'Rate Class Customer Model'!C11</f>
        <v>1227</v>
      </c>
      <c r="G16" s="6">
        <f>'Rate Class Customer Model'!C12</f>
        <v>1210</v>
      </c>
      <c r="H16" s="6">
        <f>'Rate Class Customer Model'!C13</f>
        <v>1209</v>
      </c>
      <c r="I16" s="6">
        <f>'Rate Class Customer Model'!C14</f>
        <v>1216</v>
      </c>
      <c r="J16" s="6">
        <f>'Rate Class Customer Model'!C15</f>
        <v>1225</v>
      </c>
      <c r="K16" s="6">
        <f>'Rate Class Customer Model'!C16</f>
        <v>1230</v>
      </c>
      <c r="L16" s="28">
        <f>'Rate Class Customer Model'!C17</f>
        <v>1225</v>
      </c>
      <c r="M16" s="28">
        <f>'Rate Class Customer Model'!C18</f>
        <v>1253</v>
      </c>
      <c r="N16" s="6">
        <f>'Rate Class Customer Model'!C19</f>
        <v>1252</v>
      </c>
      <c r="O16" s="535">
        <f>'Rate Class Customer Model'!C20+'DATA - FIT RESOP'!D3</f>
        <v>1257.8143780836497</v>
      </c>
      <c r="P16" s="535">
        <f>'Rate Class Customer Model'!C21+'DATA - FIT RESOP'!D4+'DATA-New Outlet Mall 2014'!B18</f>
        <v>1350.6313855345761</v>
      </c>
      <c r="V16" s="637">
        <f>'Exhibit 3 Tables'!D366</f>
        <v>1209</v>
      </c>
      <c r="W16" s="639">
        <f t="shared" ref="W16:W17" si="4">P16-V16</f>
        <v>141.63138553457611</v>
      </c>
      <c r="X16" s="640">
        <f t="shared" ref="X16:X17" si="5">W16/V16</f>
        <v>0.11714754800213077</v>
      </c>
      <c r="Y16" t="str">
        <f t="shared" si="1"/>
        <v xml:space="preserve">  Customers</v>
      </c>
    </row>
    <row r="17" spans="1:25" x14ac:dyDescent="0.2">
      <c r="A17" t="s">
        <v>48</v>
      </c>
      <c r="B17" s="6">
        <f>'Rate Class Energy Model'!I11</f>
        <v>0</v>
      </c>
      <c r="C17" s="6">
        <f>'Rate Class Energy Model'!I12</f>
        <v>0</v>
      </c>
      <c r="D17" s="6">
        <f>'Rate Class Energy Model'!I13</f>
        <v>0</v>
      </c>
      <c r="E17" s="6">
        <f>'Rate Class Energy Model'!I14</f>
        <v>35010423</v>
      </c>
      <c r="F17" s="6">
        <f>'Rate Class Energy Model'!I15</f>
        <v>34349415</v>
      </c>
      <c r="G17" s="6">
        <f>'Rate Class Energy Model'!I16</f>
        <v>34479068</v>
      </c>
      <c r="H17" s="6">
        <f>'Rate Class Energy Model'!I17</f>
        <v>30478041</v>
      </c>
      <c r="I17" s="6">
        <f>'Rate Class Energy Model'!I18</f>
        <v>34969161</v>
      </c>
      <c r="J17" s="6">
        <f>'Rate Class Energy Model'!I19</f>
        <v>35045141.781299576</v>
      </c>
      <c r="K17" s="6">
        <f>'Rate Class Energy Model'!I20</f>
        <v>33688872.79423999</v>
      </c>
      <c r="L17" s="6">
        <f>'Rate Class Energy Model'!I21</f>
        <v>33426752.734460428</v>
      </c>
      <c r="M17" s="6">
        <f>'Rate Class Energy Model'!I22</f>
        <v>34407699.510000005</v>
      </c>
      <c r="N17" s="6">
        <f>'Rate Class Energy Model'!I23</f>
        <v>35564177.82</v>
      </c>
      <c r="O17" s="6">
        <f>'Rate Class Energy Model'!I80</f>
        <v>34202817.728189833</v>
      </c>
      <c r="P17" s="548">
        <f>'Rate Class Energy Model'!I81</f>
        <v>37894181.682895608</v>
      </c>
      <c r="V17" s="637">
        <f>'Exhibit 3 Tables'!D367</f>
        <v>34497593</v>
      </c>
      <c r="W17" s="639">
        <f t="shared" si="4"/>
        <v>3396588.6828956082</v>
      </c>
      <c r="X17" s="640">
        <f t="shared" si="5"/>
        <v>9.8458715160086918E-2</v>
      </c>
      <c r="Y17" t="str">
        <f t="shared" si="1"/>
        <v xml:space="preserve">  kWh</v>
      </c>
    </row>
    <row r="18" spans="1:25" x14ac:dyDescent="0.2">
      <c r="J18" s="51"/>
      <c r="K18" s="24"/>
      <c r="L18" s="24"/>
      <c r="M18" s="24"/>
      <c r="O18" s="50"/>
      <c r="P18" s="50"/>
      <c r="V18" s="636"/>
    </row>
    <row r="19" spans="1:25" x14ac:dyDescent="0.2">
      <c r="A19" s="45" t="str">
        <f>'Rate Class Energy Model'!J2</f>
        <v>General Service
&gt; 50 kW</v>
      </c>
      <c r="O19" s="6"/>
      <c r="P19" s="6"/>
      <c r="V19" s="636"/>
      <c r="Y19" s="45" t="str">
        <f t="shared" si="1"/>
        <v>General Service
&gt; 50 kW</v>
      </c>
    </row>
    <row r="20" spans="1:25" ht="15" x14ac:dyDescent="0.25">
      <c r="A20" t="s">
        <v>47</v>
      </c>
      <c r="B20" s="311">
        <f>'Rate Class Customer Model'!D7</f>
        <v>0</v>
      </c>
      <c r="C20" s="311">
        <f>'Rate Class Customer Model'!D8</f>
        <v>0</v>
      </c>
      <c r="D20" s="311">
        <f>'Rate Class Customer Model'!D9</f>
        <v>89</v>
      </c>
      <c r="E20" s="311">
        <f>'Rate Class Customer Model'!D10</f>
        <v>95</v>
      </c>
      <c r="F20" s="311">
        <f>'Rate Class Customer Model'!D11</f>
        <v>98</v>
      </c>
      <c r="G20" s="6">
        <f>'Rate Class Customer Model'!D12</f>
        <v>108</v>
      </c>
      <c r="H20" s="6">
        <f>'Rate Class Customer Model'!D13</f>
        <v>117</v>
      </c>
      <c r="I20" s="6">
        <f>'Rate Class Customer Model'!D14</f>
        <v>115</v>
      </c>
      <c r="J20" s="6">
        <f>'Rate Class Customer Model'!D15</f>
        <v>115</v>
      </c>
      <c r="K20" s="6">
        <f>'Rate Class Customer Model'!D16</f>
        <v>121</v>
      </c>
      <c r="L20" s="28">
        <f>'Rate Class Customer Model'!D17</f>
        <v>121</v>
      </c>
      <c r="M20" s="28">
        <f>'Rate Class Customer Model'!D18</f>
        <v>118</v>
      </c>
      <c r="N20" s="6">
        <f>'Rate Class Customer Model'!D19</f>
        <v>117</v>
      </c>
      <c r="O20" s="6">
        <f>'Rate Class Customer Model'!D20</f>
        <v>120.24456269672531</v>
      </c>
      <c r="P20" s="535">
        <f>'Rate Class Customer Model'!D21+'DATA-New Outlet Mall 2014'!C18</f>
        <v>125.5791013515103</v>
      </c>
      <c r="V20" s="637">
        <f>'Exhibit 3 Tables'!D370</f>
        <v>123</v>
      </c>
      <c r="W20" s="639">
        <f t="shared" ref="W20:W22" si="6">P20-V20</f>
        <v>2.5791013515103032</v>
      </c>
      <c r="X20" s="640">
        <f t="shared" ref="X20:X22" si="7">W20/V20</f>
        <v>2.0968303670815473E-2</v>
      </c>
      <c r="Y20" t="str">
        <f t="shared" si="1"/>
        <v xml:space="preserve">  Customers</v>
      </c>
    </row>
    <row r="21" spans="1:25" x14ac:dyDescent="0.2">
      <c r="A21" t="s">
        <v>48</v>
      </c>
      <c r="B21" s="6">
        <f>'Rate Class Energy Model'!J11</f>
        <v>0</v>
      </c>
      <c r="C21" s="6">
        <f>'Rate Class Energy Model'!J12</f>
        <v>0</v>
      </c>
      <c r="D21" s="6">
        <f>'Rate Class Energy Model'!J13</f>
        <v>0</v>
      </c>
      <c r="E21" s="6">
        <f>'Rate Class Energy Model'!J14</f>
        <v>70539226</v>
      </c>
      <c r="F21" s="6">
        <f>'Rate Class Energy Model'!J15</f>
        <v>73966550</v>
      </c>
      <c r="G21" s="6">
        <f>'Rate Class Energy Model'!J16</f>
        <v>76163682</v>
      </c>
      <c r="H21" s="6">
        <f>'Rate Class Energy Model'!J17</f>
        <v>79256712</v>
      </c>
      <c r="I21" s="6">
        <f>'Rate Class Energy Model'!J18</f>
        <v>78684896</v>
      </c>
      <c r="J21" s="6">
        <f>'Rate Class Energy Model'!J19</f>
        <v>74475846.068181574</v>
      </c>
      <c r="K21" s="6">
        <f>'Rate Class Energy Model'!J20</f>
        <v>74591201.455103308</v>
      </c>
      <c r="L21" s="6">
        <f>'Rate Class Energy Model'!J21</f>
        <v>76704892.796715111</v>
      </c>
      <c r="M21" s="6">
        <f>'Rate Class Energy Model'!J22</f>
        <v>80480195.260000005</v>
      </c>
      <c r="N21" s="6">
        <f>'Rate Class Energy Model'!J23</f>
        <v>79222400.810000002</v>
      </c>
      <c r="O21" s="6">
        <f>'Rate Class Energy Model'!J80</f>
        <v>78696780.987849146</v>
      </c>
      <c r="P21" s="548">
        <f>'Rate Class Energy Model'!J81</f>
        <v>80718463.986403674</v>
      </c>
      <c r="V21" s="637">
        <f>'Exhibit 3 Tables'!D371</f>
        <v>80852618</v>
      </c>
      <c r="W21" s="639">
        <f t="shared" si="6"/>
        <v>-134154.01359632611</v>
      </c>
      <c r="X21" s="640">
        <f t="shared" si="7"/>
        <v>-1.6592414310730929E-3</v>
      </c>
      <c r="Y21" t="str">
        <f t="shared" si="1"/>
        <v xml:space="preserve">  kWh</v>
      </c>
    </row>
    <row r="22" spans="1:25" x14ac:dyDescent="0.2">
      <c r="A22" t="s">
        <v>49</v>
      </c>
      <c r="B22" s="6">
        <f>'Rate Class Load Model'!B3</f>
        <v>0</v>
      </c>
      <c r="C22" s="6">
        <f>'Rate Class Load Model'!B4</f>
        <v>0</v>
      </c>
      <c r="D22" s="6">
        <f>'Rate Class Load Model'!B5</f>
        <v>0</v>
      </c>
      <c r="E22" s="6">
        <f>'Rate Class Load Model'!B6</f>
        <v>177667.12</v>
      </c>
      <c r="F22" s="6">
        <f>'Rate Class Load Model'!B7</f>
        <v>184830.88</v>
      </c>
      <c r="G22" s="6">
        <f>'Rate Class Load Model'!B8</f>
        <v>167126</v>
      </c>
      <c r="H22" s="6">
        <f>'Rate Class Load Model'!B9</f>
        <v>186383</v>
      </c>
      <c r="I22" s="6">
        <f>'Rate Class Load Model'!B10</f>
        <v>188388</v>
      </c>
      <c r="J22" s="6">
        <f>'Rate Class Load Model'!B11</f>
        <v>191442.06025278466</v>
      </c>
      <c r="K22" s="6">
        <f>'Rate Class Load Model'!B12</f>
        <v>192430.14550135657</v>
      </c>
      <c r="L22" s="28">
        <f>'Rate Class Load Model'!B13</f>
        <v>197719.76424585879</v>
      </c>
      <c r="M22" s="28">
        <f>'Rate Class Load Model'!B14</f>
        <v>200689.96</v>
      </c>
      <c r="N22" s="6">
        <f>'Rate Class Load Model'!B15</f>
        <v>202737.31</v>
      </c>
      <c r="O22" s="6">
        <f>'Rate Class Load Model'!B16</f>
        <v>194683.45387833432</v>
      </c>
      <c r="P22" s="548">
        <f>'Rate Class Load Model'!B17</f>
        <v>199308.82985908294</v>
      </c>
      <c r="V22" s="637">
        <f>'Exhibit 3 Tables'!D372</f>
        <v>208072</v>
      </c>
      <c r="W22" s="639">
        <f t="shared" si="6"/>
        <v>-8763.1701409170637</v>
      </c>
      <c r="X22" s="640">
        <f t="shared" si="7"/>
        <v>-4.2116047045816181E-2</v>
      </c>
      <c r="Y22" t="str">
        <f t="shared" si="1"/>
        <v xml:space="preserve">  kW</v>
      </c>
    </row>
    <row r="23" spans="1:25" x14ac:dyDescent="0.2">
      <c r="J23" s="51"/>
      <c r="K23" s="24"/>
      <c r="L23" s="24"/>
      <c r="M23" s="24"/>
      <c r="O23" s="50"/>
      <c r="P23" s="50"/>
      <c r="R23" s="4"/>
      <c r="V23" s="636"/>
    </row>
    <row r="24" spans="1:25" hidden="1" x14ac:dyDescent="0.2">
      <c r="A24" s="45"/>
      <c r="O24" s="6"/>
      <c r="P24" s="6"/>
      <c r="V24" s="636"/>
      <c r="Y24" s="45">
        <f t="shared" si="1"/>
        <v>0</v>
      </c>
    </row>
    <row r="25" spans="1:25" hidden="1" x14ac:dyDescent="0.2">
      <c r="B25" s="6"/>
      <c r="C25" s="6"/>
      <c r="D25" s="6"/>
      <c r="E25" s="6"/>
      <c r="F25" s="6"/>
      <c r="G25" s="6"/>
      <c r="H25" s="6"/>
      <c r="I25" s="6"/>
      <c r="J25" s="6"/>
      <c r="K25" s="6"/>
      <c r="L25" s="6"/>
      <c r="M25" s="6"/>
      <c r="N25" s="28"/>
      <c r="O25" s="6"/>
      <c r="P25" s="6"/>
      <c r="V25" s="636"/>
      <c r="Y25">
        <f t="shared" si="1"/>
        <v>0</v>
      </c>
    </row>
    <row r="26" spans="1:25" hidden="1" x14ac:dyDescent="0.2">
      <c r="B26" s="6"/>
      <c r="C26" s="6"/>
      <c r="D26" s="6"/>
      <c r="E26" s="6"/>
      <c r="F26" s="6"/>
      <c r="G26" s="6"/>
      <c r="H26" s="6"/>
      <c r="I26" s="6"/>
      <c r="J26" s="6"/>
      <c r="K26" s="6"/>
      <c r="L26" s="6"/>
      <c r="M26" s="6"/>
      <c r="N26" s="6"/>
      <c r="O26" s="6"/>
      <c r="P26" s="6"/>
      <c r="V26" s="636"/>
      <c r="Y26">
        <f t="shared" si="1"/>
        <v>0</v>
      </c>
    </row>
    <row r="27" spans="1:25" hidden="1" x14ac:dyDescent="0.2">
      <c r="B27" s="6"/>
      <c r="C27" s="6"/>
      <c r="D27" s="6"/>
      <c r="E27" s="6"/>
      <c r="F27" s="6"/>
      <c r="G27" s="6"/>
      <c r="H27" s="6"/>
      <c r="I27" s="6"/>
      <c r="J27" s="6"/>
      <c r="K27" s="6"/>
      <c r="L27" s="28"/>
      <c r="M27" s="28"/>
      <c r="N27" s="6"/>
      <c r="O27" s="6"/>
      <c r="P27" s="6"/>
      <c r="V27" s="636"/>
      <c r="Y27">
        <f t="shared" si="1"/>
        <v>0</v>
      </c>
    </row>
    <row r="28" spans="1:25" hidden="1" x14ac:dyDescent="0.2">
      <c r="J28" s="51"/>
      <c r="K28" s="24"/>
      <c r="L28" s="24"/>
      <c r="M28" s="24"/>
      <c r="O28" s="50"/>
      <c r="P28" s="50"/>
      <c r="V28" s="636"/>
      <c r="Y28">
        <f t="shared" si="1"/>
        <v>0</v>
      </c>
    </row>
    <row r="29" spans="1:25" hidden="1" x14ac:dyDescent="0.2">
      <c r="A29" s="45"/>
      <c r="O29" s="6"/>
      <c r="P29" s="6"/>
      <c r="V29" s="636"/>
      <c r="Y29" s="45">
        <f t="shared" si="1"/>
        <v>0</v>
      </c>
    </row>
    <row r="30" spans="1:25" hidden="1" x14ac:dyDescent="0.2">
      <c r="B30" s="6"/>
      <c r="C30" s="6"/>
      <c r="D30" s="6"/>
      <c r="E30" s="6"/>
      <c r="F30" s="6"/>
      <c r="G30" s="6"/>
      <c r="H30" s="6"/>
      <c r="I30" s="6"/>
      <c r="J30" s="6"/>
      <c r="K30" s="6"/>
      <c r="L30" s="28"/>
      <c r="M30" s="28"/>
      <c r="N30" s="6"/>
      <c r="O30" s="6"/>
      <c r="P30" s="6"/>
      <c r="V30" s="636"/>
      <c r="Y30">
        <f t="shared" si="1"/>
        <v>0</v>
      </c>
    </row>
    <row r="31" spans="1:25" hidden="1" x14ac:dyDescent="0.2">
      <c r="B31" s="6"/>
      <c r="C31" s="6"/>
      <c r="D31" s="6"/>
      <c r="E31" s="6"/>
      <c r="F31" s="6"/>
      <c r="G31" s="6"/>
      <c r="H31" s="6"/>
      <c r="I31" s="6"/>
      <c r="J31" s="6"/>
      <c r="K31" s="6"/>
      <c r="L31" s="6"/>
      <c r="M31" s="6"/>
      <c r="N31" s="6"/>
      <c r="O31" s="6"/>
      <c r="P31" s="6"/>
      <c r="V31" s="636"/>
      <c r="Y31">
        <f t="shared" si="1"/>
        <v>0</v>
      </c>
    </row>
    <row r="32" spans="1:25" hidden="1" x14ac:dyDescent="0.2">
      <c r="B32" s="6"/>
      <c r="C32" s="6"/>
      <c r="D32" s="6"/>
      <c r="E32" s="6"/>
      <c r="F32" s="6"/>
      <c r="G32" s="6"/>
      <c r="H32" s="6"/>
      <c r="I32" s="6"/>
      <c r="J32" s="6"/>
      <c r="K32" s="6"/>
      <c r="L32" s="28"/>
      <c r="M32" s="28"/>
      <c r="N32" s="6"/>
      <c r="O32" s="6"/>
      <c r="P32" s="6"/>
      <c r="V32" s="636"/>
      <c r="Y32">
        <f t="shared" si="1"/>
        <v>0</v>
      </c>
    </row>
    <row r="33" spans="1:25" hidden="1" x14ac:dyDescent="0.2">
      <c r="B33" s="6"/>
      <c r="C33" s="6"/>
      <c r="D33" s="6"/>
      <c r="E33" s="6"/>
      <c r="F33" s="6"/>
      <c r="G33" s="6"/>
      <c r="H33" s="6"/>
      <c r="I33" s="6"/>
      <c r="J33" s="6"/>
      <c r="K33" s="6"/>
      <c r="L33" s="6"/>
      <c r="M33" s="6"/>
      <c r="N33" s="28"/>
      <c r="O33" s="6"/>
      <c r="P33" s="6"/>
      <c r="V33" s="636"/>
      <c r="Y33">
        <f t="shared" si="1"/>
        <v>0</v>
      </c>
    </row>
    <row r="34" spans="1:25" x14ac:dyDescent="0.2">
      <c r="A34" s="45" t="str">
        <f>'Rate Class Energy Model'!K2</f>
        <v xml:space="preserve">Streetlights </v>
      </c>
      <c r="O34" s="6"/>
      <c r="P34" s="6"/>
      <c r="R34" s="4"/>
      <c r="V34" s="636"/>
      <c r="Y34" s="45" t="str">
        <f t="shared" si="1"/>
        <v xml:space="preserve">Streetlights </v>
      </c>
    </row>
    <row r="35" spans="1:25" x14ac:dyDescent="0.2">
      <c r="A35" t="s">
        <v>69</v>
      </c>
      <c r="B35" s="6">
        <f>'Rate Class Customer Model'!G7</f>
        <v>0</v>
      </c>
      <c r="C35" s="6">
        <f>'Rate Class Customer Model'!G8</f>
        <v>0</v>
      </c>
      <c r="D35" s="6">
        <f>'Rate Class Customer Model'!G9</f>
        <v>1483</v>
      </c>
      <c r="E35" s="6">
        <f>'Rate Class Customer Model'!G10</f>
        <v>1591</v>
      </c>
      <c r="F35" s="6">
        <f>'Rate Class Customer Model'!G11</f>
        <v>1611</v>
      </c>
      <c r="G35" s="6">
        <f>'Rate Class Customer Model'!G12</f>
        <v>1658</v>
      </c>
      <c r="H35" s="6">
        <f>'Rate Class Customer Model'!G13</f>
        <v>1736</v>
      </c>
      <c r="I35" s="6">
        <f>'Rate Class Customer Model'!G14</f>
        <v>1796</v>
      </c>
      <c r="J35" s="6">
        <f>'Rate Class Customer Model'!G15</f>
        <v>1904</v>
      </c>
      <c r="K35" s="6">
        <f>'Rate Class Customer Model'!G16</f>
        <v>1915</v>
      </c>
      <c r="L35" s="28">
        <f>'Rate Class Customer Model'!G17</f>
        <v>1920</v>
      </c>
      <c r="M35" s="28">
        <f>'Rate Class Customer Model'!G18</f>
        <v>1946</v>
      </c>
      <c r="N35" s="6">
        <f>'Rate Class Customer Model'!G19</f>
        <v>1949</v>
      </c>
      <c r="O35" s="6">
        <f>'Rate Class Customer Model'!G20</f>
        <v>2002.9905850782741</v>
      </c>
      <c r="P35" s="6">
        <f>'Rate Class Customer Model'!G21</f>
        <v>2058.4768003654217</v>
      </c>
      <c r="V35" s="637">
        <f>'Exhibit 3 Tables'!D376</f>
        <v>1953</v>
      </c>
      <c r="W35" s="639">
        <f t="shared" ref="W35:W37" si="8">P35-V35</f>
        <v>105.4768003654217</v>
      </c>
      <c r="X35" s="640">
        <f t="shared" ref="X35:X37" si="9">W35/V35</f>
        <v>5.4007578272105325E-2</v>
      </c>
      <c r="Y35" t="str">
        <f t="shared" si="1"/>
        <v xml:space="preserve">  Connections</v>
      </c>
    </row>
    <row r="36" spans="1:25" x14ac:dyDescent="0.2">
      <c r="A36" t="s">
        <v>48</v>
      </c>
      <c r="B36" s="6">
        <f>'Rate Class Energy Model'!K11</f>
        <v>0</v>
      </c>
      <c r="C36" s="6">
        <f>'Rate Class Energy Model'!K12</f>
        <v>0</v>
      </c>
      <c r="D36" s="6">
        <f>'Rate Class Energy Model'!K13</f>
        <v>0</v>
      </c>
      <c r="E36" s="6">
        <f>'Rate Class Energy Model'!K14</f>
        <v>884324.1333333333</v>
      </c>
      <c r="F36" s="6">
        <f>'Rate Class Energy Model'!K15</f>
        <v>914682</v>
      </c>
      <c r="G36" s="6">
        <f>'Rate Class Energy Model'!K16</f>
        <v>995698</v>
      </c>
      <c r="H36" s="6">
        <f>'Rate Class Energy Model'!K17</f>
        <v>1118911</v>
      </c>
      <c r="I36" s="6">
        <f>'Rate Class Energy Model'!K18</f>
        <v>1002185</v>
      </c>
      <c r="J36" s="6">
        <f>'Rate Class Energy Model'!K19</f>
        <v>1121118.2660441326</v>
      </c>
      <c r="K36" s="6">
        <f>'Rate Class Energy Model'!K20</f>
        <v>1155889.8842094042</v>
      </c>
      <c r="L36" s="6">
        <f>'Rate Class Energy Model'!K21</f>
        <v>1135598.169746463</v>
      </c>
      <c r="M36" s="6">
        <f>'Rate Class Energy Model'!K22</f>
        <v>1153818.49</v>
      </c>
      <c r="N36" s="6">
        <f>'Rate Class Energy Model'!K23</f>
        <v>1163464</v>
      </c>
      <c r="O36" s="60">
        <f>'Rate Class Energy Model'!K80</f>
        <v>1205214.7617062805</v>
      </c>
      <c r="P36" s="60">
        <f>'Rate Class Energy Model'!K81</f>
        <v>1248463.7443313473</v>
      </c>
      <c r="V36" s="637">
        <f>'Exhibit 3 Tables'!D377</f>
        <v>1086069</v>
      </c>
      <c r="W36" s="639">
        <f t="shared" si="8"/>
        <v>162394.74433134729</v>
      </c>
      <c r="X36" s="640">
        <f t="shared" si="9"/>
        <v>0.14952525514617146</v>
      </c>
      <c r="Y36" t="str">
        <f t="shared" si="1"/>
        <v xml:space="preserve">  kWh</v>
      </c>
    </row>
    <row r="37" spans="1:25" x14ac:dyDescent="0.2">
      <c r="A37" t="s">
        <v>49</v>
      </c>
      <c r="B37" s="6">
        <f>'Rate Class Load Model'!C3</f>
        <v>0</v>
      </c>
      <c r="C37" s="6">
        <f>'Rate Class Load Model'!C4</f>
        <v>0</v>
      </c>
      <c r="D37" s="6">
        <f>'Rate Class Load Model'!C5</f>
        <v>0</v>
      </c>
      <c r="E37" s="6">
        <f>'Rate Class Load Model'!C6</f>
        <v>2379.9104000000002</v>
      </c>
      <c r="F37" s="6">
        <f>'Rate Class Load Model'!C7</f>
        <v>2576.6799999999998</v>
      </c>
      <c r="G37" s="6">
        <f>'Rate Class Load Model'!C8</f>
        <v>2626</v>
      </c>
      <c r="H37" s="6">
        <f>'Rate Class Load Model'!C9</f>
        <v>2644</v>
      </c>
      <c r="I37" s="6">
        <f>'Rate Class Load Model'!C10</f>
        <v>2899</v>
      </c>
      <c r="J37" s="6">
        <f>'Rate Class Load Model'!C11</f>
        <v>3094.7685294731714</v>
      </c>
      <c r="K37" s="6">
        <f>'Rate Class Load Model'!C12</f>
        <v>2883.032223061407</v>
      </c>
      <c r="L37" s="28">
        <f>'Rate Class Load Model'!C13</f>
        <v>3197.9392474654219</v>
      </c>
      <c r="M37" s="28">
        <f>'Rate Class Load Model'!C14</f>
        <v>3221.49</v>
      </c>
      <c r="N37" s="6">
        <f>'Rate Class Load Model'!C15</f>
        <v>3238</v>
      </c>
      <c r="O37" s="6">
        <f>'Rate Class Load Model'!C16</f>
        <v>3259.7560076882087</v>
      </c>
      <c r="P37" s="6">
        <f>'Rate Class Load Model'!C17</f>
        <v>3376.7319487552354</v>
      </c>
      <c r="V37" s="637">
        <f>'Exhibit 3 Tables'!D378</f>
        <v>2900</v>
      </c>
      <c r="W37" s="639">
        <f t="shared" si="8"/>
        <v>476.73194875523541</v>
      </c>
      <c r="X37" s="640">
        <f t="shared" si="9"/>
        <v>0.16439032715697774</v>
      </c>
      <c r="Y37" t="str">
        <f t="shared" si="1"/>
        <v xml:space="preserve">  kW</v>
      </c>
    </row>
    <row r="38" spans="1:25" x14ac:dyDescent="0.2">
      <c r="V38" s="636"/>
    </row>
    <row r="39" spans="1:25" x14ac:dyDescent="0.2">
      <c r="A39" s="45" t="str">
        <f>'Rate Class Energy Model'!L2</f>
        <v>Sentinel Lights</v>
      </c>
      <c r="R39" s="528" t="s">
        <v>189</v>
      </c>
      <c r="V39" s="636"/>
      <c r="Y39" s="45" t="str">
        <f t="shared" si="1"/>
        <v>Sentinel Lights</v>
      </c>
    </row>
    <row r="40" spans="1:25" x14ac:dyDescent="0.2">
      <c r="A40" t="s">
        <v>69</v>
      </c>
      <c r="B40" s="6">
        <f>'Rate Class Customer Model'!H7</f>
        <v>0</v>
      </c>
      <c r="C40" s="6">
        <f>'Rate Class Customer Model'!H8</f>
        <v>0</v>
      </c>
      <c r="D40" s="6">
        <f>'Rate Class Customer Model'!H9</f>
        <v>110</v>
      </c>
      <c r="E40" s="6">
        <f>'Rate Class Customer Model'!H10</f>
        <v>108</v>
      </c>
      <c r="F40" s="6">
        <f>'Rate Class Customer Model'!H11</f>
        <v>105</v>
      </c>
      <c r="G40" s="6">
        <f>'Rate Class Customer Model'!H12</f>
        <v>80</v>
      </c>
      <c r="H40" s="6">
        <f>'Rate Class Customer Model'!H13</f>
        <v>77</v>
      </c>
      <c r="I40" s="6">
        <f>'Rate Class Customer Model'!H14</f>
        <v>76</v>
      </c>
      <c r="J40" s="6">
        <f>'Rate Class Customer Model'!H15</f>
        <v>71</v>
      </c>
      <c r="K40" s="6">
        <f>'Rate Class Customer Model'!H16</f>
        <v>0</v>
      </c>
      <c r="L40" s="28">
        <f>'Rate Class Customer Model'!H17</f>
        <v>0</v>
      </c>
      <c r="M40" s="28">
        <f>'Rate Class Customer Model'!H18</f>
        <v>0</v>
      </c>
      <c r="N40" s="6">
        <f>'Rate Class Customer Model'!H19</f>
        <v>0</v>
      </c>
      <c r="O40" s="6">
        <f>'Rate Class Customer Model'!H20</f>
        <v>0</v>
      </c>
      <c r="P40" s="6">
        <f>'Rate Class Customer Model'!H21</f>
        <v>0</v>
      </c>
      <c r="V40" s="637">
        <f>'Exhibit 3 Tables'!D381</f>
        <v>0</v>
      </c>
      <c r="W40" s="639">
        <f t="shared" ref="W40:W42" si="10">P40-V40</f>
        <v>0</v>
      </c>
      <c r="X40" s="640"/>
      <c r="Y40" t="str">
        <f t="shared" si="1"/>
        <v xml:space="preserve">  Connections</v>
      </c>
    </row>
    <row r="41" spans="1:25" x14ac:dyDescent="0.2">
      <c r="A41" t="s">
        <v>48</v>
      </c>
      <c r="B41" s="6">
        <f>'Rate Class Energy Model'!L11</f>
        <v>0</v>
      </c>
      <c r="C41" s="6">
        <f>'Rate Class Energy Model'!L12</f>
        <v>0</v>
      </c>
      <c r="D41" s="6">
        <f>'Rate Class Energy Model'!L13</f>
        <v>0</v>
      </c>
      <c r="E41" s="6">
        <f>'Rate Class Energy Model'!L14</f>
        <v>145274</v>
      </c>
      <c r="F41" s="6">
        <f>'Rate Class Energy Model'!L15</f>
        <v>197474</v>
      </c>
      <c r="G41" s="6">
        <f>'Rate Class Energy Model'!L16</f>
        <v>121803</v>
      </c>
      <c r="H41" s="6">
        <f>'Rate Class Energy Model'!L17</f>
        <v>123813.62746201461</v>
      </c>
      <c r="I41" s="6">
        <f>'Rate Class Energy Model'!L18</f>
        <v>100974</v>
      </c>
      <c r="J41" s="6">
        <f>'Rate Class Energy Model'!L19</f>
        <v>65335.910294257686</v>
      </c>
      <c r="K41" s="6">
        <f>'Rate Class Energy Model'!L20</f>
        <v>5467.0983715836583</v>
      </c>
      <c r="L41" s="6">
        <f>'Rate Class Energy Model'!L21</f>
        <v>0</v>
      </c>
      <c r="M41" s="6">
        <f>'Rate Class Energy Model'!L22</f>
        <v>0</v>
      </c>
      <c r="N41" s="6">
        <f>'Rate Class Energy Model'!L23</f>
        <v>0</v>
      </c>
      <c r="O41" s="6">
        <f>'Rate Class Energy Model'!L80</f>
        <v>0</v>
      </c>
      <c r="P41" s="6">
        <f>'Rate Class Energy Model'!L81</f>
        <v>0</v>
      </c>
      <c r="V41" s="637">
        <f>'Exhibit 3 Tables'!D382</f>
        <v>0</v>
      </c>
      <c r="W41" s="639">
        <f t="shared" si="10"/>
        <v>0</v>
      </c>
      <c r="X41" s="640"/>
      <c r="Y41" t="str">
        <f t="shared" si="1"/>
        <v xml:space="preserve">  kWh</v>
      </c>
    </row>
    <row r="42" spans="1:25" x14ac:dyDescent="0.2">
      <c r="A42" t="s">
        <v>49</v>
      </c>
      <c r="B42" s="6">
        <f>'Rate Class Load Model'!D3</f>
        <v>0</v>
      </c>
      <c r="C42" s="6">
        <f>'Rate Class Load Model'!D4</f>
        <v>0</v>
      </c>
      <c r="D42" s="6">
        <f>'Rate Class Load Model'!D5</f>
        <v>0</v>
      </c>
      <c r="E42" s="6">
        <f>'Rate Class Load Model'!D6</f>
        <v>422.24788414519463</v>
      </c>
      <c r="F42" s="6">
        <f>'Rate Class Load Model'!D7</f>
        <v>401.14632311453829</v>
      </c>
      <c r="G42" s="6">
        <f>'Rate Class Load Model'!D8</f>
        <v>337</v>
      </c>
      <c r="H42" s="6">
        <f>'Rate Class Load Model'!D9</f>
        <v>251</v>
      </c>
      <c r="I42" s="6">
        <f>'Rate Class Load Model'!D10</f>
        <v>257</v>
      </c>
      <c r="J42" s="6">
        <f>'Rate Class Load Model'!D11</f>
        <v>244.58537744657013</v>
      </c>
      <c r="K42" s="6">
        <f>'Rate Class Load Model'!D12</f>
        <v>102.41462255342987</v>
      </c>
      <c r="L42" s="6">
        <f>'Rate Class Load Model'!D13</f>
        <v>0</v>
      </c>
      <c r="M42" s="6">
        <f>'Rate Class Load Model'!D14</f>
        <v>0</v>
      </c>
      <c r="N42" s="28">
        <f>'Rate Class Load Model'!D15</f>
        <v>0</v>
      </c>
      <c r="O42" s="6">
        <f>'Rate Class Load Model'!D16</f>
        <v>0</v>
      </c>
      <c r="P42" s="6">
        <f>'Rate Class Load Model'!D17</f>
        <v>0</v>
      </c>
      <c r="V42" s="637">
        <f>'Exhibit 3 Tables'!D383</f>
        <v>0</v>
      </c>
      <c r="W42" s="639">
        <f t="shared" si="10"/>
        <v>0</v>
      </c>
      <c r="X42" s="640"/>
      <c r="Y42" t="str">
        <f t="shared" si="1"/>
        <v xml:space="preserve">  kW</v>
      </c>
    </row>
    <row r="43" spans="1:25" x14ac:dyDescent="0.2">
      <c r="O43" s="6"/>
      <c r="P43" s="6"/>
      <c r="V43" s="636"/>
    </row>
    <row r="44" spans="1:25" x14ac:dyDescent="0.2">
      <c r="A44" s="45" t="str">
        <f>'Rate Class Energy Model'!M2</f>
        <v xml:space="preserve">Unmetered Loads </v>
      </c>
      <c r="O44" s="6"/>
      <c r="P44" s="6"/>
      <c r="V44" s="636"/>
      <c r="Y44" s="45" t="str">
        <f t="shared" si="1"/>
        <v xml:space="preserve">Unmetered Loads </v>
      </c>
    </row>
    <row r="45" spans="1:25" x14ac:dyDescent="0.2">
      <c r="A45" t="s">
        <v>69</v>
      </c>
      <c r="B45" s="6">
        <f>'Rate Class Customer Model'!I7</f>
        <v>0</v>
      </c>
      <c r="C45" s="6">
        <f>'Rate Class Customer Model'!I8</f>
        <v>0</v>
      </c>
      <c r="D45" s="6">
        <f>'Rate Class Customer Model'!I9</f>
        <v>24</v>
      </c>
      <c r="E45" s="6">
        <f>'Rate Class Customer Model'!I10</f>
        <v>24</v>
      </c>
      <c r="F45" s="6">
        <f>'Rate Class Customer Model'!I11</f>
        <v>24</v>
      </c>
      <c r="G45" s="6">
        <f>'Rate Class Customer Model'!I12</f>
        <v>24</v>
      </c>
      <c r="H45" s="6">
        <f>'Rate Class Customer Model'!I13</f>
        <v>24</v>
      </c>
      <c r="I45" s="6">
        <f>'Rate Class Customer Model'!I14</f>
        <v>23</v>
      </c>
      <c r="J45" s="6">
        <f>'Rate Class Customer Model'!I15</f>
        <v>22</v>
      </c>
      <c r="K45" s="6">
        <f>'Rate Class Customer Model'!I16</f>
        <v>22</v>
      </c>
      <c r="L45" s="6">
        <f>'Rate Class Customer Model'!I17</f>
        <v>20</v>
      </c>
      <c r="M45" s="6">
        <f>'Rate Class Customer Model'!I18</f>
        <v>22</v>
      </c>
      <c r="N45" s="28">
        <f>'Rate Class Customer Model'!I19</f>
        <v>22</v>
      </c>
      <c r="O45" s="6">
        <f>'Rate Class Customer Model'!I20</f>
        <v>21.809405368179451</v>
      </c>
      <c r="P45" s="6">
        <f>'Rate Class Customer Model'!I21</f>
        <v>21.620461932435212</v>
      </c>
      <c r="V45" s="637">
        <f>'Exhibit 3 Tables'!D386</f>
        <v>32</v>
      </c>
      <c r="W45" s="639">
        <f t="shared" ref="W45:W46" si="11">P45-V45</f>
        <v>-10.379538067564788</v>
      </c>
      <c r="X45" s="640">
        <f t="shared" ref="X45:X46" si="12">W45/V45</f>
        <v>-0.32436056461139962</v>
      </c>
      <c r="Y45" t="str">
        <f t="shared" si="1"/>
        <v xml:space="preserve">  Connections</v>
      </c>
    </row>
    <row r="46" spans="1:25" x14ac:dyDescent="0.2">
      <c r="A46" t="s">
        <v>48</v>
      </c>
      <c r="B46" s="6">
        <f>'Rate Class Energy Model'!M11</f>
        <v>0</v>
      </c>
      <c r="C46" s="6">
        <f>'Rate Class Energy Model'!M12</f>
        <v>0</v>
      </c>
      <c r="D46" s="6">
        <f>'Rate Class Energy Model'!M13</f>
        <v>0</v>
      </c>
      <c r="E46" s="6">
        <f>'Rate Class Energy Model'!M14</f>
        <v>217931</v>
      </c>
      <c r="F46" s="6">
        <f>'Rate Class Energy Model'!M15</f>
        <v>217931</v>
      </c>
      <c r="G46" s="6">
        <f>'Rate Class Energy Model'!M16</f>
        <v>217931</v>
      </c>
      <c r="H46" s="6">
        <f>'Rate Class Energy Model'!M17</f>
        <v>217931</v>
      </c>
      <c r="I46" s="6">
        <f>'Rate Class Energy Model'!M18</f>
        <v>217931</v>
      </c>
      <c r="J46" s="6">
        <f>'Rate Class Energy Model'!M19</f>
        <v>211278.88536708895</v>
      </c>
      <c r="K46" s="6">
        <f>'Rate Class Energy Model'!M20</f>
        <v>196888.83628239558</v>
      </c>
      <c r="L46" s="6">
        <f>'Rate Class Energy Model'!M21</f>
        <v>217647.11835051546</v>
      </c>
      <c r="M46" s="6">
        <f>'Rate Class Energy Model'!M22</f>
        <v>237398.62</v>
      </c>
      <c r="N46" s="6">
        <f>'Rate Class Energy Model'!M23</f>
        <v>235713.28</v>
      </c>
      <c r="O46" s="6">
        <f>'Rate Class Energy Model'!M80</f>
        <v>238006.56062295177</v>
      </c>
      <c r="P46" s="6">
        <f>'Rate Class Energy Model'!M81</f>
        <v>240322.1528272265</v>
      </c>
      <c r="V46" s="637">
        <f>'Exhibit 3 Tables'!D387</f>
        <v>302169</v>
      </c>
      <c r="W46" s="639">
        <f t="shared" si="11"/>
        <v>-61846.847172773501</v>
      </c>
      <c r="X46" s="640">
        <f t="shared" si="12"/>
        <v>-0.20467634725194675</v>
      </c>
      <c r="Y46" t="str">
        <f t="shared" si="1"/>
        <v xml:space="preserve">  kWh</v>
      </c>
    </row>
    <row r="47" spans="1:25" x14ac:dyDescent="0.2">
      <c r="O47" s="6"/>
      <c r="P47" s="6"/>
      <c r="V47" s="636"/>
    </row>
    <row r="48" spans="1:25" x14ac:dyDescent="0.2">
      <c r="A48" s="45" t="s">
        <v>70</v>
      </c>
      <c r="B48" s="6"/>
      <c r="C48" s="6"/>
      <c r="D48" s="6"/>
      <c r="E48" s="6"/>
      <c r="F48" s="6"/>
      <c r="G48" s="6"/>
      <c r="H48" s="6"/>
      <c r="J48" s="6"/>
      <c r="K48" s="6"/>
      <c r="L48" s="6"/>
      <c r="M48" s="6"/>
      <c r="N48" s="28"/>
      <c r="V48" s="636"/>
      <c r="Y48" s="45" t="str">
        <f t="shared" si="1"/>
        <v>Total of Above</v>
      </c>
    </row>
    <row r="49" spans="1:25" x14ac:dyDescent="0.2">
      <c r="A49" t="s">
        <v>59</v>
      </c>
      <c r="B49" s="6">
        <f t="shared" ref="B49:P49" si="13">SUM(B12+B16+B20+B25+B30+B35+B40+B45)</f>
        <v>0</v>
      </c>
      <c r="C49" s="6">
        <f t="shared" si="13"/>
        <v>0</v>
      </c>
      <c r="D49" s="6">
        <f t="shared" si="13"/>
        <v>8447</v>
      </c>
      <c r="E49" s="6">
        <f t="shared" si="13"/>
        <v>8709</v>
      </c>
      <c r="F49" s="6">
        <f t="shared" si="13"/>
        <v>8967</v>
      </c>
      <c r="G49" s="6">
        <f t="shared" si="13"/>
        <v>9204</v>
      </c>
      <c r="H49" s="6">
        <f t="shared" si="13"/>
        <v>9439</v>
      </c>
      <c r="I49" s="6">
        <f t="shared" si="13"/>
        <v>9650</v>
      </c>
      <c r="J49" s="6">
        <f t="shared" si="13"/>
        <v>9773</v>
      </c>
      <c r="K49" s="6">
        <f t="shared" si="13"/>
        <v>9795</v>
      </c>
      <c r="L49" s="6">
        <f t="shared" si="13"/>
        <v>9823</v>
      </c>
      <c r="M49" s="6">
        <f t="shared" si="13"/>
        <v>10005</v>
      </c>
      <c r="N49" s="6">
        <f t="shared" si="13"/>
        <v>10158</v>
      </c>
      <c r="O49" s="6">
        <f t="shared" si="13"/>
        <v>10368.020401491882</v>
      </c>
      <c r="P49" s="6">
        <f t="shared" si="13"/>
        <v>10671.807060839095</v>
      </c>
      <c r="V49" s="637">
        <f>'Exhibit 3 Tables'!D390</f>
        <v>9901</v>
      </c>
      <c r="W49" s="639">
        <f t="shared" ref="W49:W51" si="14">P49-V49</f>
        <v>770.80706083909536</v>
      </c>
      <c r="X49" s="640">
        <f t="shared" ref="X49:X51" si="15">W49/V49</f>
        <v>7.7851435293313342E-2</v>
      </c>
      <c r="Y49" t="str">
        <f t="shared" si="1"/>
        <v xml:space="preserve">  Customer/Connections</v>
      </c>
    </row>
    <row r="50" spans="1:25" x14ac:dyDescent="0.2">
      <c r="A50" t="s">
        <v>48</v>
      </c>
      <c r="B50" s="6">
        <f t="shared" ref="B50:P50" si="16">SUM(B13+B17+B21+B26+B31+B36+B41+B46)</f>
        <v>0</v>
      </c>
      <c r="C50" s="6">
        <f t="shared" si="16"/>
        <v>0</v>
      </c>
      <c r="D50" s="6">
        <f t="shared" si="16"/>
        <v>0</v>
      </c>
      <c r="E50" s="6">
        <f t="shared" si="16"/>
        <v>166270245.74992317</v>
      </c>
      <c r="F50" s="6">
        <f t="shared" si="16"/>
        <v>169788483</v>
      </c>
      <c r="G50" s="6">
        <f t="shared" si="16"/>
        <v>179968717</v>
      </c>
      <c r="H50" s="6">
        <f t="shared" si="16"/>
        <v>175258854.62746203</v>
      </c>
      <c r="I50" s="6">
        <f t="shared" si="16"/>
        <v>180475098</v>
      </c>
      <c r="J50" s="6">
        <f t="shared" si="16"/>
        <v>173899397.86240616</v>
      </c>
      <c r="K50" s="6">
        <f t="shared" si="16"/>
        <v>172882903.57852563</v>
      </c>
      <c r="L50" s="6">
        <f t="shared" si="16"/>
        <v>177644371.28773403</v>
      </c>
      <c r="M50" s="6">
        <f t="shared" si="16"/>
        <v>183889036.04000002</v>
      </c>
      <c r="N50" s="6">
        <f t="shared" si="16"/>
        <v>183371442.02000001</v>
      </c>
      <c r="O50" s="6">
        <f t="shared" si="16"/>
        <v>180713812.20642555</v>
      </c>
      <c r="P50" s="6">
        <f t="shared" si="16"/>
        <v>187976750.17647019</v>
      </c>
      <c r="V50" s="637">
        <f>'Exhibit 3 Tables'!D391</f>
        <v>183346000</v>
      </c>
      <c r="W50" s="639">
        <f t="shared" si="14"/>
        <v>4630750.1764701903</v>
      </c>
      <c r="X50" s="640">
        <f t="shared" si="15"/>
        <v>2.5256892304550905E-2</v>
      </c>
      <c r="Y50" t="str">
        <f t="shared" si="1"/>
        <v xml:space="preserve">  kWh</v>
      </c>
    </row>
    <row r="51" spans="1:25" x14ac:dyDescent="0.2">
      <c r="A51" t="s">
        <v>58</v>
      </c>
      <c r="B51" s="6">
        <f t="shared" ref="B51:P51" si="17">SUM(B22+B27+B32+B37+B42)</f>
        <v>0</v>
      </c>
      <c r="C51" s="6">
        <f t="shared" si="17"/>
        <v>0</v>
      </c>
      <c r="D51" s="6">
        <f t="shared" si="17"/>
        <v>0</v>
      </c>
      <c r="E51" s="6">
        <f t="shared" si="17"/>
        <v>180469.27828414517</v>
      </c>
      <c r="F51" s="6">
        <f t="shared" si="17"/>
        <v>187808.70632311454</v>
      </c>
      <c r="G51" s="6">
        <f t="shared" si="17"/>
        <v>170089</v>
      </c>
      <c r="H51" s="6">
        <f t="shared" si="17"/>
        <v>189278</v>
      </c>
      <c r="I51" s="6">
        <f t="shared" si="17"/>
        <v>191544</v>
      </c>
      <c r="J51" s="6">
        <f t="shared" si="17"/>
        <v>194781.41415970441</v>
      </c>
      <c r="K51" s="6">
        <f t="shared" si="17"/>
        <v>195415.59234697139</v>
      </c>
      <c r="L51" s="6">
        <f t="shared" si="17"/>
        <v>200917.70349332422</v>
      </c>
      <c r="M51" s="6">
        <f t="shared" si="17"/>
        <v>203911.44999999998</v>
      </c>
      <c r="N51" s="6">
        <f t="shared" si="17"/>
        <v>205975.31</v>
      </c>
      <c r="O51" s="6">
        <f t="shared" si="17"/>
        <v>197943.20988602252</v>
      </c>
      <c r="P51" s="6">
        <f t="shared" si="17"/>
        <v>202685.56180783818</v>
      </c>
      <c r="V51" s="637">
        <f>'Exhibit 3 Tables'!D392</f>
        <v>210972</v>
      </c>
      <c r="W51" s="639">
        <f t="shared" si="14"/>
        <v>-8286.4381921618187</v>
      </c>
      <c r="X51" s="640">
        <f t="shared" si="15"/>
        <v>-3.927743109114868E-2</v>
      </c>
      <c r="Y51" t="str">
        <f t="shared" si="1"/>
        <v xml:space="preserve">  kW from applicable classes</v>
      </c>
    </row>
    <row r="52" spans="1:25" x14ac:dyDescent="0.2">
      <c r="V52" s="34"/>
    </row>
    <row r="53" spans="1:25" x14ac:dyDescent="0.2">
      <c r="A53" s="45" t="s">
        <v>71</v>
      </c>
      <c r="O53" s="6"/>
      <c r="P53" s="6"/>
      <c r="V53" s="34"/>
    </row>
    <row r="54" spans="1:25" x14ac:dyDescent="0.2">
      <c r="A54" t="s">
        <v>59</v>
      </c>
      <c r="B54" s="6">
        <f>'Rate Class Customer Model'!J7</f>
        <v>0</v>
      </c>
      <c r="C54" s="6">
        <f>'Rate Class Customer Model'!J8</f>
        <v>0</v>
      </c>
      <c r="D54" s="6">
        <f>'Rate Class Customer Model'!J9</f>
        <v>8447</v>
      </c>
      <c r="E54" s="6">
        <f>'Rate Class Customer Model'!J10</f>
        <v>8709</v>
      </c>
      <c r="F54" s="6">
        <f>'Rate Class Customer Model'!J11</f>
        <v>8967</v>
      </c>
      <c r="G54" s="6">
        <f>'Rate Class Customer Model'!J12</f>
        <v>9204</v>
      </c>
      <c r="H54" s="6">
        <f>'Rate Class Customer Model'!J13</f>
        <v>9439</v>
      </c>
      <c r="I54" s="6">
        <f>'Rate Class Customer Model'!J14</f>
        <v>9650</v>
      </c>
      <c r="J54" s="6">
        <f>'Rate Class Customer Model'!J15</f>
        <v>9773</v>
      </c>
      <c r="K54" s="6">
        <f>'Rate Class Customer Model'!J16</f>
        <v>9795</v>
      </c>
      <c r="L54" s="6">
        <f>'Rate Class Customer Model'!J17</f>
        <v>9823</v>
      </c>
      <c r="M54" s="6">
        <f>'Rate Class Customer Model'!J18</f>
        <v>10005</v>
      </c>
      <c r="N54" s="6">
        <f>'Rate Class Customer Model'!J19</f>
        <v>10158</v>
      </c>
      <c r="O54" s="536">
        <f>'Rate Class Customer Model'!J20+'DATA - FIT RESOP'!D3</f>
        <v>10368.020401491882</v>
      </c>
      <c r="P54" s="536">
        <f>'Rate Class Customer Model'!J21+'DATA-New Outlet Mall 2014'!B18+'DATA-New Outlet Mall 2014'!C18+'DATA - FIT RESOP'!D4</f>
        <v>10671.807060839095</v>
      </c>
      <c r="V54" s="34"/>
    </row>
    <row r="55" spans="1:25" x14ac:dyDescent="0.2">
      <c r="A55" t="s">
        <v>48</v>
      </c>
      <c r="B55" s="6">
        <f>'Rate Class Energy Model'!G11</f>
        <v>0</v>
      </c>
      <c r="C55" s="6">
        <f>'Rate Class Energy Model'!G12</f>
        <v>0</v>
      </c>
      <c r="D55" s="6">
        <f>'Rate Class Energy Model'!G13</f>
        <v>0</v>
      </c>
      <c r="E55" s="6">
        <f>'Rate Class Energy Model'!G14</f>
        <v>166270245.74992317</v>
      </c>
      <c r="F55" s="6">
        <f>'Rate Class Energy Model'!G15</f>
        <v>169788483</v>
      </c>
      <c r="G55" s="6">
        <f>'Rate Class Energy Model'!G16</f>
        <v>179968717</v>
      </c>
      <c r="H55" s="6">
        <f>'Rate Class Energy Model'!G17</f>
        <v>175258854.62746203</v>
      </c>
      <c r="I55" s="6">
        <f>'Rate Class Energy Model'!G18</f>
        <v>180475098</v>
      </c>
      <c r="J55" s="6">
        <f>'Rate Class Energy Model'!G19</f>
        <v>173899397.86240616</v>
      </c>
      <c r="K55" s="6">
        <f>'Rate Class Energy Model'!G20</f>
        <v>172882903.57852563</v>
      </c>
      <c r="L55" s="6">
        <f>'Rate Class Energy Model'!G21</f>
        <v>177644371.28773403</v>
      </c>
      <c r="M55" s="6">
        <f>'Rate Class Energy Model'!G22</f>
        <v>183889036.04000002</v>
      </c>
      <c r="N55" s="28">
        <f>'Rate Class Energy Model'!G23</f>
        <v>183371442.02000001</v>
      </c>
      <c r="O55" s="6">
        <f>'Rate Class Energy Model'!N80</f>
        <v>180713812.20642555</v>
      </c>
      <c r="P55" s="548">
        <f>'Rate Class Energy Model'!N81</f>
        <v>187976750.17647019</v>
      </c>
      <c r="V55" s="34"/>
    </row>
    <row r="56" spans="1:25" x14ac:dyDescent="0.2">
      <c r="A56" t="s">
        <v>58</v>
      </c>
      <c r="B56" s="6">
        <f>'Rate Class Load Model'!E3</f>
        <v>0</v>
      </c>
      <c r="C56" s="6">
        <f>'Rate Class Load Model'!E4</f>
        <v>0</v>
      </c>
      <c r="D56" s="6">
        <f>'Rate Class Load Model'!E5</f>
        <v>0</v>
      </c>
      <c r="E56" s="6">
        <f>'Rate Class Load Model'!E6</f>
        <v>180469.27828414517</v>
      </c>
      <c r="F56" s="6">
        <f>'Rate Class Load Model'!E7</f>
        <v>187808.70632311454</v>
      </c>
      <c r="G56" s="6">
        <f>'Rate Class Load Model'!E8</f>
        <v>170089</v>
      </c>
      <c r="H56" s="6">
        <f>'Rate Class Load Model'!E9</f>
        <v>189278</v>
      </c>
      <c r="I56" s="6">
        <f>'Rate Class Load Model'!E10</f>
        <v>191544</v>
      </c>
      <c r="J56" s="6">
        <f>'Rate Class Load Model'!E11</f>
        <v>194781.41415970441</v>
      </c>
      <c r="K56" s="6">
        <f>'Rate Class Load Model'!E12</f>
        <v>195415.59234697139</v>
      </c>
      <c r="L56" s="28">
        <f>'Rate Class Load Model'!E13</f>
        <v>200917.70349332422</v>
      </c>
      <c r="M56" s="28">
        <f>'Rate Class Load Model'!E14</f>
        <v>203911.44999999998</v>
      </c>
      <c r="N56" s="6">
        <f>'Rate Class Load Model'!E15</f>
        <v>205975.31</v>
      </c>
      <c r="O56" s="6">
        <f>'Rate Class Load Model'!E16</f>
        <v>197943.20988602252</v>
      </c>
      <c r="P56" s="548">
        <f>'Rate Class Load Model'!E17</f>
        <v>202685.56180783818</v>
      </c>
      <c r="V56" s="34"/>
    </row>
    <row r="58" spans="1:25" x14ac:dyDescent="0.2">
      <c r="A58" s="45" t="s">
        <v>72</v>
      </c>
      <c r="E58" s="6"/>
      <c r="F58" s="6"/>
      <c r="G58" s="6"/>
      <c r="H58" s="6"/>
      <c r="I58" s="6"/>
      <c r="J58" s="6"/>
      <c r="K58" s="6"/>
      <c r="L58" s="6"/>
      <c r="M58" s="6"/>
      <c r="N58" s="6"/>
      <c r="O58" s="6"/>
      <c r="P58" s="6"/>
    </row>
    <row r="59" spans="1:25" x14ac:dyDescent="0.2">
      <c r="A59" t="s">
        <v>59</v>
      </c>
      <c r="B59" s="6">
        <f>B49-B54</f>
        <v>0</v>
      </c>
      <c r="C59" s="6">
        <f>C49-C54</f>
        <v>0</v>
      </c>
      <c r="D59" s="6">
        <f>D49-D54</f>
        <v>0</v>
      </c>
      <c r="E59" s="6">
        <f>E49-E54</f>
        <v>0</v>
      </c>
      <c r="F59" s="6">
        <f t="shared" ref="F59:O59" si="18">F49-F54</f>
        <v>0</v>
      </c>
      <c r="G59" s="6">
        <f t="shared" si="18"/>
        <v>0</v>
      </c>
      <c r="H59" s="6">
        <f t="shared" si="18"/>
        <v>0</v>
      </c>
      <c r="I59" s="6">
        <f t="shared" si="18"/>
        <v>0</v>
      </c>
      <c r="J59" s="6">
        <f t="shared" si="18"/>
        <v>0</v>
      </c>
      <c r="K59" s="6">
        <f t="shared" si="18"/>
        <v>0</v>
      </c>
      <c r="L59" s="6">
        <f t="shared" si="18"/>
        <v>0</v>
      </c>
      <c r="M59" s="6">
        <f t="shared" si="18"/>
        <v>0</v>
      </c>
      <c r="N59" s="6">
        <f t="shared" si="18"/>
        <v>0</v>
      </c>
      <c r="O59" s="6">
        <f t="shared" si="18"/>
        <v>0</v>
      </c>
      <c r="P59" s="6">
        <f>P49-P54</f>
        <v>0</v>
      </c>
    </row>
    <row r="60" spans="1:25" x14ac:dyDescent="0.2">
      <c r="A60" t="s">
        <v>48</v>
      </c>
      <c r="B60" s="6">
        <f t="shared" ref="B60:D61" si="19">B50-B55</f>
        <v>0</v>
      </c>
      <c r="C60" s="6">
        <f t="shared" si="19"/>
        <v>0</v>
      </c>
      <c r="D60" s="6">
        <f t="shared" si="19"/>
        <v>0</v>
      </c>
      <c r="E60" s="6">
        <f>E50-E55</f>
        <v>0</v>
      </c>
      <c r="F60" s="6">
        <f t="shared" ref="F60:O60" si="20">F50-F55</f>
        <v>0</v>
      </c>
      <c r="G60" s="6">
        <f t="shared" si="20"/>
        <v>0</v>
      </c>
      <c r="H60" s="6">
        <f t="shared" si="20"/>
        <v>0</v>
      </c>
      <c r="I60" s="6">
        <f t="shared" si="20"/>
        <v>0</v>
      </c>
      <c r="J60" s="6">
        <f t="shared" si="20"/>
        <v>0</v>
      </c>
      <c r="K60" s="6">
        <f t="shared" si="20"/>
        <v>0</v>
      </c>
      <c r="L60" s="6">
        <f t="shared" si="20"/>
        <v>0</v>
      </c>
      <c r="M60" s="6">
        <f t="shared" si="20"/>
        <v>0</v>
      </c>
      <c r="N60" s="6">
        <f t="shared" si="20"/>
        <v>0</v>
      </c>
      <c r="O60" s="6">
        <f t="shared" si="20"/>
        <v>0</v>
      </c>
      <c r="P60" s="6">
        <f>P50-P55</f>
        <v>0</v>
      </c>
    </row>
    <row r="61" spans="1:25" x14ac:dyDescent="0.2">
      <c r="A61" t="s">
        <v>58</v>
      </c>
      <c r="B61" s="6">
        <f t="shared" si="19"/>
        <v>0</v>
      </c>
      <c r="C61" s="6">
        <f t="shared" si="19"/>
        <v>0</v>
      </c>
      <c r="D61" s="6">
        <f t="shared" si="19"/>
        <v>0</v>
      </c>
      <c r="E61" s="6">
        <f>E51-E56</f>
        <v>0</v>
      </c>
      <c r="F61" s="6">
        <f t="shared" ref="F61:O61" si="21">F51-F56</f>
        <v>0</v>
      </c>
      <c r="G61" s="6">
        <f t="shared" si="21"/>
        <v>0</v>
      </c>
      <c r="H61" s="6">
        <f t="shared" si="21"/>
        <v>0</v>
      </c>
      <c r="I61" s="6">
        <f t="shared" si="21"/>
        <v>0</v>
      </c>
      <c r="J61" s="6">
        <f t="shared" si="21"/>
        <v>0</v>
      </c>
      <c r="K61" s="6">
        <f t="shared" si="21"/>
        <v>0</v>
      </c>
      <c r="L61" s="6">
        <f t="shared" si="21"/>
        <v>0</v>
      </c>
      <c r="M61" s="6">
        <f t="shared" si="21"/>
        <v>0</v>
      </c>
      <c r="N61" s="6">
        <f t="shared" si="21"/>
        <v>0</v>
      </c>
      <c r="O61" s="6">
        <f t="shared" si="21"/>
        <v>0</v>
      </c>
      <c r="P61" s="6">
        <f>P51-P56</f>
        <v>0</v>
      </c>
    </row>
    <row r="64" spans="1:25" hidden="1" x14ac:dyDescent="0.2">
      <c r="B64" s="161">
        <v>1996</v>
      </c>
      <c r="C64" s="161">
        <v>1997</v>
      </c>
      <c r="D64" s="161">
        <v>1998</v>
      </c>
      <c r="E64" s="161">
        <v>1999</v>
      </c>
      <c r="F64" s="161">
        <v>2000</v>
      </c>
      <c r="G64" s="161">
        <v>2001</v>
      </c>
      <c r="H64" s="161">
        <v>2002</v>
      </c>
      <c r="I64" s="161">
        <v>2003</v>
      </c>
      <c r="J64" s="161">
        <v>2004</v>
      </c>
      <c r="K64" s="161">
        <v>2005</v>
      </c>
      <c r="L64" s="161">
        <v>2006</v>
      </c>
      <c r="M64" s="161">
        <v>2007</v>
      </c>
      <c r="N64" s="161">
        <v>2008</v>
      </c>
      <c r="O64" s="161">
        <v>2009</v>
      </c>
      <c r="P64" s="161">
        <v>2010</v>
      </c>
      <c r="Q64" s="161">
        <v>2011</v>
      </c>
      <c r="R64" s="161">
        <v>2012</v>
      </c>
      <c r="S64" s="1"/>
    </row>
    <row r="65" spans="1:19" hidden="1" x14ac:dyDescent="0.2">
      <c r="A65" t="s">
        <v>327</v>
      </c>
      <c r="B65" s="162">
        <f>'Purchased Power Model '!B282/1000000</f>
        <v>137.13848400000001</v>
      </c>
      <c r="C65" s="162">
        <f>'Purchased Power Model '!B283/1000000</f>
        <v>135.913545</v>
      </c>
      <c r="D65" s="162">
        <f>'Purchased Power Model '!B284/1000000</f>
        <v>143.38159999999999</v>
      </c>
      <c r="E65" s="162">
        <f>'Purchased Power Model '!B285/1000000</f>
        <v>152.311035</v>
      </c>
      <c r="F65" s="162">
        <f>B4/1000000</f>
        <v>156.667497</v>
      </c>
      <c r="G65" s="162">
        <f t="shared" ref="G65:O66" si="22">C4/1000000</f>
        <v>165.93154899999999</v>
      </c>
      <c r="H65" s="162">
        <f t="shared" si="22"/>
        <v>176.9201329</v>
      </c>
      <c r="I65" s="162">
        <f t="shared" si="22"/>
        <v>174.47758899999999</v>
      </c>
      <c r="J65" s="162">
        <f t="shared" si="22"/>
        <v>178.15240499999999</v>
      </c>
      <c r="K65" s="162">
        <f t="shared" si="22"/>
        <v>188.56991400000001</v>
      </c>
      <c r="L65" s="162">
        <f t="shared" si="22"/>
        <v>182.453427</v>
      </c>
      <c r="M65" s="162">
        <f t="shared" si="22"/>
        <v>188.50658999999999</v>
      </c>
      <c r="N65" s="162">
        <f t="shared" si="22"/>
        <v>182.81323499999999</v>
      </c>
      <c r="O65" s="162">
        <f t="shared" si="22"/>
        <v>178.33538082587691</v>
      </c>
      <c r="P65" s="162">
        <f t="shared" ref="P65:R66" si="23">L4/1000000</f>
        <v>186.32113465720977</v>
      </c>
      <c r="Q65" s="162">
        <f t="shared" si="23"/>
        <v>188.63635199999999</v>
      </c>
      <c r="R65" s="162">
        <f t="shared" si="23"/>
        <v>189.16867089000002</v>
      </c>
      <c r="S65" s="1"/>
    </row>
    <row r="66" spans="1:19" hidden="1" x14ac:dyDescent="0.2">
      <c r="A66" t="s">
        <v>328</v>
      </c>
      <c r="B66" s="162">
        <f>'Purchased Power Model '!T282/1000000</f>
        <v>134.8263200249749</v>
      </c>
      <c r="C66" s="162">
        <f>'Purchased Power Model '!T283/1000000</f>
        <v>135.95626824449832</v>
      </c>
      <c r="D66" s="162">
        <f>'Purchased Power Model '!T284/1000000</f>
        <v>144.64440565926134</v>
      </c>
      <c r="E66" s="162">
        <f>'Purchased Power Model '!T285/1000000</f>
        <v>154.23621317190472</v>
      </c>
      <c r="F66" s="162">
        <f>B5/1000000</f>
        <v>159.70988052387</v>
      </c>
      <c r="G66" s="162">
        <f t="shared" si="22"/>
        <v>165.8468657693787</v>
      </c>
      <c r="H66" s="162">
        <f t="shared" si="22"/>
        <v>175.20744621584723</v>
      </c>
      <c r="I66" s="162">
        <f t="shared" si="22"/>
        <v>174.07404190562161</v>
      </c>
      <c r="J66" s="162">
        <f t="shared" si="22"/>
        <v>174.83746218309716</v>
      </c>
      <c r="K66" s="162">
        <f t="shared" si="22"/>
        <v>188.38338354167726</v>
      </c>
      <c r="L66" s="162">
        <f t="shared" si="22"/>
        <v>183.44750163019586</v>
      </c>
      <c r="M66" s="162">
        <f t="shared" si="22"/>
        <v>189.2755548282997</v>
      </c>
      <c r="N66" s="162">
        <f t="shared" si="22"/>
        <v>185.57063532064035</v>
      </c>
      <c r="O66" s="162">
        <f t="shared" si="22"/>
        <v>178.43518031848433</v>
      </c>
      <c r="P66" s="162">
        <f t="shared" si="23"/>
        <v>184.46980187037647</v>
      </c>
      <c r="Q66" s="162">
        <f t="shared" si="23"/>
        <v>186.68629530929994</v>
      </c>
      <c r="R66" s="162">
        <f t="shared" si="23"/>
        <v>190.09128475565851</v>
      </c>
      <c r="S66" s="1"/>
    </row>
    <row r="67" spans="1:19" x14ac:dyDescent="0.2">
      <c r="B67" s="161">
        <v>1996</v>
      </c>
      <c r="C67" s="161">
        <v>1997</v>
      </c>
      <c r="D67" s="161">
        <v>1998</v>
      </c>
      <c r="E67" s="161">
        <v>1999</v>
      </c>
      <c r="F67" s="161">
        <v>2000</v>
      </c>
      <c r="G67" s="161">
        <v>2001</v>
      </c>
      <c r="H67" s="161">
        <v>2002</v>
      </c>
      <c r="I67" s="161">
        <v>2003</v>
      </c>
      <c r="J67" s="161">
        <v>2004</v>
      </c>
      <c r="K67" s="161">
        <v>2005</v>
      </c>
      <c r="L67" s="161">
        <v>2006</v>
      </c>
      <c r="M67" s="161">
        <v>2007</v>
      </c>
      <c r="N67" s="161">
        <v>2008</v>
      </c>
      <c r="O67" s="161">
        <v>2009</v>
      </c>
      <c r="P67" s="161">
        <v>2010</v>
      </c>
      <c r="Q67" s="161">
        <v>2011</v>
      </c>
      <c r="R67" s="161">
        <v>2012</v>
      </c>
    </row>
    <row r="68" spans="1:19" x14ac:dyDescent="0.2">
      <c r="A68" t="s">
        <v>329</v>
      </c>
      <c r="B68" s="423">
        <f>B65*1000000</f>
        <v>137138484</v>
      </c>
      <c r="C68" s="423">
        <f t="shared" ref="C68:Q68" si="24">C65*1000000</f>
        <v>135913545</v>
      </c>
      <c r="D68" s="423">
        <f t="shared" si="24"/>
        <v>143381600</v>
      </c>
      <c r="E68" s="423">
        <f t="shared" si="24"/>
        <v>152311035</v>
      </c>
      <c r="F68" s="423">
        <f t="shared" si="24"/>
        <v>156667497</v>
      </c>
      <c r="G68" s="423">
        <f t="shared" si="24"/>
        <v>165931549</v>
      </c>
      <c r="H68" s="423">
        <f t="shared" si="24"/>
        <v>176920132.90000001</v>
      </c>
      <c r="I68" s="423">
        <f t="shared" si="24"/>
        <v>174477589</v>
      </c>
      <c r="J68" s="423">
        <f t="shared" si="24"/>
        <v>178152405</v>
      </c>
      <c r="K68" s="423">
        <f t="shared" si="24"/>
        <v>188569914</v>
      </c>
      <c r="L68" s="423">
        <f t="shared" si="24"/>
        <v>182453427</v>
      </c>
      <c r="M68" s="423">
        <f t="shared" si="24"/>
        <v>188506590</v>
      </c>
      <c r="N68" s="423">
        <f t="shared" si="24"/>
        <v>182813235</v>
      </c>
      <c r="O68" s="423">
        <f t="shared" si="24"/>
        <v>178335380.82587692</v>
      </c>
      <c r="P68" s="423">
        <f t="shared" si="24"/>
        <v>186321134.65720975</v>
      </c>
      <c r="Q68" s="423">
        <f t="shared" si="24"/>
        <v>188636352</v>
      </c>
      <c r="R68" s="423">
        <f t="shared" ref="R68" si="25">R65*1000000</f>
        <v>189168670.89000002</v>
      </c>
    </row>
    <row r="69" spans="1:19" x14ac:dyDescent="0.2">
      <c r="A69" t="s">
        <v>330</v>
      </c>
      <c r="B69" s="423">
        <f t="shared" ref="B69:Q69" si="26">B66*1000000</f>
        <v>134826320.02497491</v>
      </c>
      <c r="C69" s="423">
        <f t="shared" si="26"/>
        <v>135956268.24449831</v>
      </c>
      <c r="D69" s="423">
        <f t="shared" si="26"/>
        <v>144644405.65926135</v>
      </c>
      <c r="E69" s="423">
        <f t="shared" si="26"/>
        <v>154236213.17190471</v>
      </c>
      <c r="F69" s="423">
        <f t="shared" si="26"/>
        <v>159709880.52386999</v>
      </c>
      <c r="G69" s="423">
        <f t="shared" si="26"/>
        <v>165846865.76937869</v>
      </c>
      <c r="H69" s="423">
        <f t="shared" si="26"/>
        <v>175207446.21584722</v>
      </c>
      <c r="I69" s="423">
        <f t="shared" si="26"/>
        <v>174074041.90562162</v>
      </c>
      <c r="J69" s="423">
        <f t="shared" si="26"/>
        <v>174837462.18309715</v>
      </c>
      <c r="K69" s="423">
        <f t="shared" si="26"/>
        <v>188383383.54167727</v>
      </c>
      <c r="L69" s="423">
        <f t="shared" si="26"/>
        <v>183447501.63019586</v>
      </c>
      <c r="M69" s="423">
        <f t="shared" si="26"/>
        <v>189275554.8282997</v>
      </c>
      <c r="N69" s="423">
        <f t="shared" si="26"/>
        <v>185570635.32064036</v>
      </c>
      <c r="O69" s="423">
        <f t="shared" si="26"/>
        <v>178435180.31848434</v>
      </c>
      <c r="P69" s="423">
        <f t="shared" si="26"/>
        <v>184469801.87037647</v>
      </c>
      <c r="Q69" s="423">
        <f t="shared" si="26"/>
        <v>186686295.30929995</v>
      </c>
      <c r="R69" s="423">
        <f t="shared" ref="R69" si="27">R66*1000000</f>
        <v>190091284.75565851</v>
      </c>
    </row>
    <row r="70" spans="1:19" x14ac:dyDescent="0.2">
      <c r="B70"/>
    </row>
  </sheetData>
  <phoneticPr fontId="0" type="noConversion"/>
  <printOptions headings="1" gridLines="1"/>
  <pageMargins left="0.38" right="0.75" top="0.73" bottom="0.74" header="0.5" footer="0.5"/>
  <pageSetup scale="3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X29"/>
  <sheetViews>
    <sheetView workbookViewId="0">
      <selection activeCell="E28" sqref="E28"/>
    </sheetView>
  </sheetViews>
  <sheetFormatPr defaultRowHeight="12.75" x14ac:dyDescent="0.2"/>
  <cols>
    <col min="2" max="2" width="12.85546875" bestFit="1" customWidth="1"/>
    <col min="3" max="4" width="10.7109375" bestFit="1" customWidth="1"/>
    <col min="5" max="5" width="11.140625" bestFit="1" customWidth="1"/>
    <col min="6" max="7" width="10.7109375" style="212" bestFit="1" customWidth="1"/>
    <col min="8" max="19" width="10.7109375" bestFit="1" customWidth="1"/>
    <col min="20" max="20" width="11.140625" bestFit="1" customWidth="1"/>
    <col min="21" max="21" width="12.5703125" bestFit="1" customWidth="1"/>
    <col min="22" max="22" width="10.7109375" bestFit="1"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4" x14ac:dyDescent="0.2">
      <c r="A1" s="20" t="s">
        <v>190</v>
      </c>
    </row>
    <row r="2" spans="1:24" x14ac:dyDescent="0.2">
      <c r="B2" s="213"/>
    </row>
    <row r="3" spans="1:24" x14ac:dyDescent="0.2">
      <c r="A3" s="213" t="s">
        <v>191</v>
      </c>
      <c r="B3" s="214"/>
      <c r="C3" s="214"/>
      <c r="D3" s="214"/>
      <c r="E3" s="214"/>
      <c r="F3" s="215"/>
      <c r="G3" s="215"/>
    </row>
    <row r="4" spans="1:24" x14ac:dyDescent="0.2">
      <c r="A4" s="216" t="s">
        <v>192</v>
      </c>
      <c r="B4" s="216">
        <v>1992</v>
      </c>
      <c r="C4" s="216">
        <v>1993</v>
      </c>
      <c r="D4" s="216">
        <v>1994</v>
      </c>
      <c r="E4" s="216">
        <v>1995</v>
      </c>
      <c r="F4" s="216">
        <v>1996</v>
      </c>
      <c r="G4" s="216">
        <v>1997</v>
      </c>
      <c r="H4" s="216">
        <v>1998</v>
      </c>
      <c r="I4" s="216">
        <v>1999</v>
      </c>
      <c r="J4" s="216">
        <v>2000</v>
      </c>
      <c r="K4" s="216">
        <v>2001</v>
      </c>
      <c r="L4" s="216">
        <v>2002</v>
      </c>
      <c r="M4" s="216">
        <v>2003</v>
      </c>
      <c r="N4" s="216">
        <v>2004</v>
      </c>
      <c r="O4" s="216">
        <v>2005</v>
      </c>
      <c r="P4" s="216">
        <v>2006</v>
      </c>
      <c r="Q4" s="216">
        <v>2007</v>
      </c>
      <c r="R4" s="216">
        <v>2008</v>
      </c>
      <c r="S4" s="216">
        <v>2009</v>
      </c>
      <c r="T4" s="216">
        <v>2010</v>
      </c>
      <c r="U4" s="216">
        <v>2011</v>
      </c>
      <c r="V4" s="216">
        <v>2012</v>
      </c>
      <c r="W4" s="216">
        <v>2013</v>
      </c>
      <c r="X4" s="216">
        <v>2014</v>
      </c>
    </row>
    <row r="5" spans="1:24" x14ac:dyDescent="0.2">
      <c r="A5" s="214"/>
      <c r="B5" s="214"/>
      <c r="C5" s="214"/>
      <c r="D5" s="214"/>
      <c r="E5" s="214"/>
      <c r="F5" s="217"/>
      <c r="G5" s="217"/>
    </row>
    <row r="6" spans="1:24" x14ac:dyDescent="0.2">
      <c r="A6" s="218"/>
      <c r="B6" s="218"/>
      <c r="C6" s="218"/>
      <c r="D6" s="218"/>
      <c r="E6" s="218"/>
      <c r="F6" s="217"/>
      <c r="G6" s="217"/>
      <c r="H6" s="217"/>
      <c r="I6" s="217"/>
    </row>
    <row r="7" spans="1:24" x14ac:dyDescent="0.2">
      <c r="A7" s="218" t="s">
        <v>193</v>
      </c>
      <c r="B7" s="219">
        <v>12404630</v>
      </c>
      <c r="C7" s="219">
        <v>11893018</v>
      </c>
      <c r="D7" s="219">
        <v>12464719</v>
      </c>
      <c r="E7" s="219">
        <v>11880494</v>
      </c>
      <c r="F7" s="219">
        <v>12502629</v>
      </c>
      <c r="G7" s="219">
        <v>12523563</v>
      </c>
      <c r="H7" s="219">
        <v>12025224</v>
      </c>
      <c r="I7" s="219">
        <v>13208170</v>
      </c>
      <c r="J7" s="219">
        <v>13530386</v>
      </c>
      <c r="K7" s="219">
        <v>13755848</v>
      </c>
      <c r="L7" s="219">
        <v>14148180</v>
      </c>
      <c r="M7" s="219">
        <v>15605142</v>
      </c>
      <c r="N7" s="219">
        <v>16050658</v>
      </c>
      <c r="O7" s="219">
        <v>16331485</v>
      </c>
      <c r="P7" s="219">
        <v>15068183</v>
      </c>
      <c r="Q7" s="219">
        <v>15851415</v>
      </c>
      <c r="R7" s="219">
        <v>15813114</v>
      </c>
      <c r="S7" s="219">
        <v>16554529.999999998</v>
      </c>
      <c r="T7" s="219">
        <v>16055865.643200001</v>
      </c>
      <c r="U7" s="219">
        <v>16212390</v>
      </c>
      <c r="V7" s="219">
        <v>15683383.130000001</v>
      </c>
    </row>
    <row r="8" spans="1:24" x14ac:dyDescent="0.2">
      <c r="A8" s="218" t="s">
        <v>194</v>
      </c>
      <c r="B8" s="219">
        <v>10898592</v>
      </c>
      <c r="C8" s="219">
        <v>10954358</v>
      </c>
      <c r="D8" s="219">
        <v>10399869</v>
      </c>
      <c r="E8" s="219">
        <v>11221439</v>
      </c>
      <c r="F8" s="219">
        <v>11504822</v>
      </c>
      <c r="G8" s="219">
        <v>10534404</v>
      </c>
      <c r="H8" s="219">
        <v>10422047</v>
      </c>
      <c r="I8" s="219">
        <v>11030833</v>
      </c>
      <c r="J8" s="219">
        <v>12128756</v>
      </c>
      <c r="K8" s="219">
        <v>12202985</v>
      </c>
      <c r="L8" s="219">
        <v>12641587</v>
      </c>
      <c r="M8" s="219">
        <v>13777511</v>
      </c>
      <c r="N8" s="219">
        <v>14148177</v>
      </c>
      <c r="O8" s="219">
        <v>13966621</v>
      </c>
      <c r="P8" s="219">
        <v>13944271</v>
      </c>
      <c r="Q8" s="219">
        <v>15178391</v>
      </c>
      <c r="R8" s="219">
        <v>15009236</v>
      </c>
      <c r="S8" s="219">
        <v>13951250</v>
      </c>
      <c r="T8" s="219">
        <v>14086273.1338</v>
      </c>
      <c r="U8" s="219">
        <v>14504214</v>
      </c>
      <c r="V8" s="219">
        <v>14321958.209999999</v>
      </c>
    </row>
    <row r="9" spans="1:24" x14ac:dyDescent="0.2">
      <c r="A9" s="218" t="s">
        <v>195</v>
      </c>
      <c r="B9" s="219">
        <v>11298721</v>
      </c>
      <c r="C9" s="219">
        <v>11326647</v>
      </c>
      <c r="D9" s="219">
        <v>10109508</v>
      </c>
      <c r="E9" s="219">
        <v>10466825</v>
      </c>
      <c r="F9" s="219">
        <v>11558341</v>
      </c>
      <c r="G9" s="219">
        <v>11157735</v>
      </c>
      <c r="H9" s="219">
        <v>11207633</v>
      </c>
      <c r="I9" s="219">
        <v>11836338</v>
      </c>
      <c r="J9" s="219">
        <v>11769707</v>
      </c>
      <c r="K9" s="219">
        <v>13113484</v>
      </c>
      <c r="L9" s="219">
        <v>13657015</v>
      </c>
      <c r="M9" s="219">
        <v>13886125</v>
      </c>
      <c r="N9" s="219">
        <v>14273134</v>
      </c>
      <c r="O9" s="219">
        <v>14896809</v>
      </c>
      <c r="P9" s="219">
        <v>14286598</v>
      </c>
      <c r="Q9" s="219">
        <v>15217726</v>
      </c>
      <c r="R9" s="219">
        <v>15088622</v>
      </c>
      <c r="S9" s="219">
        <v>14481570</v>
      </c>
      <c r="T9" s="219">
        <v>14104948</v>
      </c>
      <c r="U9" s="219">
        <v>15011830</v>
      </c>
      <c r="V9" s="219">
        <v>14031795.34</v>
      </c>
    </row>
    <row r="10" spans="1:24" x14ac:dyDescent="0.2">
      <c r="A10" s="218" t="s">
        <v>196</v>
      </c>
      <c r="B10" s="219">
        <v>9821830</v>
      </c>
      <c r="C10" s="219">
        <v>9404358</v>
      </c>
      <c r="D10" s="219">
        <v>8711926</v>
      </c>
      <c r="E10" s="219">
        <v>9791904</v>
      </c>
      <c r="F10" s="219">
        <v>10081641</v>
      </c>
      <c r="G10" s="219">
        <v>9796251</v>
      </c>
      <c r="H10" s="219">
        <v>9741038</v>
      </c>
      <c r="I10" s="219">
        <v>10336685</v>
      </c>
      <c r="J10" s="219">
        <v>11213639</v>
      </c>
      <c r="K10" s="219">
        <v>11332498</v>
      </c>
      <c r="L10" s="219">
        <v>12616129</v>
      </c>
      <c r="M10" s="219">
        <v>12732906</v>
      </c>
      <c r="N10" s="219">
        <v>12863305</v>
      </c>
      <c r="O10" s="219">
        <v>12976713</v>
      </c>
      <c r="P10" s="219">
        <v>12746759</v>
      </c>
      <c r="Q10" s="219">
        <v>13669243</v>
      </c>
      <c r="R10" s="219">
        <v>13174997</v>
      </c>
      <c r="S10" s="219">
        <v>13161080</v>
      </c>
      <c r="T10" s="219">
        <v>12825361.5152</v>
      </c>
      <c r="U10" s="219">
        <v>13577688</v>
      </c>
      <c r="V10" s="219">
        <v>13273337.119999999</v>
      </c>
    </row>
    <row r="11" spans="1:24" x14ac:dyDescent="0.2">
      <c r="A11" s="218" t="s">
        <v>86</v>
      </c>
      <c r="B11" s="219">
        <v>9291272</v>
      </c>
      <c r="C11" s="219">
        <v>8816912</v>
      </c>
      <c r="D11" s="219">
        <v>8774172</v>
      </c>
      <c r="E11" s="219">
        <v>9318234</v>
      </c>
      <c r="F11" s="219">
        <v>9844919</v>
      </c>
      <c r="G11" s="219">
        <v>9682362</v>
      </c>
      <c r="H11" s="219">
        <v>10680353</v>
      </c>
      <c r="I11" s="219">
        <v>10811899</v>
      </c>
      <c r="J11" s="219">
        <v>11458319</v>
      </c>
      <c r="K11" s="219">
        <v>11763961</v>
      </c>
      <c r="L11" s="219">
        <v>12946863</v>
      </c>
      <c r="M11" s="219">
        <v>12550053</v>
      </c>
      <c r="N11" s="219">
        <v>13398133</v>
      </c>
      <c r="O11" s="219">
        <v>13102698</v>
      </c>
      <c r="P11" s="219">
        <v>13662946</v>
      </c>
      <c r="Q11" s="219">
        <v>13835998</v>
      </c>
      <c r="R11" s="219">
        <v>13308996</v>
      </c>
      <c r="S11" s="219">
        <v>13263096.673492307</v>
      </c>
      <c r="T11" s="219">
        <v>14493142.5678</v>
      </c>
      <c r="U11" s="219">
        <v>13979286</v>
      </c>
      <c r="V11" s="219">
        <v>14803180.68</v>
      </c>
    </row>
    <row r="12" spans="1:24" x14ac:dyDescent="0.2">
      <c r="A12" s="218" t="s">
        <v>197</v>
      </c>
      <c r="B12" s="219">
        <v>9572081</v>
      </c>
      <c r="C12" s="219">
        <v>9383725</v>
      </c>
      <c r="D12" s="219">
        <v>9767981</v>
      </c>
      <c r="E12" s="219">
        <v>10890647</v>
      </c>
      <c r="F12" s="219">
        <v>10453919</v>
      </c>
      <c r="G12" s="219">
        <v>11112777</v>
      </c>
      <c r="H12" s="219">
        <v>12119728</v>
      </c>
      <c r="I12" s="219">
        <v>13309510</v>
      </c>
      <c r="J12" s="219">
        <v>12646169</v>
      </c>
      <c r="K12" s="219">
        <v>14136292</v>
      </c>
      <c r="L12" s="219">
        <v>14674061</v>
      </c>
      <c r="M12" s="219">
        <v>13748210</v>
      </c>
      <c r="N12" s="219">
        <v>14135802</v>
      </c>
      <c r="O12" s="219">
        <v>17368816</v>
      </c>
      <c r="P12" s="219">
        <v>15421790</v>
      </c>
      <c r="Q12" s="219">
        <v>16594307</v>
      </c>
      <c r="R12" s="219">
        <v>15749084</v>
      </c>
      <c r="S12" s="219">
        <v>14180624.276246155</v>
      </c>
      <c r="T12" s="219">
        <v>15819649.446600001</v>
      </c>
      <c r="U12" s="219">
        <v>15645311</v>
      </c>
      <c r="V12" s="219">
        <v>17013300.510000002</v>
      </c>
    </row>
    <row r="13" spans="1:24" x14ac:dyDescent="0.2">
      <c r="A13" s="218" t="s">
        <v>198</v>
      </c>
      <c r="B13" s="219">
        <v>10768624</v>
      </c>
      <c r="C13" s="219">
        <v>11854822</v>
      </c>
      <c r="D13" s="219">
        <v>11398453</v>
      </c>
      <c r="E13" s="219">
        <v>13138999</v>
      </c>
      <c r="F13" s="219">
        <v>11888649</v>
      </c>
      <c r="G13" s="219">
        <v>12761684</v>
      </c>
      <c r="H13" s="219">
        <v>14386013</v>
      </c>
      <c r="I13" s="219">
        <v>16692168</v>
      </c>
      <c r="J13" s="219">
        <v>14174031</v>
      </c>
      <c r="K13" s="219">
        <v>16055092</v>
      </c>
      <c r="L13" s="219">
        <v>18274752</v>
      </c>
      <c r="M13" s="219">
        <v>16691749</v>
      </c>
      <c r="N13" s="219">
        <v>16671355</v>
      </c>
      <c r="O13" s="219">
        <v>19805768</v>
      </c>
      <c r="P13" s="219">
        <v>19240751</v>
      </c>
      <c r="Q13" s="219">
        <v>17565527</v>
      </c>
      <c r="R13" s="219">
        <v>18099965</v>
      </c>
      <c r="S13" s="219">
        <v>16044762.08466154</v>
      </c>
      <c r="T13" s="219">
        <v>20353876.040199999</v>
      </c>
      <c r="U13" s="219">
        <v>21281346</v>
      </c>
      <c r="V13" s="219">
        <v>21387559.02</v>
      </c>
    </row>
    <row r="14" spans="1:24" x14ac:dyDescent="0.2">
      <c r="A14" s="218" t="s">
        <v>199</v>
      </c>
      <c r="B14" s="219">
        <v>11743907</v>
      </c>
      <c r="C14" s="219">
        <v>12398437</v>
      </c>
      <c r="D14" s="219">
        <v>11883970</v>
      </c>
      <c r="E14" s="219">
        <v>14373881</v>
      </c>
      <c r="F14" s="219">
        <v>13630712</v>
      </c>
      <c r="G14" s="219">
        <v>12911556</v>
      </c>
      <c r="H14" s="219">
        <v>15439866</v>
      </c>
      <c r="I14" s="219">
        <v>14865568</v>
      </c>
      <c r="J14" s="219">
        <v>16101013</v>
      </c>
      <c r="K14" s="219">
        <v>18933691</v>
      </c>
      <c r="L14" s="219">
        <v>19081340.899999999</v>
      </c>
      <c r="M14" s="219">
        <v>18092812</v>
      </c>
      <c r="N14" s="219">
        <v>17143727</v>
      </c>
      <c r="O14" s="219">
        <v>19394910</v>
      </c>
      <c r="P14" s="219">
        <v>18721230</v>
      </c>
      <c r="Q14" s="219">
        <v>19544883</v>
      </c>
      <c r="R14" s="219">
        <v>17237511</v>
      </c>
      <c r="S14" s="219">
        <v>18366242.474953849</v>
      </c>
      <c r="T14" s="219">
        <v>19599345.653399996</v>
      </c>
      <c r="U14" s="219">
        <v>19350665</v>
      </c>
      <c r="V14" s="219">
        <v>19560921.699999999</v>
      </c>
    </row>
    <row r="15" spans="1:24" x14ac:dyDescent="0.2">
      <c r="A15" s="218" t="s">
        <v>200</v>
      </c>
      <c r="B15" s="219">
        <v>11259538</v>
      </c>
      <c r="C15" s="219">
        <v>10077845</v>
      </c>
      <c r="D15" s="219">
        <v>10661009</v>
      </c>
      <c r="E15" s="219">
        <v>10873136</v>
      </c>
      <c r="F15" s="219">
        <v>11568448</v>
      </c>
      <c r="G15" s="219">
        <v>11166200</v>
      </c>
      <c r="H15" s="219">
        <v>12625438</v>
      </c>
      <c r="I15" s="219">
        <v>13426087</v>
      </c>
      <c r="J15" s="219">
        <v>13854501</v>
      </c>
      <c r="K15" s="219">
        <v>14596638</v>
      </c>
      <c r="L15" s="219">
        <v>16407410</v>
      </c>
      <c r="M15" s="219">
        <v>14888714</v>
      </c>
      <c r="N15" s="219">
        <v>15916123</v>
      </c>
      <c r="O15" s="219">
        <v>16134163</v>
      </c>
      <c r="P15" s="219">
        <v>14886931</v>
      </c>
      <c r="Q15" s="219">
        <v>16060666</v>
      </c>
      <c r="R15" s="219">
        <v>15286365</v>
      </c>
      <c r="S15" s="219">
        <v>14930878.169138461</v>
      </c>
      <c r="T15" s="219">
        <v>14931787.017599998</v>
      </c>
      <c r="U15" s="219">
        <v>15682160</v>
      </c>
      <c r="V15" s="219">
        <v>15379116.300000001</v>
      </c>
    </row>
    <row r="16" spans="1:24" x14ac:dyDescent="0.2">
      <c r="A16" s="218" t="s">
        <v>201</v>
      </c>
      <c r="B16" s="219">
        <v>10840516</v>
      </c>
      <c r="C16" s="219">
        <v>9690527</v>
      </c>
      <c r="D16" s="219">
        <v>10064356</v>
      </c>
      <c r="E16" s="219">
        <v>10399847</v>
      </c>
      <c r="F16" s="219">
        <v>10739347</v>
      </c>
      <c r="G16" s="219">
        <v>10878920</v>
      </c>
      <c r="H16" s="219">
        <v>11287268</v>
      </c>
      <c r="I16" s="219">
        <v>11599574</v>
      </c>
      <c r="J16" s="219">
        <v>12543952</v>
      </c>
      <c r="K16" s="219">
        <v>13331992</v>
      </c>
      <c r="L16" s="219">
        <v>13790066</v>
      </c>
      <c r="M16" s="219">
        <v>13889177</v>
      </c>
      <c r="N16" s="219">
        <v>13910480</v>
      </c>
      <c r="O16" s="219">
        <v>14385984</v>
      </c>
      <c r="P16" s="219">
        <v>14675076</v>
      </c>
      <c r="Q16" s="219">
        <v>14549269</v>
      </c>
      <c r="R16" s="219">
        <v>13898432</v>
      </c>
      <c r="S16" s="219">
        <v>13943626.872169232</v>
      </c>
      <c r="T16" s="219">
        <v>13752321.7016</v>
      </c>
      <c r="U16" s="219">
        <v>14357374</v>
      </c>
      <c r="V16" s="219">
        <v>14092698.800000001</v>
      </c>
    </row>
    <row r="17" spans="1:24" x14ac:dyDescent="0.2">
      <c r="A17" s="218" t="s">
        <v>202</v>
      </c>
      <c r="B17" s="219">
        <v>11084819</v>
      </c>
      <c r="C17" s="219">
        <v>10036675</v>
      </c>
      <c r="D17" s="219">
        <v>10600882</v>
      </c>
      <c r="E17" s="219">
        <v>11016174</v>
      </c>
      <c r="F17" s="219">
        <v>11382512</v>
      </c>
      <c r="G17" s="219">
        <v>11283929</v>
      </c>
      <c r="H17" s="219">
        <v>11223313</v>
      </c>
      <c r="I17" s="219">
        <v>11841006</v>
      </c>
      <c r="J17" s="219">
        <v>12658677</v>
      </c>
      <c r="K17" s="219">
        <v>12715774</v>
      </c>
      <c r="L17" s="219">
        <v>13598163</v>
      </c>
      <c r="M17" s="219">
        <v>13623711</v>
      </c>
      <c r="N17" s="219">
        <v>13805540</v>
      </c>
      <c r="O17" s="219">
        <v>14028139</v>
      </c>
      <c r="P17" s="219">
        <v>14306931</v>
      </c>
      <c r="Q17" s="219">
        <v>14298213</v>
      </c>
      <c r="R17" s="219">
        <v>14105773</v>
      </c>
      <c r="S17" s="219">
        <v>13528583.634523079</v>
      </c>
      <c r="T17" s="219">
        <v>13896879.130009763</v>
      </c>
      <c r="U17" s="219">
        <v>13709644</v>
      </c>
      <c r="V17" s="219">
        <v>14233680.619999999</v>
      </c>
    </row>
    <row r="18" spans="1:24" x14ac:dyDescent="0.2">
      <c r="A18" s="218" t="s">
        <v>203</v>
      </c>
      <c r="B18" s="219">
        <v>12003053</v>
      </c>
      <c r="C18" s="219">
        <v>11205261</v>
      </c>
      <c r="D18" s="219">
        <v>11779137</v>
      </c>
      <c r="E18" s="219">
        <v>12624848</v>
      </c>
      <c r="F18" s="219">
        <v>11982545</v>
      </c>
      <c r="G18" s="219">
        <v>12104164</v>
      </c>
      <c r="H18" s="219">
        <v>12223679</v>
      </c>
      <c r="I18" s="219">
        <v>13353197</v>
      </c>
      <c r="J18" s="219">
        <v>14588347</v>
      </c>
      <c r="K18" s="219">
        <v>13993294</v>
      </c>
      <c r="L18" s="219">
        <v>15084566</v>
      </c>
      <c r="M18" s="219">
        <v>14991479</v>
      </c>
      <c r="N18" s="219">
        <v>15835971</v>
      </c>
      <c r="O18" s="219">
        <v>16177808</v>
      </c>
      <c r="P18" s="219">
        <v>15491961</v>
      </c>
      <c r="Q18" s="219">
        <v>16140952</v>
      </c>
      <c r="R18" s="219">
        <v>16041140</v>
      </c>
      <c r="S18" s="219">
        <v>15929136.64069231</v>
      </c>
      <c r="T18" s="219">
        <v>16401684.807799999</v>
      </c>
      <c r="U18" s="219">
        <v>15324444</v>
      </c>
      <c r="V18" s="219">
        <v>15387739.460000001</v>
      </c>
    </row>
    <row r="19" spans="1:24" x14ac:dyDescent="0.2">
      <c r="A19" s="218"/>
      <c r="B19" s="218"/>
      <c r="C19" s="218"/>
      <c r="D19" s="218"/>
      <c r="E19" s="218"/>
      <c r="F19" s="218"/>
      <c r="G19" s="218"/>
      <c r="H19" s="218"/>
      <c r="I19" s="218"/>
      <c r="J19" s="218"/>
      <c r="K19" s="218"/>
      <c r="L19" s="218"/>
      <c r="M19" s="218"/>
      <c r="N19" s="218"/>
      <c r="O19" s="218"/>
      <c r="P19" s="218"/>
      <c r="Q19" s="218"/>
      <c r="R19" s="218"/>
      <c r="S19" s="218"/>
      <c r="T19" s="218"/>
      <c r="U19" s="218"/>
      <c r="V19" s="218"/>
    </row>
    <row r="20" spans="1:24" ht="13.5" thickBot="1" x14ac:dyDescent="0.25">
      <c r="A20" s="218" t="s">
        <v>9</v>
      </c>
      <c r="B20" s="220">
        <f t="shared" ref="B20:X20" si="0">SUM(B7:B19)</f>
        <v>130987583</v>
      </c>
      <c r="C20" s="220">
        <f t="shared" si="0"/>
        <v>127042585</v>
      </c>
      <c r="D20" s="220">
        <f t="shared" si="0"/>
        <v>126615982</v>
      </c>
      <c r="E20" s="220">
        <f t="shared" si="0"/>
        <v>135996428</v>
      </c>
      <c r="F20" s="220">
        <f t="shared" si="0"/>
        <v>137138484</v>
      </c>
      <c r="G20" s="220">
        <f t="shared" si="0"/>
        <v>135913545</v>
      </c>
      <c r="H20" s="220">
        <f t="shared" si="0"/>
        <v>143381600</v>
      </c>
      <c r="I20" s="220">
        <f t="shared" si="0"/>
        <v>152311035</v>
      </c>
      <c r="J20" s="220">
        <f t="shared" si="0"/>
        <v>156667497</v>
      </c>
      <c r="K20" s="220">
        <f t="shared" si="0"/>
        <v>165931549</v>
      </c>
      <c r="L20" s="220">
        <f t="shared" si="0"/>
        <v>176920132.90000001</v>
      </c>
      <c r="M20" s="220">
        <f t="shared" si="0"/>
        <v>174477589</v>
      </c>
      <c r="N20" s="220">
        <f t="shared" si="0"/>
        <v>178152405</v>
      </c>
      <c r="O20" s="220">
        <f t="shared" si="0"/>
        <v>188569914</v>
      </c>
      <c r="P20" s="220">
        <f t="shared" si="0"/>
        <v>182453427</v>
      </c>
      <c r="Q20" s="220">
        <f t="shared" si="0"/>
        <v>188506590</v>
      </c>
      <c r="R20" s="220">
        <f t="shared" si="0"/>
        <v>182813235</v>
      </c>
      <c r="S20" s="220">
        <f t="shared" si="0"/>
        <v>178335380.82587692</v>
      </c>
      <c r="T20" s="220">
        <f t="shared" si="0"/>
        <v>186321134.65720975</v>
      </c>
      <c r="U20" s="220">
        <f t="shared" si="0"/>
        <v>188636352</v>
      </c>
      <c r="V20" s="220">
        <f t="shared" si="0"/>
        <v>189168670.89000002</v>
      </c>
      <c r="W20" s="220">
        <f t="shared" si="0"/>
        <v>0</v>
      </c>
      <c r="X20" s="220">
        <f t="shared" si="0"/>
        <v>0</v>
      </c>
    </row>
    <row r="21" spans="1:24" ht="15.75" thickTop="1" x14ac:dyDescent="0.25">
      <c r="A21" s="221" t="s">
        <v>204</v>
      </c>
      <c r="B21" s="222">
        <f>B20-[14]LOADDATA!$AE$24</f>
        <v>0</v>
      </c>
      <c r="C21" s="222">
        <f>C20-[14]LOADDATA!$AE$25</f>
        <v>0</v>
      </c>
      <c r="D21" s="222">
        <f>D20-[14]LOADDATA!$AE$26</f>
        <v>0</v>
      </c>
      <c r="E21" s="222">
        <f>E20-[14]LOADDATA!$AE$27</f>
        <v>0</v>
      </c>
      <c r="F21" s="222">
        <f>F20-[14]LOADDATA!$AE$28</f>
        <v>0</v>
      </c>
      <c r="G21" s="222">
        <f>G20-[14]LOADDATA!$AE$29</f>
        <v>0</v>
      </c>
      <c r="H21" s="222">
        <f>H20-[14]LOADDATA!$AE$30</f>
        <v>0</v>
      </c>
      <c r="I21" s="222">
        <f>I20-[14]LOADDATA!$AE$31</f>
        <v>0</v>
      </c>
      <c r="J21" s="222">
        <f>J20-[14]LOADDATA!$AE$32</f>
        <v>0</v>
      </c>
      <c r="K21" s="222">
        <f>K20-[14]LOADDATA!$AE$33</f>
        <v>0</v>
      </c>
      <c r="L21" s="222">
        <f>L20-[14]LOADDATA!$AE$34</f>
        <v>0</v>
      </c>
      <c r="M21" s="222">
        <f>M20-[14]LOADDATA!$AE$35</f>
        <v>0</v>
      </c>
      <c r="N21" s="222">
        <f>N20-[14]LOADDATA!$AE$36</f>
        <v>0</v>
      </c>
      <c r="O21" s="222">
        <f>O20-[14]LOADDATA!$AE$37</f>
        <v>0</v>
      </c>
      <c r="P21" s="222">
        <f>P20-[14]LOADDATA!$AE$38</f>
        <v>0</v>
      </c>
      <c r="Q21" s="222">
        <f>Q20-[14]LOADDATA!$AE$39</f>
        <v>0</v>
      </c>
      <c r="R21" s="222">
        <f>R20-[14]LOADDATA!$AE$40</f>
        <v>0</v>
      </c>
      <c r="S21" s="222">
        <f>S20-[14]LOADDATA!$AE$41</f>
        <v>-1.174123078584671</v>
      </c>
      <c r="T21" s="222">
        <f>T20-[14]LOADDATA!$AE$42</f>
        <v>-1.3427902460098267</v>
      </c>
      <c r="U21" s="222">
        <f>U20-[14]LOADDATA!$AE$43</f>
        <v>0</v>
      </c>
      <c r="V21" s="222">
        <f>V20-[14]LOADDATA!$AE$44</f>
        <v>0</v>
      </c>
    </row>
    <row r="22" spans="1:24" x14ac:dyDescent="0.2">
      <c r="A22" s="218"/>
      <c r="B22" s="218"/>
      <c r="C22" s="218"/>
      <c r="D22" s="218"/>
      <c r="E22" s="218"/>
      <c r="F22" s="217"/>
      <c r="G22" s="217"/>
      <c r="H22" s="217"/>
      <c r="I22" s="217"/>
    </row>
    <row r="23" spans="1:24" x14ac:dyDescent="0.2">
      <c r="A23" s="218"/>
      <c r="B23" s="218"/>
      <c r="C23" s="218"/>
      <c r="D23" s="218"/>
      <c r="E23" s="218"/>
      <c r="F23" s="217"/>
      <c r="G23" s="217"/>
      <c r="H23" s="217"/>
      <c r="I23" s="217"/>
    </row>
    <row r="29" spans="1:24" x14ac:dyDescent="0.2">
      <c r="G29" s="212" t="s">
        <v>205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Z44"/>
  <sheetViews>
    <sheetView topLeftCell="I25" workbookViewId="0">
      <selection activeCell="J38" sqref="J38"/>
    </sheetView>
  </sheetViews>
  <sheetFormatPr defaultRowHeight="12.75" x14ac:dyDescent="0.2"/>
  <cols>
    <col min="6" max="6" width="9.28515625" style="212" customWidth="1"/>
    <col min="7" max="7" width="9.5703125" style="212"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5" x14ac:dyDescent="0.2">
      <c r="A1" s="20" t="s">
        <v>206</v>
      </c>
    </row>
    <row r="2" spans="1:25" x14ac:dyDescent="0.2">
      <c r="A2" s="213" t="str">
        <f>[15]BEST!$A$20</f>
        <v>Station: Majority are Port Weller. Missing data for some days is taken from next best available nearby station (Niagara District Airport for 1992 to 1994 or Vineland for some periods in 2005, 2006, 2008 and 2010).</v>
      </c>
      <c r="B2" s="213"/>
    </row>
    <row r="3" spans="1:25" x14ac:dyDescent="0.2">
      <c r="A3" s="223" t="s">
        <v>207</v>
      </c>
      <c r="B3" s="223"/>
      <c r="C3" s="223"/>
      <c r="D3" s="223"/>
      <c r="E3" s="223"/>
      <c r="F3" s="217"/>
      <c r="G3" s="217"/>
    </row>
    <row r="4" spans="1:25" x14ac:dyDescent="0.2">
      <c r="B4" s="214"/>
      <c r="C4" s="214"/>
      <c r="D4" s="214"/>
      <c r="E4" s="214"/>
      <c r="F4" s="215"/>
      <c r="G4" s="215"/>
    </row>
    <row r="5" spans="1:25" ht="22.5"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318" t="s">
        <v>160</v>
      </c>
      <c r="X5" s="323" t="s">
        <v>158</v>
      </c>
    </row>
    <row r="6" spans="1:25" x14ac:dyDescent="0.2">
      <c r="A6" s="214"/>
      <c r="B6" s="214"/>
      <c r="C6" s="214"/>
      <c r="D6" s="214"/>
      <c r="E6" s="214"/>
      <c r="F6" s="217"/>
      <c r="G6" s="217"/>
      <c r="W6" s="329" t="s">
        <v>271</v>
      </c>
      <c r="X6" s="330" t="s">
        <v>272</v>
      </c>
    </row>
    <row r="7" spans="1:25" x14ac:dyDescent="0.2">
      <c r="A7" s="218"/>
      <c r="B7" s="218"/>
      <c r="C7" s="218"/>
      <c r="D7" s="218"/>
      <c r="E7" s="218"/>
      <c r="F7" s="217"/>
      <c r="G7" s="217"/>
      <c r="H7" s="217"/>
      <c r="I7" s="217"/>
      <c r="W7" s="320"/>
      <c r="X7" s="325"/>
    </row>
    <row r="8" spans="1:25" x14ac:dyDescent="0.2">
      <c r="A8" s="218" t="s">
        <v>193</v>
      </c>
      <c r="B8" s="224">
        <f>[15]BEST!B24</f>
        <v>634.4</v>
      </c>
      <c r="C8" s="224">
        <f>[15]BEST!C24</f>
        <v>615.5</v>
      </c>
      <c r="D8" s="224">
        <f>[15]BEST!D24</f>
        <v>840.2</v>
      </c>
      <c r="E8" s="224">
        <f>[15]BEST!E24</f>
        <v>572.5</v>
      </c>
      <c r="F8" s="224">
        <f>[15]BEST!F24</f>
        <v>705.05</v>
      </c>
      <c r="G8" s="224">
        <f>[15]BEST!G24</f>
        <v>663.65</v>
      </c>
      <c r="H8" s="224">
        <f>[15]BEST!H24</f>
        <v>563.04999999999995</v>
      </c>
      <c r="I8" s="224">
        <f>[15]BEST!I24</f>
        <v>671.9</v>
      </c>
      <c r="J8" s="224">
        <f>[15]BEST!J24</f>
        <v>662.5</v>
      </c>
      <c r="K8" s="224">
        <f>[15]BEST!K24</f>
        <v>621.5</v>
      </c>
      <c r="L8" s="224">
        <f>[15]BEST!L24</f>
        <v>528.04999999999995</v>
      </c>
      <c r="M8" s="224">
        <f>[15]BEST!M24</f>
        <v>731.8</v>
      </c>
      <c r="N8" s="224">
        <f>[15]BEST!N24</f>
        <v>750.2</v>
      </c>
      <c r="O8" s="224">
        <f>[15]BEST!O24</f>
        <v>693.3</v>
      </c>
      <c r="P8" s="224">
        <f>[15]BEST!P24</f>
        <v>509.6</v>
      </c>
      <c r="Q8" s="224">
        <f>[15]BEST!Q24</f>
        <v>578</v>
      </c>
      <c r="R8" s="224">
        <f>[15]BEST!R24</f>
        <v>562.4</v>
      </c>
      <c r="S8" s="224">
        <f>[15]BEST!S24</f>
        <v>723.9</v>
      </c>
      <c r="T8" s="224">
        <f>[15]BEST!T24</f>
        <v>653.29999999999995</v>
      </c>
      <c r="U8" s="224">
        <f>[15]BEST!U24</f>
        <v>678</v>
      </c>
      <c r="V8" s="224">
        <f>[15]BEST!V24</f>
        <v>554.40000000000009</v>
      </c>
      <c r="W8" s="321">
        <f>AVERAGE(M8:V8)</f>
        <v>643.49</v>
      </c>
      <c r="X8" s="326">
        <f>TREND(C8:V8,$C$5:$V$5,2014)</f>
        <v>610.80011278195434</v>
      </c>
      <c r="Y8" s="169"/>
    </row>
    <row r="9" spans="1:25" x14ac:dyDescent="0.2">
      <c r="A9" s="218" t="s">
        <v>194</v>
      </c>
      <c r="B9" s="224">
        <f>[15]BEST!B25</f>
        <v>582.20000000000005</v>
      </c>
      <c r="C9" s="224">
        <f>[15]BEST!C25</f>
        <v>692.9</v>
      </c>
      <c r="D9" s="224">
        <f>[15]BEST!D25</f>
        <v>678.1</v>
      </c>
      <c r="E9" s="224">
        <f>[15]BEST!E25</f>
        <v>622.65</v>
      </c>
      <c r="F9" s="224">
        <f>[15]BEST!F25</f>
        <v>623.70000000000005</v>
      </c>
      <c r="G9" s="224">
        <f>[15]BEST!G25</f>
        <v>521.4</v>
      </c>
      <c r="H9" s="224">
        <f>[15]BEST!H25</f>
        <v>501.6</v>
      </c>
      <c r="I9" s="224">
        <f>[15]BEST!I25</f>
        <v>502.7</v>
      </c>
      <c r="J9" s="224">
        <f>[15]BEST!J25</f>
        <v>548.1</v>
      </c>
      <c r="K9" s="224">
        <f>[15]BEST!K25</f>
        <v>533.75</v>
      </c>
      <c r="L9" s="224">
        <f>[15]BEST!L25</f>
        <v>492.3</v>
      </c>
      <c r="M9" s="224">
        <f>[15]BEST!M25</f>
        <v>632.15</v>
      </c>
      <c r="N9" s="224">
        <f>[15]BEST!N25</f>
        <v>578.9</v>
      </c>
      <c r="O9" s="224">
        <f>[15]BEST!O25</f>
        <v>582</v>
      </c>
      <c r="P9" s="224">
        <f>[15]BEST!P25</f>
        <v>547.6</v>
      </c>
      <c r="Q9" s="224">
        <f>[15]BEST!Q25</f>
        <v>657.8</v>
      </c>
      <c r="R9" s="224">
        <f>[15]BEST!R25</f>
        <v>599.9</v>
      </c>
      <c r="S9" s="224">
        <f>[15]BEST!S25</f>
        <v>537</v>
      </c>
      <c r="T9" s="224">
        <f>[15]BEST!T25</f>
        <v>551.1</v>
      </c>
      <c r="U9" s="224">
        <f>[15]BEST!U25</f>
        <v>578.5</v>
      </c>
      <c r="V9" s="224">
        <f>[15]BEST!V25</f>
        <v>482.39999999999992</v>
      </c>
      <c r="W9" s="321">
        <f t="shared" ref="W9:W19" si="0">AVERAGE(M9:V9)</f>
        <v>574.73500000000001</v>
      </c>
      <c r="X9" s="326">
        <f t="shared" ref="X9:X19" si="1">TREND(C9:V9,$C$5:$V$5,2014)</f>
        <v>531.16473684210541</v>
      </c>
      <c r="Y9" s="169"/>
    </row>
    <row r="10" spans="1:25" x14ac:dyDescent="0.2">
      <c r="A10" s="218" t="s">
        <v>195</v>
      </c>
      <c r="B10" s="224">
        <f>[15]BEST!B26</f>
        <v>556</v>
      </c>
      <c r="C10" s="224">
        <f>[15]BEST!C26</f>
        <v>609.5</v>
      </c>
      <c r="D10" s="224">
        <f>[15]BEST!D26</f>
        <v>553.1</v>
      </c>
      <c r="E10" s="224">
        <f>[15]BEST!E26</f>
        <v>474</v>
      </c>
      <c r="F10" s="224">
        <f>[15]BEST!F26</f>
        <v>585.35</v>
      </c>
      <c r="G10" s="224">
        <f>[15]BEST!G26</f>
        <v>536.9</v>
      </c>
      <c r="H10" s="224">
        <f>[15]BEST!H26</f>
        <v>483.8</v>
      </c>
      <c r="I10" s="224">
        <f>[15]BEST!I26</f>
        <v>517.70000000000005</v>
      </c>
      <c r="J10" s="224">
        <f>[15]BEST!J26</f>
        <v>426.9</v>
      </c>
      <c r="K10" s="224">
        <f>[15]BEST!K26</f>
        <v>543.04999999999995</v>
      </c>
      <c r="L10" s="224">
        <f>[15]BEST!L26</f>
        <v>513.5</v>
      </c>
      <c r="M10" s="224">
        <f>[15]BEST!M26</f>
        <v>547.70000000000005</v>
      </c>
      <c r="N10" s="224">
        <f>[15]BEST!N26</f>
        <v>479.8</v>
      </c>
      <c r="O10" s="224">
        <f>[15]BEST!O26</f>
        <v>576.1</v>
      </c>
      <c r="P10" s="224">
        <f>[15]BEST!P26</f>
        <v>486.4</v>
      </c>
      <c r="Q10" s="224">
        <f>[15]BEST!Q26</f>
        <v>514.20000000000005</v>
      </c>
      <c r="R10" s="224">
        <f>[15]BEST!R26</f>
        <v>548</v>
      </c>
      <c r="S10" s="224">
        <f>[15]BEST!S26</f>
        <v>509.1</v>
      </c>
      <c r="T10" s="224">
        <f>[15]BEST!T26</f>
        <v>434.7</v>
      </c>
      <c r="U10" s="224">
        <f>[15]BEST!U26</f>
        <v>527.45000000000005</v>
      </c>
      <c r="V10" s="224">
        <f>[15]BEST!V26</f>
        <v>366.69999999999993</v>
      </c>
      <c r="W10" s="321">
        <f t="shared" si="0"/>
        <v>499.01499999999999</v>
      </c>
      <c r="X10" s="326">
        <f t="shared" si="1"/>
        <v>461.00281954887214</v>
      </c>
      <c r="Y10" s="169"/>
    </row>
    <row r="11" spans="1:25" x14ac:dyDescent="0.2">
      <c r="A11" s="218" t="s">
        <v>196</v>
      </c>
      <c r="B11" s="224">
        <f>[15]BEST!B27</f>
        <v>357.5</v>
      </c>
      <c r="C11" s="224">
        <f>[15]BEST!C27</f>
        <v>317.5</v>
      </c>
      <c r="D11" s="224">
        <f>[15]BEST!D27</f>
        <v>295.10000000000002</v>
      </c>
      <c r="E11" s="224">
        <f>[15]BEST!E27</f>
        <v>392.85</v>
      </c>
      <c r="F11" s="224">
        <f>[15]BEST!F27</f>
        <v>395.7</v>
      </c>
      <c r="G11" s="224">
        <f>[15]BEST!G27</f>
        <v>368.15</v>
      </c>
      <c r="H11" s="224">
        <f>[15]BEST!H27</f>
        <v>285.39999999999992</v>
      </c>
      <c r="I11" s="224">
        <f>[15]BEST!I27</f>
        <v>314.89999999999998</v>
      </c>
      <c r="J11" s="224">
        <f>[15]BEST!J27</f>
        <v>344.55</v>
      </c>
      <c r="K11" s="224">
        <f>[15]BEST!K27</f>
        <v>322.5</v>
      </c>
      <c r="L11" s="224">
        <f>[15]BEST!L27</f>
        <v>314.89999999999998</v>
      </c>
      <c r="M11" s="224">
        <f>[15]BEST!M27</f>
        <v>398.3</v>
      </c>
      <c r="N11" s="224">
        <f>[15]BEST!N27</f>
        <v>332.5</v>
      </c>
      <c r="O11" s="224">
        <f>[15]BEST!O27</f>
        <v>345.1</v>
      </c>
      <c r="P11" s="224">
        <f>[15]BEST!P27</f>
        <v>314.60000000000002</v>
      </c>
      <c r="Q11" s="224">
        <f>[15]BEST!Q27</f>
        <v>362.1</v>
      </c>
      <c r="R11" s="224">
        <f>[15]BEST!R27</f>
        <v>303.3</v>
      </c>
      <c r="S11" s="224">
        <f>[15]BEST!S27</f>
        <v>315.39999999999998</v>
      </c>
      <c r="T11" s="224">
        <f>[15]BEST!T27</f>
        <v>253.2</v>
      </c>
      <c r="U11" s="224">
        <f>[15]BEST!U27</f>
        <v>342.6</v>
      </c>
      <c r="V11" s="224">
        <f>[15]BEST!V27</f>
        <v>296.29999999999995</v>
      </c>
      <c r="W11" s="321">
        <f t="shared" si="0"/>
        <v>326.33999999999997</v>
      </c>
      <c r="X11" s="326">
        <f t="shared" si="1"/>
        <v>307.89492481203024</v>
      </c>
      <c r="Y11" s="169"/>
    </row>
    <row r="12" spans="1:25" x14ac:dyDescent="0.2">
      <c r="A12" s="218" t="s">
        <v>86</v>
      </c>
      <c r="B12" s="224">
        <f>[15]BEST!B28</f>
        <v>167.7</v>
      </c>
      <c r="C12" s="224">
        <f>[15]BEST!C28</f>
        <v>166.6</v>
      </c>
      <c r="D12" s="224">
        <f>[15]BEST!D28</f>
        <v>205.1</v>
      </c>
      <c r="E12" s="224">
        <f>[15]BEST!E28</f>
        <v>153</v>
      </c>
      <c r="F12" s="224">
        <f>[15]BEST!F28</f>
        <v>240.4</v>
      </c>
      <c r="G12" s="224">
        <f>[15]BEST!G28</f>
        <v>259.3</v>
      </c>
      <c r="H12" s="224">
        <f>[15]BEST!H28</f>
        <v>107.59999999999998</v>
      </c>
      <c r="I12" s="224">
        <f>[15]BEST!I28</f>
        <v>137.30000000000001</v>
      </c>
      <c r="J12" s="224">
        <f>[15]BEST!J28</f>
        <v>149.19999999999999</v>
      </c>
      <c r="K12" s="224">
        <f>[15]BEST!K28</f>
        <v>129.4</v>
      </c>
      <c r="L12" s="224">
        <f>[15]BEST!L28</f>
        <v>224.5</v>
      </c>
      <c r="M12" s="224">
        <f>[15]BEST!M28</f>
        <v>235.4</v>
      </c>
      <c r="N12" s="224">
        <f>[15]BEST!N28</f>
        <v>169.7</v>
      </c>
      <c r="O12" s="224">
        <f>[15]BEST!O28</f>
        <v>215.3</v>
      </c>
      <c r="P12" s="224">
        <f>[15]BEST!P28</f>
        <v>155.1</v>
      </c>
      <c r="Q12" s="224">
        <f>[15]BEST!Q28</f>
        <v>157.9</v>
      </c>
      <c r="R12" s="224">
        <f>[15]BEST!R28</f>
        <v>192.7</v>
      </c>
      <c r="S12" s="224">
        <f>[15]BEST!S28</f>
        <v>179.22499999999999</v>
      </c>
      <c r="T12" s="224">
        <f>[15]BEST!T28</f>
        <v>129.4</v>
      </c>
      <c r="U12" s="224">
        <f>[15]BEST!U28</f>
        <v>187.1</v>
      </c>
      <c r="V12" s="224">
        <f>[15]BEST!V28</f>
        <v>99.499999999999957</v>
      </c>
      <c r="W12" s="321">
        <f t="shared" si="0"/>
        <v>172.13249999999999</v>
      </c>
      <c r="X12" s="326">
        <f t="shared" si="1"/>
        <v>153.73398496240634</v>
      </c>
      <c r="Y12" s="169"/>
    </row>
    <row r="13" spans="1:25" x14ac:dyDescent="0.2">
      <c r="A13" s="218" t="s">
        <v>197</v>
      </c>
      <c r="B13" s="224">
        <f>[15]BEST!B29</f>
        <v>56</v>
      </c>
      <c r="C13" s="224">
        <f>[15]BEST!C29</f>
        <v>43.4</v>
      </c>
      <c r="D13" s="224">
        <f>[15]BEST!D29</f>
        <v>34.200000000000003</v>
      </c>
      <c r="E13" s="224">
        <f>[15]BEST!E29</f>
        <v>23.6</v>
      </c>
      <c r="F13" s="224">
        <f>[15]BEST!F29</f>
        <v>37.299999999999997</v>
      </c>
      <c r="G13" s="224">
        <f>[15]BEST!G29</f>
        <v>39.4</v>
      </c>
      <c r="H13" s="224">
        <f>[15]BEST!H29</f>
        <v>44.999999999999993</v>
      </c>
      <c r="I13" s="224">
        <f>[15]BEST!I29</f>
        <v>17.7</v>
      </c>
      <c r="J13" s="224">
        <f>[15]BEST!J29</f>
        <v>44.8</v>
      </c>
      <c r="K13" s="224">
        <f>[15]BEST!K29</f>
        <v>27.7</v>
      </c>
      <c r="L13" s="224">
        <f>[15]BEST!L29</f>
        <v>39.299999999999997</v>
      </c>
      <c r="M13" s="224">
        <f>[15]BEST!M29</f>
        <v>74.099999999999994</v>
      </c>
      <c r="N13" s="224">
        <f>[15]BEST!N29</f>
        <v>45.6</v>
      </c>
      <c r="O13" s="224">
        <f>[15]BEST!O29</f>
        <v>10.4</v>
      </c>
      <c r="P13" s="224">
        <f>[15]BEST!P29</f>
        <v>16.3</v>
      </c>
      <c r="Q13" s="224">
        <f>[15]BEST!Q29</f>
        <v>10.9</v>
      </c>
      <c r="R13" s="224">
        <f>[15]BEST!R29</f>
        <v>30.4</v>
      </c>
      <c r="S13" s="224">
        <f>[15]BEST!S29</f>
        <v>66.8</v>
      </c>
      <c r="T13" s="224">
        <f>[15]BEST!T29</f>
        <v>15</v>
      </c>
      <c r="U13" s="224">
        <f>[15]BEST!U29</f>
        <v>21.9</v>
      </c>
      <c r="V13" s="224">
        <f>[15]BEST!V29</f>
        <v>18.899999999999999</v>
      </c>
      <c r="W13" s="321">
        <f t="shared" si="0"/>
        <v>31.029999999999994</v>
      </c>
      <c r="X13" s="326">
        <f t="shared" si="1"/>
        <v>25.186165413533899</v>
      </c>
      <c r="Y13" s="169"/>
    </row>
    <row r="14" spans="1:25" x14ac:dyDescent="0.2">
      <c r="A14" s="218" t="s">
        <v>198</v>
      </c>
      <c r="B14" s="224">
        <f>[15]BEST!B30</f>
        <v>16.399999999999999</v>
      </c>
      <c r="C14" s="224">
        <f>[15]BEST!C30</f>
        <v>1.3</v>
      </c>
      <c r="D14" s="224">
        <f>[15]BEST!D30</f>
        <v>0.2</v>
      </c>
      <c r="E14" s="224">
        <f>[15]BEST!E30</f>
        <v>4.2</v>
      </c>
      <c r="F14" s="224">
        <f>[15]BEST!F30</f>
        <v>2.6</v>
      </c>
      <c r="G14" s="224">
        <f>[15]BEST!G30</f>
        <v>8</v>
      </c>
      <c r="H14" s="224">
        <f>[15]BEST!H30</f>
        <v>0</v>
      </c>
      <c r="I14" s="224">
        <f>[15]BEST!I30</f>
        <v>0</v>
      </c>
      <c r="J14" s="224">
        <f>[15]BEST!J30</f>
        <v>0.2</v>
      </c>
      <c r="K14" s="224">
        <f>[15]BEST!K30</f>
        <v>1.8</v>
      </c>
      <c r="L14" s="224">
        <f>[15]BEST!L30</f>
        <v>0</v>
      </c>
      <c r="M14" s="224">
        <f>[15]BEST!M30</f>
        <v>3.4</v>
      </c>
      <c r="N14" s="224">
        <f>[15]BEST!N30</f>
        <v>1.9</v>
      </c>
      <c r="O14" s="224">
        <f>[15]BEST!O30</f>
        <v>0</v>
      </c>
      <c r="P14" s="224">
        <f>[15]BEST!P30</f>
        <v>0</v>
      </c>
      <c r="Q14" s="224">
        <f>[15]BEST!Q30</f>
        <v>0</v>
      </c>
      <c r="R14" s="224">
        <f>[15]BEST!R30</f>
        <v>0</v>
      </c>
      <c r="S14" s="224">
        <f>[15]BEST!S30</f>
        <v>0.6</v>
      </c>
      <c r="T14" s="224">
        <f>[15]BEST!T30</f>
        <v>0</v>
      </c>
      <c r="U14" s="224">
        <f>[15]BEST!U30</f>
        <v>0</v>
      </c>
      <c r="V14" s="224">
        <f>[15]BEST!V30</f>
        <v>0</v>
      </c>
      <c r="W14" s="321">
        <f t="shared" si="0"/>
        <v>0.59</v>
      </c>
      <c r="X14" s="326">
        <f t="shared" si="1"/>
        <v>-0.54007518796993281</v>
      </c>
      <c r="Y14" s="169"/>
    </row>
    <row r="15" spans="1:25" x14ac:dyDescent="0.2">
      <c r="A15" s="218" t="s">
        <v>199</v>
      </c>
      <c r="B15" s="224">
        <f>[15]BEST!B31</f>
        <v>20.5</v>
      </c>
      <c r="C15" s="224">
        <f>[15]BEST!C31</f>
        <v>6.8</v>
      </c>
      <c r="D15" s="224">
        <f>[15]BEST!D31</f>
        <v>15.1</v>
      </c>
      <c r="E15" s="224">
        <f>[15]BEST!E31</f>
        <v>0</v>
      </c>
      <c r="F15" s="224">
        <f>[15]BEST!F31</f>
        <v>0</v>
      </c>
      <c r="G15" s="224">
        <f>[15]BEST!G31</f>
        <v>7.2</v>
      </c>
      <c r="H15" s="224">
        <f>[15]BEST!H31</f>
        <v>0</v>
      </c>
      <c r="I15" s="224">
        <f>[15]BEST!I31</f>
        <v>1.6</v>
      </c>
      <c r="J15" s="224">
        <f>[15]BEST!J31</f>
        <v>2.8</v>
      </c>
      <c r="K15" s="224">
        <f>[15]BEST!K31</f>
        <v>0</v>
      </c>
      <c r="L15" s="224">
        <f>[15]BEST!L31</f>
        <v>0</v>
      </c>
      <c r="M15" s="224">
        <f>[15]BEST!M31</f>
        <v>0</v>
      </c>
      <c r="N15" s="224">
        <f>[15]BEST!N31</f>
        <v>1.8</v>
      </c>
      <c r="O15" s="224">
        <f>[15]BEST!O31</f>
        <v>0</v>
      </c>
      <c r="P15" s="224">
        <f>[15]BEST!P31</f>
        <v>4.2</v>
      </c>
      <c r="Q15" s="224">
        <f>[15]BEST!Q31</f>
        <v>6.8</v>
      </c>
      <c r="R15" s="224">
        <f>[15]BEST!R31</f>
        <v>4.5</v>
      </c>
      <c r="S15" s="224">
        <f>[15]BEST!S31</f>
        <v>3.9</v>
      </c>
      <c r="T15" s="224">
        <f>[15]BEST!T31</f>
        <v>0</v>
      </c>
      <c r="U15" s="224">
        <f>[15]BEST!U31</f>
        <v>0</v>
      </c>
      <c r="V15" s="224">
        <f>[15]BEST!V31</f>
        <v>0</v>
      </c>
      <c r="W15" s="321">
        <f t="shared" si="0"/>
        <v>2.12</v>
      </c>
      <c r="X15" s="326">
        <f t="shared" si="1"/>
        <v>0.19203007518797222</v>
      </c>
      <c r="Y15" s="169"/>
    </row>
    <row r="16" spans="1:25" x14ac:dyDescent="0.2">
      <c r="A16" s="218" t="s">
        <v>200</v>
      </c>
      <c r="B16" s="224">
        <f>[15]BEST!B32</f>
        <v>93.3</v>
      </c>
      <c r="C16" s="224">
        <f>[15]BEST!C32</f>
        <v>112.5</v>
      </c>
      <c r="D16" s="224">
        <f>[15]BEST!D32</f>
        <v>67.599999999999994</v>
      </c>
      <c r="E16" s="224">
        <f>[15]BEST!E32</f>
        <v>67.599999999999994</v>
      </c>
      <c r="F16" s="224">
        <f>[15]BEST!F32</f>
        <v>30.9</v>
      </c>
      <c r="G16" s="224">
        <f>[15]BEST!G32</f>
        <v>48.7</v>
      </c>
      <c r="H16" s="224">
        <f>[15]BEST!H32</f>
        <v>14.600000000000001</v>
      </c>
      <c r="I16" s="224">
        <f>[15]BEST!I32</f>
        <v>25.2</v>
      </c>
      <c r="J16" s="224">
        <f>[15]BEST!J32</f>
        <v>60.3</v>
      </c>
      <c r="K16" s="224">
        <f>[15]BEST!K32</f>
        <v>43.6</v>
      </c>
      <c r="L16" s="224">
        <f>[15]BEST!L32</f>
        <v>9.4</v>
      </c>
      <c r="M16" s="224">
        <f>[15]BEST!M32</f>
        <v>26.8</v>
      </c>
      <c r="N16" s="224">
        <f>[15]BEST!N32</f>
        <v>14.6</v>
      </c>
      <c r="O16" s="224">
        <f>[15]BEST!O32</f>
        <v>7.3</v>
      </c>
      <c r="P16" s="224">
        <f>[15]BEST!P32</f>
        <v>45.9</v>
      </c>
      <c r="Q16" s="224">
        <f>[15]BEST!Q32</f>
        <v>19.2</v>
      </c>
      <c r="R16" s="224">
        <f>[15]BEST!R32</f>
        <v>38.6</v>
      </c>
      <c r="S16" s="224">
        <f>[15]BEST!S32</f>
        <v>32.4</v>
      </c>
      <c r="T16" s="224">
        <f>[15]BEST!T32</f>
        <v>52.85</v>
      </c>
      <c r="U16" s="224">
        <f>[15]BEST!U32</f>
        <v>26.9</v>
      </c>
      <c r="V16" s="224">
        <f>[15]BEST!V32</f>
        <v>37.9</v>
      </c>
      <c r="W16" s="321">
        <f t="shared" si="0"/>
        <v>30.244999999999997</v>
      </c>
      <c r="X16" s="326">
        <f t="shared" si="1"/>
        <v>16.916804511278315</v>
      </c>
      <c r="Y16" s="169"/>
    </row>
    <row r="17" spans="1:26" x14ac:dyDescent="0.2">
      <c r="A17" s="218" t="s">
        <v>201</v>
      </c>
      <c r="B17" s="224">
        <f>[15]BEST!B33</f>
        <v>293.2</v>
      </c>
      <c r="C17" s="224">
        <f>[15]BEST!C33</f>
        <v>280.10000000000002</v>
      </c>
      <c r="D17" s="224">
        <f>[15]BEST!D33</f>
        <v>230.4</v>
      </c>
      <c r="E17" s="224">
        <f>[15]BEST!E33</f>
        <v>142</v>
      </c>
      <c r="F17" s="224">
        <f>[15]BEST!F33</f>
        <v>142.1</v>
      </c>
      <c r="G17" s="224">
        <f>[15]BEST!G33</f>
        <v>222.95</v>
      </c>
      <c r="H17" s="224">
        <f>[15]BEST!H33</f>
        <v>157</v>
      </c>
      <c r="I17" s="224">
        <f>[15]BEST!I33</f>
        <v>203.75</v>
      </c>
      <c r="J17" s="224">
        <f>[15]BEST!J33</f>
        <v>184.7</v>
      </c>
      <c r="K17" s="224">
        <f>[15]BEST!K33</f>
        <v>184.9</v>
      </c>
      <c r="L17" s="224">
        <f>[15]BEST!L33</f>
        <v>233.85</v>
      </c>
      <c r="M17" s="224">
        <f>[15]BEST!M33</f>
        <v>245.3</v>
      </c>
      <c r="N17" s="224">
        <f>[15]BEST!N33</f>
        <v>196.4</v>
      </c>
      <c r="O17" s="224">
        <f>[15]BEST!O33</f>
        <v>201.6</v>
      </c>
      <c r="P17" s="224">
        <f>[15]BEST!P33</f>
        <v>234.4</v>
      </c>
      <c r="Q17" s="224">
        <f>[15]BEST!Q33</f>
        <v>103</v>
      </c>
      <c r="R17" s="224">
        <f>[15]BEST!R33</f>
        <v>207.1</v>
      </c>
      <c r="S17" s="224">
        <f>[15]BEST!S33</f>
        <v>241.2</v>
      </c>
      <c r="T17" s="224">
        <f>[15]BEST!T33</f>
        <v>175.2</v>
      </c>
      <c r="U17" s="224">
        <f>[15]BEST!U33</f>
        <v>185.7</v>
      </c>
      <c r="V17" s="224">
        <f>[15]BEST!V33</f>
        <v>191.9</v>
      </c>
      <c r="W17" s="321">
        <f t="shared" si="0"/>
        <v>198.18</v>
      </c>
      <c r="X17" s="326">
        <f t="shared" si="1"/>
        <v>189.83567669172953</v>
      </c>
      <c r="Y17" s="169"/>
    </row>
    <row r="18" spans="1:26" x14ac:dyDescent="0.2">
      <c r="A18" s="218" t="s">
        <v>202</v>
      </c>
      <c r="B18" s="224">
        <f>[15]BEST!B34</f>
        <v>413.1</v>
      </c>
      <c r="C18" s="224">
        <f>[15]BEST!C34</f>
        <v>423.6</v>
      </c>
      <c r="D18" s="224">
        <f>[15]BEST!D34</f>
        <v>335.8</v>
      </c>
      <c r="E18" s="224">
        <f>[15]BEST!E34</f>
        <v>447.55</v>
      </c>
      <c r="F18" s="224">
        <f>[15]BEST!F34</f>
        <v>435.7</v>
      </c>
      <c r="G18" s="224">
        <f>[15]BEST!G34</f>
        <v>413.45</v>
      </c>
      <c r="H18" s="224">
        <f>[15]BEST!H34</f>
        <v>340.5</v>
      </c>
      <c r="I18" s="224">
        <f>[15]BEST!I34</f>
        <v>333.7</v>
      </c>
      <c r="J18" s="224">
        <f>[15]BEST!J34</f>
        <v>376.6</v>
      </c>
      <c r="K18" s="224">
        <f>[15]BEST!K34</f>
        <v>290.39999999999998</v>
      </c>
      <c r="L18" s="224">
        <f>[15]BEST!L34</f>
        <v>381.2</v>
      </c>
      <c r="M18" s="224">
        <f>[15]BEST!M34</f>
        <v>348</v>
      </c>
      <c r="N18" s="224">
        <f>[15]BEST!N34</f>
        <v>341</v>
      </c>
      <c r="O18" s="224">
        <f>[15]BEST!O34</f>
        <v>350.6</v>
      </c>
      <c r="P18" s="224">
        <f>[15]BEST!P34</f>
        <v>341.9</v>
      </c>
      <c r="Q18" s="224">
        <f>[15]BEST!Q34</f>
        <v>385.4</v>
      </c>
      <c r="R18" s="224">
        <f>[15]BEST!R34</f>
        <v>407.1</v>
      </c>
      <c r="S18" s="224">
        <f>[15]BEST!S34</f>
        <v>320.8</v>
      </c>
      <c r="T18" s="224">
        <f>[15]BEST!T34</f>
        <v>346.05</v>
      </c>
      <c r="U18" s="224">
        <f>[15]BEST!U34</f>
        <v>284.89999999999998</v>
      </c>
      <c r="V18" s="224">
        <f>[15]BEST!V34</f>
        <v>381.9</v>
      </c>
      <c r="W18" s="321">
        <f t="shared" si="0"/>
        <v>350.76500000000004</v>
      </c>
      <c r="X18" s="326">
        <f t="shared" si="1"/>
        <v>327.18281954887243</v>
      </c>
      <c r="Y18" s="169"/>
    </row>
    <row r="19" spans="1:26" x14ac:dyDescent="0.2">
      <c r="A19" s="218" t="s">
        <v>203</v>
      </c>
      <c r="B19" s="224">
        <f>[15]BEST!B35</f>
        <v>568.5</v>
      </c>
      <c r="C19" s="224">
        <f>[15]BEST!C35</f>
        <v>609.29999999999995</v>
      </c>
      <c r="D19" s="224">
        <f>[15]BEST!D35</f>
        <v>526.70000000000005</v>
      </c>
      <c r="E19" s="224">
        <f>[15]BEST!E35</f>
        <v>632.29999999999995</v>
      </c>
      <c r="F19" s="224">
        <f>[15]BEST!F35</f>
        <v>512.79999999999995</v>
      </c>
      <c r="G19" s="224">
        <f>[15]BEST!G35</f>
        <v>529.54999999999995</v>
      </c>
      <c r="H19" s="224">
        <f>[15]BEST!H35</f>
        <v>466.2</v>
      </c>
      <c r="I19" s="224">
        <f>[15]BEST!I35</f>
        <v>516</v>
      </c>
      <c r="J19" s="224">
        <f>[15]BEST!J35</f>
        <v>679.5</v>
      </c>
      <c r="K19" s="224">
        <f>[15]BEST!K35</f>
        <v>455</v>
      </c>
      <c r="L19" s="224">
        <f>[15]BEST!L35</f>
        <v>567.20000000000005</v>
      </c>
      <c r="M19" s="224">
        <f>[15]BEST!M35</f>
        <v>510.1</v>
      </c>
      <c r="N19" s="224">
        <f>[15]BEST!N35</f>
        <v>566.70000000000005</v>
      </c>
      <c r="O19" s="224">
        <f>[15]BEST!O35</f>
        <v>631.29999999999995</v>
      </c>
      <c r="P19" s="224">
        <f>[15]BEST!P35</f>
        <v>445.2</v>
      </c>
      <c r="Q19" s="224">
        <f>[15]BEST!Q35</f>
        <v>567.1</v>
      </c>
      <c r="R19" s="224">
        <f>[15]BEST!R35</f>
        <v>589.29999999999995</v>
      </c>
      <c r="S19" s="224">
        <f>[15]BEST!S35</f>
        <v>565.29999999999995</v>
      </c>
      <c r="T19" s="224">
        <f>[15]BEST!T35</f>
        <v>600.5</v>
      </c>
      <c r="U19" s="224">
        <f>[15]BEST!U35</f>
        <v>463.7</v>
      </c>
      <c r="V19" s="224">
        <f>[15]BEST!V35</f>
        <v>462.50000000000006</v>
      </c>
      <c r="W19" s="321">
        <f t="shared" si="0"/>
        <v>540.16999999999996</v>
      </c>
      <c r="X19" s="326">
        <f t="shared" si="1"/>
        <v>522.78135338345783</v>
      </c>
      <c r="Y19" s="169"/>
    </row>
    <row r="20" spans="1:26" x14ac:dyDescent="0.2">
      <c r="A20" s="218"/>
      <c r="B20" s="218"/>
      <c r="C20" s="218"/>
      <c r="D20" s="218"/>
      <c r="E20" s="218"/>
      <c r="W20" s="319"/>
      <c r="X20" s="324"/>
    </row>
    <row r="21" spans="1:26" ht="13.5" thickBot="1" x14ac:dyDescent="0.25">
      <c r="A21" s="218" t="s">
        <v>9</v>
      </c>
      <c r="B21" s="226">
        <f t="shared" ref="B21:V21" si="2">SUM(B8:B20)</f>
        <v>3758.7999999999997</v>
      </c>
      <c r="C21" s="226">
        <f t="shared" si="2"/>
        <v>3879</v>
      </c>
      <c r="D21" s="226">
        <f t="shared" si="2"/>
        <v>3781.5999999999995</v>
      </c>
      <c r="E21" s="226">
        <f t="shared" si="2"/>
        <v>3532.25</v>
      </c>
      <c r="F21" s="226">
        <f t="shared" si="2"/>
        <v>3711.5999999999995</v>
      </c>
      <c r="G21" s="226">
        <f t="shared" si="2"/>
        <v>3618.6499999999996</v>
      </c>
      <c r="H21" s="226">
        <f t="shared" si="2"/>
        <v>2964.7499999999995</v>
      </c>
      <c r="I21" s="226">
        <f t="shared" si="2"/>
        <v>3242.4499999999994</v>
      </c>
      <c r="J21" s="226">
        <f t="shared" si="2"/>
        <v>3480.15</v>
      </c>
      <c r="K21" s="226">
        <f t="shared" si="2"/>
        <v>3153.6</v>
      </c>
      <c r="L21" s="226">
        <f t="shared" si="2"/>
        <v>3304.2</v>
      </c>
      <c r="M21" s="226">
        <f t="shared" si="2"/>
        <v>3753.05</v>
      </c>
      <c r="N21" s="226">
        <f t="shared" si="2"/>
        <v>3479.0999999999995</v>
      </c>
      <c r="O21" s="226">
        <f t="shared" si="2"/>
        <v>3613</v>
      </c>
      <c r="P21" s="226">
        <f t="shared" si="2"/>
        <v>3101.2</v>
      </c>
      <c r="Q21" s="226">
        <f t="shared" si="2"/>
        <v>3362.4</v>
      </c>
      <c r="R21" s="226">
        <f t="shared" si="2"/>
        <v>3483.2999999999993</v>
      </c>
      <c r="S21" s="226">
        <f t="shared" si="2"/>
        <v>3495.625</v>
      </c>
      <c r="T21" s="226">
        <f t="shared" si="2"/>
        <v>3211.3</v>
      </c>
      <c r="U21" s="226">
        <f t="shared" si="2"/>
        <v>3296.75</v>
      </c>
      <c r="V21" s="226">
        <f t="shared" si="2"/>
        <v>2892.4</v>
      </c>
      <c r="W21" s="322">
        <f>SUM(W8:W19)</f>
        <v>3368.8124999999995</v>
      </c>
      <c r="X21" s="327">
        <f>SUM(X8:X19)</f>
        <v>3146.1513533834586</v>
      </c>
    </row>
    <row r="22" spans="1:26" ht="13.5" thickTop="1" x14ac:dyDescent="0.2">
      <c r="A22" s="223"/>
      <c r="B22" s="223"/>
      <c r="C22" s="223"/>
      <c r="D22" s="223"/>
      <c r="E22" s="223"/>
      <c r="F22" s="217"/>
      <c r="G22" s="217"/>
    </row>
    <row r="23" spans="1:26" x14ac:dyDescent="0.2">
      <c r="A23" s="223" t="s">
        <v>208</v>
      </c>
      <c r="B23" s="223"/>
      <c r="C23" s="223"/>
      <c r="D23" s="223"/>
      <c r="E23" s="223"/>
      <c r="F23" s="217"/>
      <c r="G23" s="217"/>
    </row>
    <row r="24" spans="1:26" x14ac:dyDescent="0.2">
      <c r="A24" s="213"/>
      <c r="B24" s="214"/>
      <c r="C24" s="214"/>
      <c r="D24" s="214"/>
      <c r="E24" s="214"/>
      <c r="F24" s="215"/>
      <c r="G24" s="215"/>
    </row>
    <row r="25" spans="1:26" ht="22.5"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318" t="s">
        <v>160</v>
      </c>
      <c r="X25" s="323" t="s">
        <v>158</v>
      </c>
    </row>
    <row r="26" spans="1:26" x14ac:dyDescent="0.2">
      <c r="A26" s="214"/>
      <c r="B26" s="214"/>
      <c r="C26" s="214"/>
      <c r="D26" s="214"/>
      <c r="E26" s="214"/>
      <c r="F26" s="217"/>
      <c r="G26" s="217"/>
      <c r="W26" s="329" t="s">
        <v>271</v>
      </c>
      <c r="X26" s="330" t="s">
        <v>272</v>
      </c>
    </row>
    <row r="27" spans="1:26" x14ac:dyDescent="0.2">
      <c r="F27" s="217"/>
      <c r="G27" s="217"/>
      <c r="W27" s="320"/>
      <c r="X27" s="325"/>
    </row>
    <row r="28" spans="1:26" x14ac:dyDescent="0.2">
      <c r="A28" s="218" t="s">
        <v>193</v>
      </c>
      <c r="B28" s="224">
        <f>[15]BEST!B44</f>
        <v>0</v>
      </c>
      <c r="C28" s="224">
        <f>[15]BEST!C44</f>
        <v>0</v>
      </c>
      <c r="D28" s="224">
        <f>[15]BEST!D44</f>
        <v>0</v>
      </c>
      <c r="E28" s="224">
        <f>[15]BEST!E44</f>
        <v>0</v>
      </c>
      <c r="F28" s="224">
        <f>[15]BEST!F44</f>
        <v>0</v>
      </c>
      <c r="G28" s="224">
        <f>[15]BEST!G44</f>
        <v>0</v>
      </c>
      <c r="H28" s="224">
        <f>[15]BEST!H44</f>
        <v>0</v>
      </c>
      <c r="I28" s="224">
        <f>[15]BEST!I44</f>
        <v>0</v>
      </c>
      <c r="J28" s="224">
        <f>[15]BEST!J44</f>
        <v>0</v>
      </c>
      <c r="K28" s="224">
        <f>[15]BEST!K44</f>
        <v>0</v>
      </c>
      <c r="L28" s="224">
        <f>[15]BEST!L44</f>
        <v>0</v>
      </c>
      <c r="M28" s="224">
        <f>[15]BEST!M44</f>
        <v>0</v>
      </c>
      <c r="N28" s="224">
        <f>[15]BEST!N44</f>
        <v>0</v>
      </c>
      <c r="O28" s="224">
        <f>[15]BEST!O44</f>
        <v>0</v>
      </c>
      <c r="P28" s="224">
        <f>[15]BEST!P44</f>
        <v>0</v>
      </c>
      <c r="Q28" s="224">
        <f>[15]BEST!Q44</f>
        <v>0</v>
      </c>
      <c r="R28" s="224">
        <f>[15]BEST!R44</f>
        <v>0</v>
      </c>
      <c r="S28" s="224">
        <f>[15]BEST!S44</f>
        <v>0</v>
      </c>
      <c r="T28" s="224">
        <f>[15]BEST!T44</f>
        <v>0</v>
      </c>
      <c r="U28" s="224">
        <f>[15]BEST!U44</f>
        <v>0</v>
      </c>
      <c r="V28" s="224">
        <f>[15]BEST!V44</f>
        <v>0</v>
      </c>
      <c r="W28" s="321">
        <f>AVERAGE(M28:V28)</f>
        <v>0</v>
      </c>
      <c r="X28" s="326">
        <f>TREND(C28:V28,$C$5:$V$5,2014)</f>
        <v>0</v>
      </c>
      <c r="Y28" s="224"/>
      <c r="Z28" s="224"/>
    </row>
    <row r="29" spans="1:26" x14ac:dyDescent="0.2">
      <c r="A29" s="218" t="s">
        <v>194</v>
      </c>
      <c r="B29" s="224">
        <f>[15]BEST!B45</f>
        <v>0</v>
      </c>
      <c r="C29" s="224">
        <f>[15]BEST!C45</f>
        <v>0</v>
      </c>
      <c r="D29" s="224">
        <f>[15]BEST!D45</f>
        <v>0</v>
      </c>
      <c r="E29" s="224">
        <f>[15]BEST!E45</f>
        <v>0</v>
      </c>
      <c r="F29" s="224">
        <f>[15]BEST!F45</f>
        <v>0</v>
      </c>
      <c r="G29" s="224">
        <f>[15]BEST!G45</f>
        <v>0</v>
      </c>
      <c r="H29" s="224">
        <f>[15]BEST!H45</f>
        <v>0</v>
      </c>
      <c r="I29" s="224">
        <f>[15]BEST!I45</f>
        <v>0</v>
      </c>
      <c r="J29" s="224">
        <f>[15]BEST!J45</f>
        <v>0</v>
      </c>
      <c r="K29" s="224">
        <f>[15]BEST!K45</f>
        <v>0</v>
      </c>
      <c r="L29" s="224">
        <f>[15]BEST!L45</f>
        <v>0</v>
      </c>
      <c r="M29" s="224">
        <f>[15]BEST!M45</f>
        <v>0</v>
      </c>
      <c r="N29" s="224">
        <f>[15]BEST!N45</f>
        <v>0</v>
      </c>
      <c r="O29" s="224">
        <f>[15]BEST!O45</f>
        <v>0</v>
      </c>
      <c r="P29" s="224">
        <f>[15]BEST!P45</f>
        <v>0</v>
      </c>
      <c r="Q29" s="224">
        <f>[15]BEST!Q45</f>
        <v>0</v>
      </c>
      <c r="R29" s="224">
        <f>[15]BEST!R45</f>
        <v>0</v>
      </c>
      <c r="S29" s="224">
        <f>[15]BEST!S45</f>
        <v>0</v>
      </c>
      <c r="T29" s="224">
        <f>[15]BEST!T45</f>
        <v>0</v>
      </c>
      <c r="U29" s="224">
        <f>[15]BEST!U45</f>
        <v>0</v>
      </c>
      <c r="V29" s="224">
        <f>[15]BEST!V45</f>
        <v>0</v>
      </c>
      <c r="W29" s="321">
        <f t="shared" ref="W29:W39" si="3">AVERAGE(M29:V29)</f>
        <v>0</v>
      </c>
      <c r="X29" s="326">
        <f t="shared" ref="X29:X39" si="4">TREND(C29:V29,$C$5:$V$5,2014)</f>
        <v>0</v>
      </c>
      <c r="Y29" s="224"/>
      <c r="Z29" s="224"/>
    </row>
    <row r="30" spans="1:26" x14ac:dyDescent="0.2">
      <c r="A30" s="218" t="s">
        <v>195</v>
      </c>
      <c r="B30" s="224">
        <f>[15]BEST!B46</f>
        <v>0</v>
      </c>
      <c r="C30" s="224">
        <f>[15]BEST!C46</f>
        <v>0</v>
      </c>
      <c r="D30" s="224">
        <f>[15]BEST!D46</f>
        <v>0</v>
      </c>
      <c r="E30" s="224">
        <f>[15]BEST!E46</f>
        <v>0</v>
      </c>
      <c r="F30" s="224">
        <f>[15]BEST!F46</f>
        <v>0</v>
      </c>
      <c r="G30" s="224">
        <f>[15]BEST!G46</f>
        <v>0</v>
      </c>
      <c r="H30" s="224">
        <f>[15]BEST!H46</f>
        <v>0</v>
      </c>
      <c r="I30" s="224">
        <f>[15]BEST!I46</f>
        <v>0</v>
      </c>
      <c r="J30" s="224">
        <f>[15]BEST!J46</f>
        <v>0</v>
      </c>
      <c r="K30" s="224">
        <f>[15]BEST!K46</f>
        <v>0</v>
      </c>
      <c r="L30" s="224">
        <f>[15]BEST!L46</f>
        <v>0</v>
      </c>
      <c r="M30" s="224">
        <f>[15]BEST!M46</f>
        <v>0</v>
      </c>
      <c r="N30" s="224">
        <f>[15]BEST!N46</f>
        <v>0</v>
      </c>
      <c r="O30" s="224">
        <f>[15]BEST!O46</f>
        <v>0</v>
      </c>
      <c r="P30" s="224">
        <f>[15]BEST!P46</f>
        <v>0</v>
      </c>
      <c r="Q30" s="224">
        <f>[15]BEST!Q46</f>
        <v>0</v>
      </c>
      <c r="R30" s="224">
        <f>[15]BEST!R46</f>
        <v>0</v>
      </c>
      <c r="S30" s="224">
        <f>[15]BEST!S46</f>
        <v>0</v>
      </c>
      <c r="T30" s="224">
        <f>[15]BEST!T46</f>
        <v>0</v>
      </c>
      <c r="U30" s="224">
        <f>[15]BEST!U46</f>
        <v>0</v>
      </c>
      <c r="V30" s="224">
        <f>[15]BEST!V46</f>
        <v>0</v>
      </c>
      <c r="W30" s="321">
        <f t="shared" si="3"/>
        <v>0</v>
      </c>
      <c r="X30" s="326">
        <f t="shared" si="4"/>
        <v>0</v>
      </c>
      <c r="Y30" s="224"/>
      <c r="Z30" s="224"/>
    </row>
    <row r="31" spans="1:26" x14ac:dyDescent="0.2">
      <c r="A31" s="218" t="s">
        <v>196</v>
      </c>
      <c r="B31" s="224">
        <f>[15]BEST!B47</f>
        <v>0</v>
      </c>
      <c r="C31" s="224">
        <f>[15]BEST!C47</f>
        <v>0</v>
      </c>
      <c r="D31" s="224">
        <f>[15]BEST!D47</f>
        <v>0</v>
      </c>
      <c r="E31" s="224">
        <f>[15]BEST!E47</f>
        <v>0</v>
      </c>
      <c r="F31" s="224">
        <f>[15]BEST!F47</f>
        <v>0</v>
      </c>
      <c r="G31" s="224">
        <f>[15]BEST!G47</f>
        <v>0</v>
      </c>
      <c r="H31" s="224">
        <f>[15]BEST!H47</f>
        <v>0</v>
      </c>
      <c r="I31" s="224">
        <f>[15]BEST!I47</f>
        <v>0</v>
      </c>
      <c r="J31" s="224">
        <f>[15]BEST!J47</f>
        <v>0</v>
      </c>
      <c r="K31" s="224">
        <f>[15]BEST!K47</f>
        <v>0</v>
      </c>
      <c r="L31" s="224">
        <f>[15]BEST!L47</f>
        <v>0</v>
      </c>
      <c r="M31" s="224">
        <f>[15]BEST!M47</f>
        <v>0</v>
      </c>
      <c r="N31" s="224">
        <f>[15]BEST!N47</f>
        <v>0.5</v>
      </c>
      <c r="O31" s="224">
        <f>[15]BEST!O47</f>
        <v>0</v>
      </c>
      <c r="P31" s="224">
        <f>[15]BEST!P47</f>
        <v>0</v>
      </c>
      <c r="Q31" s="224">
        <f>[15]BEST!Q47</f>
        <v>0</v>
      </c>
      <c r="R31" s="224">
        <f>[15]BEST!R47</f>
        <v>0</v>
      </c>
      <c r="S31" s="224">
        <f>[15]BEST!S47</f>
        <v>0</v>
      </c>
      <c r="T31" s="224">
        <f>[15]BEST!T47</f>
        <v>0</v>
      </c>
      <c r="U31" s="224">
        <f>[15]BEST!U47</f>
        <v>0</v>
      </c>
      <c r="V31" s="224">
        <f>[15]BEST!V47</f>
        <v>0</v>
      </c>
      <c r="W31" s="321">
        <f t="shared" si="3"/>
        <v>0.05</v>
      </c>
      <c r="X31" s="326">
        <f t="shared" si="4"/>
        <v>3.7969924812029987E-2</v>
      </c>
      <c r="Y31" s="224"/>
      <c r="Z31" s="224"/>
    </row>
    <row r="32" spans="1:26" x14ac:dyDescent="0.2">
      <c r="A32" s="218" t="s">
        <v>86</v>
      </c>
      <c r="B32" s="224">
        <f>[15]BEST!B48</f>
        <v>4.8</v>
      </c>
      <c r="C32" s="224">
        <f>[15]BEST!C48</f>
        <v>2.5</v>
      </c>
      <c r="D32" s="224">
        <f>[15]BEST!D48</f>
        <v>7.5</v>
      </c>
      <c r="E32" s="224">
        <f>[15]BEST!E48</f>
        <v>0.8</v>
      </c>
      <c r="F32" s="224">
        <f>[15]BEST!F48</f>
        <v>3.2</v>
      </c>
      <c r="G32" s="224">
        <f>[15]BEST!G48</f>
        <v>0</v>
      </c>
      <c r="H32" s="224">
        <f>[15]BEST!H48</f>
        <v>16.799999999999997</v>
      </c>
      <c r="I32" s="224">
        <f>[15]BEST!I48</f>
        <v>14.1</v>
      </c>
      <c r="J32" s="224">
        <f>[15]BEST!J48</f>
        <v>10.199999999999999</v>
      </c>
      <c r="K32" s="224">
        <f>[15]BEST!K48</f>
        <v>2.2000000000000002</v>
      </c>
      <c r="L32" s="224">
        <f>[15]BEST!L48</f>
        <v>2.4</v>
      </c>
      <c r="M32" s="224">
        <f>[15]BEST!M48</f>
        <v>0</v>
      </c>
      <c r="N32" s="224">
        <f>[15]BEST!N48</f>
        <v>1.2</v>
      </c>
      <c r="O32" s="224">
        <f>[15]BEST!O48</f>
        <v>0</v>
      </c>
      <c r="P32" s="224">
        <f>[15]BEST!P48</f>
        <v>28.3</v>
      </c>
      <c r="Q32" s="224">
        <f>[15]BEST!Q48</f>
        <v>13.6</v>
      </c>
      <c r="R32" s="224">
        <f>[15]BEST!R48</f>
        <v>0</v>
      </c>
      <c r="S32" s="224">
        <f>[15]BEST!S48</f>
        <v>0</v>
      </c>
      <c r="T32" s="224">
        <f>[15]BEST!T48</f>
        <v>22.4</v>
      </c>
      <c r="U32" s="224">
        <f>[15]BEST!U48</f>
        <v>4.0999999999999996</v>
      </c>
      <c r="V32" s="224">
        <f>[15]BEST!V48</f>
        <v>22.400000000000002</v>
      </c>
      <c r="W32" s="321">
        <f t="shared" si="3"/>
        <v>9.1999999999999993</v>
      </c>
      <c r="X32" s="326">
        <f t="shared" si="4"/>
        <v>12.919097744361011</v>
      </c>
      <c r="Y32" s="224"/>
      <c r="Z32" s="224"/>
    </row>
    <row r="33" spans="1:26" x14ac:dyDescent="0.2">
      <c r="A33" s="218" t="s">
        <v>197</v>
      </c>
      <c r="B33" s="224">
        <f>[15]BEST!B49</f>
        <v>21.2</v>
      </c>
      <c r="C33" s="224">
        <f>[15]BEST!C49</f>
        <v>38.6</v>
      </c>
      <c r="D33" s="224">
        <f>[15]BEST!D49</f>
        <v>73</v>
      </c>
      <c r="E33" s="224">
        <f>[15]BEST!E49</f>
        <v>52.05</v>
      </c>
      <c r="F33" s="224">
        <f>[15]BEST!F49</f>
        <v>21.9</v>
      </c>
      <c r="G33" s="224">
        <f>[15]BEST!G49</f>
        <v>64.400000000000006</v>
      </c>
      <c r="H33" s="224">
        <f>[15]BEST!H49</f>
        <v>52.999999999999986</v>
      </c>
      <c r="I33" s="224">
        <f>[15]BEST!I49</f>
        <v>72.599999999999994</v>
      </c>
      <c r="J33" s="224">
        <f>[15]BEST!J49</f>
        <v>33.1</v>
      </c>
      <c r="K33" s="224">
        <f>[15]BEST!K49</f>
        <v>61</v>
      </c>
      <c r="L33" s="224">
        <f>[15]BEST!L49</f>
        <v>54.8</v>
      </c>
      <c r="M33" s="224">
        <f>[15]BEST!M49</f>
        <v>44.6</v>
      </c>
      <c r="N33" s="224">
        <f>[15]BEST!N49</f>
        <v>26.3</v>
      </c>
      <c r="O33" s="224">
        <f>[15]BEST!O49</f>
        <v>107.8</v>
      </c>
      <c r="P33" s="224">
        <f>[15]BEST!P49</f>
        <v>56.8</v>
      </c>
      <c r="Q33" s="224">
        <f>[15]BEST!Q49</f>
        <v>81.7</v>
      </c>
      <c r="R33" s="224">
        <f>[15]BEST!R49</f>
        <v>62.5</v>
      </c>
      <c r="S33" s="224">
        <f>[15]BEST!S49</f>
        <v>33</v>
      </c>
      <c r="T33" s="224">
        <f>[15]BEST!T49</f>
        <v>60.6</v>
      </c>
      <c r="U33" s="224">
        <f>[15]BEST!U49</f>
        <v>41.8</v>
      </c>
      <c r="V33" s="224">
        <f>[15]BEST!V49</f>
        <v>105.60000000000001</v>
      </c>
      <c r="W33" s="321">
        <f t="shared" si="3"/>
        <v>62.070000000000007</v>
      </c>
      <c r="X33" s="326">
        <f t="shared" si="4"/>
        <v>69.372706766917418</v>
      </c>
      <c r="Y33" s="224"/>
      <c r="Z33" s="224"/>
    </row>
    <row r="34" spans="1:26" x14ac:dyDescent="0.2">
      <c r="A34" s="218" t="s">
        <v>198</v>
      </c>
      <c r="B34" s="224">
        <f>[15]BEST!B50</f>
        <v>41.1</v>
      </c>
      <c r="C34" s="224">
        <f>[15]BEST!C50</f>
        <v>136.69999999999999</v>
      </c>
      <c r="D34" s="224">
        <f>[15]BEST!D50</f>
        <v>130.69999999999999</v>
      </c>
      <c r="E34" s="224">
        <f>[15]BEST!E50</f>
        <v>143.94999999999999</v>
      </c>
      <c r="F34" s="224">
        <f>[15]BEST!F50</f>
        <v>77.099999999999994</v>
      </c>
      <c r="G34" s="224">
        <f>[15]BEST!G50</f>
        <v>96.6</v>
      </c>
      <c r="H34" s="224">
        <f>[15]BEST!H50</f>
        <v>141.85</v>
      </c>
      <c r="I34" s="224">
        <f>[15]BEST!I50</f>
        <v>194.4</v>
      </c>
      <c r="J34" s="224">
        <f>[15]BEST!J50</f>
        <v>83.7</v>
      </c>
      <c r="K34" s="224">
        <f>[15]BEST!K50</f>
        <v>89.6</v>
      </c>
      <c r="L34" s="224">
        <f>[15]BEST!L50</f>
        <v>191.6</v>
      </c>
      <c r="M34" s="224">
        <f>[15]BEST!M50</f>
        <v>105</v>
      </c>
      <c r="N34" s="224">
        <f>[15]BEST!N50</f>
        <v>79.3</v>
      </c>
      <c r="O34" s="224">
        <f>[15]BEST!O50</f>
        <v>183.5</v>
      </c>
      <c r="P34" s="224">
        <f>[15]BEST!P50</f>
        <v>161.19999999999999</v>
      </c>
      <c r="Q34" s="224">
        <f>[15]BEST!Q50</f>
        <v>109</v>
      </c>
      <c r="R34" s="224">
        <f>[15]BEST!R50</f>
        <v>115.4</v>
      </c>
      <c r="S34" s="224">
        <f>[15]BEST!S50</f>
        <v>56.8</v>
      </c>
      <c r="T34" s="224">
        <f>[15]BEST!T50</f>
        <v>172</v>
      </c>
      <c r="U34" s="224">
        <f>[15]BEST!U50</f>
        <v>196.9</v>
      </c>
      <c r="V34" s="224">
        <f>[15]BEST!V50</f>
        <v>203.49999999999997</v>
      </c>
      <c r="W34" s="321">
        <f t="shared" si="3"/>
        <v>138.26</v>
      </c>
      <c r="X34" s="326">
        <f t="shared" si="4"/>
        <v>156.02236842105276</v>
      </c>
      <c r="Y34" s="224"/>
      <c r="Z34" s="224"/>
    </row>
    <row r="35" spans="1:26" x14ac:dyDescent="0.2">
      <c r="A35" s="218" t="s">
        <v>199</v>
      </c>
      <c r="B35" s="224">
        <f>[15]BEST!B51</f>
        <v>46.6</v>
      </c>
      <c r="C35" s="224">
        <f>[15]BEST!C51</f>
        <v>122.5</v>
      </c>
      <c r="D35" s="224">
        <f>[15]BEST!D51</f>
        <v>63.5</v>
      </c>
      <c r="E35" s="224">
        <f>[15]BEST!E51</f>
        <v>156</v>
      </c>
      <c r="F35" s="224">
        <f>[15]BEST!F51</f>
        <v>145.44999999999999</v>
      </c>
      <c r="G35" s="224">
        <f>[15]BEST!G51</f>
        <v>71.3</v>
      </c>
      <c r="H35" s="224">
        <f>[15]BEST!H51</f>
        <v>139.69999999999996</v>
      </c>
      <c r="I35" s="224">
        <f>[15]BEST!I51</f>
        <v>90.35</v>
      </c>
      <c r="J35" s="224">
        <f>[15]BEST!J51</f>
        <v>109.1</v>
      </c>
      <c r="K35" s="224">
        <f>[15]BEST!K51</f>
        <v>170.1</v>
      </c>
      <c r="L35" s="224">
        <f>[15]BEST!L51</f>
        <v>155</v>
      </c>
      <c r="M35" s="224">
        <f>[15]BEST!M51</f>
        <v>139.85</v>
      </c>
      <c r="N35" s="224">
        <f>[15]BEST!N51</f>
        <v>85</v>
      </c>
      <c r="O35" s="224">
        <f>[15]BEST!O51</f>
        <v>165.7</v>
      </c>
      <c r="P35" s="224">
        <f>[15]BEST!P51</f>
        <v>97.7</v>
      </c>
      <c r="Q35" s="224">
        <f>[15]BEST!Q51</f>
        <v>142.5</v>
      </c>
      <c r="R35" s="224">
        <f>[15]BEST!R51</f>
        <v>85.7</v>
      </c>
      <c r="S35" s="224">
        <f>[15]BEST!S51</f>
        <v>118.8</v>
      </c>
      <c r="T35" s="224">
        <f>[15]BEST!T51</f>
        <v>150.80000000000001</v>
      </c>
      <c r="U35" s="224">
        <f>[15]BEST!U51</f>
        <v>146.30000000000001</v>
      </c>
      <c r="V35" s="224">
        <f>[15]BEST!V51</f>
        <v>148.69999999999999</v>
      </c>
      <c r="W35" s="321">
        <f t="shared" si="3"/>
        <v>128.10499999999999</v>
      </c>
      <c r="X35" s="326">
        <f t="shared" si="4"/>
        <v>140.14860902255623</v>
      </c>
      <c r="Y35" s="224"/>
      <c r="Z35" s="224"/>
    </row>
    <row r="36" spans="1:26" x14ac:dyDescent="0.2">
      <c r="A36" s="218" t="s">
        <v>200</v>
      </c>
      <c r="B36" s="224">
        <f>[15]BEST!B52</f>
        <v>31.9</v>
      </c>
      <c r="C36" s="224">
        <f>[15]BEST!C52</f>
        <v>25.4</v>
      </c>
      <c r="D36" s="224">
        <f>[15]BEST!D52</f>
        <v>19.600000000000001</v>
      </c>
      <c r="E36" s="224">
        <f>[15]BEST!E52</f>
        <v>29.2</v>
      </c>
      <c r="F36" s="224">
        <f>[15]BEST!F52</f>
        <v>44.75</v>
      </c>
      <c r="G36" s="224">
        <f>[15]BEST!G52</f>
        <v>18.3</v>
      </c>
      <c r="H36" s="224">
        <f>[15]BEST!H52</f>
        <v>64.199999999999989</v>
      </c>
      <c r="I36" s="224">
        <f>[15]BEST!I52</f>
        <v>59.6</v>
      </c>
      <c r="J36" s="224">
        <f>[15]BEST!J52</f>
        <v>50.3</v>
      </c>
      <c r="K36" s="224">
        <f>[15]BEST!K52</f>
        <v>45.2</v>
      </c>
      <c r="L36" s="224">
        <f>[15]BEST!L52</f>
        <v>98.85</v>
      </c>
      <c r="M36" s="224">
        <f>[15]BEST!M52</f>
        <v>27.4</v>
      </c>
      <c r="N36" s="224">
        <f>[15]BEST!N52</f>
        <v>65.3</v>
      </c>
      <c r="O36" s="224">
        <f>[15]BEST!O52</f>
        <v>76.599999999999994</v>
      </c>
      <c r="P36" s="224">
        <f>[15]BEST!P52</f>
        <v>17</v>
      </c>
      <c r="Q36" s="224">
        <f>[15]BEST!Q52</f>
        <v>54.7</v>
      </c>
      <c r="R36" s="224">
        <f>[15]BEST!R52</f>
        <v>39.6</v>
      </c>
      <c r="S36" s="224">
        <f>[15]BEST!S52</f>
        <v>30.7</v>
      </c>
      <c r="T36" s="224">
        <f>[15]BEST!T52</f>
        <v>40.200000000000003</v>
      </c>
      <c r="U36" s="224">
        <f>[15]BEST!U52</f>
        <v>39.9</v>
      </c>
      <c r="V36" s="224">
        <f>[15]BEST!V52</f>
        <v>50.29999999999999</v>
      </c>
      <c r="W36" s="321">
        <f t="shared" si="3"/>
        <v>44.17</v>
      </c>
      <c r="X36" s="326">
        <f t="shared" si="4"/>
        <v>51.525864661654168</v>
      </c>
      <c r="Y36" s="224"/>
      <c r="Z36" s="224"/>
    </row>
    <row r="37" spans="1:26" x14ac:dyDescent="0.2">
      <c r="A37" s="218" t="s">
        <v>201</v>
      </c>
      <c r="B37" s="224">
        <f>[15]BEST!B53</f>
        <v>0</v>
      </c>
      <c r="C37" s="224">
        <f>[15]BEST!C53</f>
        <v>1.4</v>
      </c>
      <c r="D37" s="224">
        <f>[15]BEST!D53</f>
        <v>1.9</v>
      </c>
      <c r="E37" s="224">
        <f>[15]BEST!E53</f>
        <v>12.6</v>
      </c>
      <c r="F37" s="224">
        <f>[15]BEST!F53</f>
        <v>7.3</v>
      </c>
      <c r="G37" s="224">
        <f>[15]BEST!G53</f>
        <v>2.1</v>
      </c>
      <c r="H37" s="224">
        <f>[15]BEST!H53</f>
        <v>0.3</v>
      </c>
      <c r="I37" s="224">
        <f>[15]BEST!I53</f>
        <v>1</v>
      </c>
      <c r="J37" s="224">
        <f>[15]BEST!J53</f>
        <v>2.2000000000000002</v>
      </c>
      <c r="K37" s="224">
        <f>[15]BEST!K53</f>
        <v>3.8</v>
      </c>
      <c r="L37" s="224">
        <f>[15]BEST!L53</f>
        <v>11.4</v>
      </c>
      <c r="M37" s="224">
        <f>[15]BEST!M53</f>
        <v>0</v>
      </c>
      <c r="N37" s="224">
        <f>[15]BEST!N53</f>
        <v>2.6</v>
      </c>
      <c r="O37" s="224">
        <f>[15]BEST!O53</f>
        <v>10.7</v>
      </c>
      <c r="P37" s="224">
        <f>[15]BEST!P53</f>
        <v>0.4</v>
      </c>
      <c r="Q37" s="224">
        <f>[15]BEST!Q53</f>
        <v>20.6</v>
      </c>
      <c r="R37" s="224">
        <f>[15]BEST!R53</f>
        <v>0.4</v>
      </c>
      <c r="S37" s="224">
        <f>[15]BEST!S53</f>
        <v>0</v>
      </c>
      <c r="T37" s="224">
        <f>[15]BEST!T53</f>
        <v>1.2</v>
      </c>
      <c r="U37" s="224">
        <f>[15]BEST!U53</f>
        <v>4.2</v>
      </c>
      <c r="V37" s="224">
        <f>[15]BEST!V53</f>
        <v>2.6</v>
      </c>
      <c r="W37" s="321">
        <f t="shared" si="3"/>
        <v>4.2700000000000005</v>
      </c>
      <c r="X37" s="326">
        <f t="shared" si="4"/>
        <v>4.1906015037593995</v>
      </c>
      <c r="Y37" s="224"/>
      <c r="Z37" s="224"/>
    </row>
    <row r="38" spans="1:26" x14ac:dyDescent="0.2">
      <c r="A38" s="218" t="s">
        <v>202</v>
      </c>
      <c r="B38" s="224">
        <f>[15]BEST!B54</f>
        <v>0</v>
      </c>
      <c r="C38" s="224">
        <f>[15]BEST!C54</f>
        <v>0</v>
      </c>
      <c r="D38" s="224">
        <f>[15]BEST!D54</f>
        <v>0</v>
      </c>
      <c r="E38" s="224">
        <f>[15]BEST!E54</f>
        <v>0</v>
      </c>
      <c r="F38" s="224">
        <f>[15]BEST!F54</f>
        <v>0</v>
      </c>
      <c r="G38" s="224">
        <f>[15]BEST!G54</f>
        <v>0</v>
      </c>
      <c r="H38" s="224">
        <f>[15]BEST!H54</f>
        <v>0</v>
      </c>
      <c r="I38" s="224">
        <f>[15]BEST!I54</f>
        <v>0</v>
      </c>
      <c r="J38" s="224">
        <f>[15]BEST!J54</f>
        <v>0</v>
      </c>
      <c r="K38" s="224">
        <f>[15]BEST!K54</f>
        <v>0</v>
      </c>
      <c r="L38" s="224">
        <f>[15]BEST!L54</f>
        <v>0</v>
      </c>
      <c r="M38" s="224">
        <f>[15]BEST!M54</f>
        <v>0</v>
      </c>
      <c r="N38" s="224">
        <f>[15]BEST!N54</f>
        <v>0</v>
      </c>
      <c r="O38" s="224">
        <f>[15]BEST!O54</f>
        <v>0</v>
      </c>
      <c r="P38" s="224">
        <f>[15]BEST!P54</f>
        <v>0</v>
      </c>
      <c r="Q38" s="224">
        <f>[15]BEST!Q54</f>
        <v>0</v>
      </c>
      <c r="R38" s="224">
        <f>[15]BEST!R54</f>
        <v>0</v>
      </c>
      <c r="S38" s="224">
        <f>[15]BEST!S54</f>
        <v>0</v>
      </c>
      <c r="T38" s="224">
        <f>[15]BEST!T54</f>
        <v>0</v>
      </c>
      <c r="U38" s="224">
        <f>[15]BEST!U54</f>
        <v>0</v>
      </c>
      <c r="V38" s="224">
        <f>[15]BEST!V54</f>
        <v>0</v>
      </c>
      <c r="W38" s="321">
        <f t="shared" si="3"/>
        <v>0</v>
      </c>
      <c r="X38" s="326">
        <f t="shared" si="4"/>
        <v>0</v>
      </c>
      <c r="Y38" s="224"/>
      <c r="Z38" s="224"/>
    </row>
    <row r="39" spans="1:26" x14ac:dyDescent="0.2">
      <c r="A39" s="218" t="s">
        <v>203</v>
      </c>
      <c r="B39" s="224">
        <f>[15]BEST!B55</f>
        <v>0</v>
      </c>
      <c r="C39" s="224">
        <f>[15]BEST!C55</f>
        <v>0</v>
      </c>
      <c r="D39" s="224">
        <f>[15]BEST!D55</f>
        <v>0</v>
      </c>
      <c r="E39" s="224">
        <f>[15]BEST!E55</f>
        <v>0</v>
      </c>
      <c r="F39" s="224">
        <f>[15]BEST!F55</f>
        <v>0</v>
      </c>
      <c r="G39" s="224">
        <f>[15]BEST!G55</f>
        <v>0</v>
      </c>
      <c r="H39" s="224">
        <f>[15]BEST!H55</f>
        <v>0</v>
      </c>
      <c r="I39" s="224">
        <f>[15]BEST!I55</f>
        <v>0</v>
      </c>
      <c r="J39" s="224">
        <f>[15]BEST!J55</f>
        <v>0</v>
      </c>
      <c r="K39" s="224">
        <f>[15]BEST!K55</f>
        <v>0</v>
      </c>
      <c r="L39" s="224">
        <f>[15]BEST!L55</f>
        <v>0</v>
      </c>
      <c r="M39" s="224">
        <f>[15]BEST!M55</f>
        <v>0</v>
      </c>
      <c r="N39" s="224">
        <f>[15]BEST!N55</f>
        <v>0</v>
      </c>
      <c r="O39" s="224">
        <f>[15]BEST!O55</f>
        <v>0</v>
      </c>
      <c r="P39" s="224">
        <f>[15]BEST!P55</f>
        <v>0</v>
      </c>
      <c r="Q39" s="224">
        <f>[15]BEST!Q55</f>
        <v>0</v>
      </c>
      <c r="R39" s="224">
        <f>[15]BEST!R55</f>
        <v>0</v>
      </c>
      <c r="S39" s="224">
        <f>[15]BEST!S55</f>
        <v>0</v>
      </c>
      <c r="T39" s="224">
        <f>[15]BEST!T55</f>
        <v>0</v>
      </c>
      <c r="U39" s="224">
        <f>[15]BEST!U55</f>
        <v>0</v>
      </c>
      <c r="V39" s="224">
        <f>[15]BEST!V55</f>
        <v>0</v>
      </c>
      <c r="W39" s="321">
        <f t="shared" si="3"/>
        <v>0</v>
      </c>
      <c r="X39" s="326">
        <f t="shared" si="4"/>
        <v>0</v>
      </c>
      <c r="Y39" s="224"/>
      <c r="Z39" s="224"/>
    </row>
    <row r="40" spans="1:26" x14ac:dyDescent="0.2">
      <c r="A40" s="218"/>
      <c r="B40" s="218"/>
      <c r="C40" s="218"/>
      <c r="D40" s="218"/>
      <c r="E40" s="218"/>
      <c r="F40" s="217"/>
      <c r="G40" s="217"/>
      <c r="H40" s="217"/>
      <c r="I40" s="217"/>
      <c r="W40" s="319"/>
      <c r="X40" s="324"/>
    </row>
    <row r="41" spans="1:26" ht="13.5" thickBot="1" x14ac:dyDescent="0.25">
      <c r="A41" s="218" t="s">
        <v>9</v>
      </c>
      <c r="B41" s="226">
        <f t="shared" ref="B41:V41" si="5">SUM(B28:B40)</f>
        <v>145.6</v>
      </c>
      <c r="C41" s="226">
        <f t="shared" si="5"/>
        <v>327.09999999999991</v>
      </c>
      <c r="D41" s="226">
        <f t="shared" si="5"/>
        <v>296.2</v>
      </c>
      <c r="E41" s="226">
        <f t="shared" si="5"/>
        <v>394.59999999999997</v>
      </c>
      <c r="F41" s="226">
        <f t="shared" si="5"/>
        <v>299.7</v>
      </c>
      <c r="G41" s="226">
        <f t="shared" si="5"/>
        <v>252.70000000000002</v>
      </c>
      <c r="H41" s="226">
        <f t="shared" si="5"/>
        <v>415.84999999999991</v>
      </c>
      <c r="I41" s="226">
        <f t="shared" si="5"/>
        <v>432.05000000000007</v>
      </c>
      <c r="J41" s="226">
        <f t="shared" si="5"/>
        <v>288.59999999999997</v>
      </c>
      <c r="K41" s="226">
        <f t="shared" si="5"/>
        <v>371.9</v>
      </c>
      <c r="L41" s="226">
        <f t="shared" si="5"/>
        <v>514.04999999999995</v>
      </c>
      <c r="M41" s="226">
        <f t="shared" si="5"/>
        <v>316.84999999999997</v>
      </c>
      <c r="N41" s="226">
        <f t="shared" si="5"/>
        <v>260.20000000000005</v>
      </c>
      <c r="O41" s="226">
        <f t="shared" si="5"/>
        <v>544.30000000000007</v>
      </c>
      <c r="P41" s="226">
        <f t="shared" si="5"/>
        <v>361.4</v>
      </c>
      <c r="Q41" s="226">
        <f t="shared" si="5"/>
        <v>422.1</v>
      </c>
      <c r="R41" s="226">
        <f t="shared" si="5"/>
        <v>303.60000000000002</v>
      </c>
      <c r="S41" s="226">
        <f t="shared" si="5"/>
        <v>239.29999999999998</v>
      </c>
      <c r="T41" s="226">
        <f t="shared" si="5"/>
        <v>447.2</v>
      </c>
      <c r="U41" s="226">
        <f t="shared" si="5"/>
        <v>433.2</v>
      </c>
      <c r="V41" s="226">
        <f t="shared" si="5"/>
        <v>533.1</v>
      </c>
      <c r="W41" s="322">
        <f>SUM(W28:W39)</f>
        <v>386.12499999999994</v>
      </c>
      <c r="X41" s="327">
        <f>SUM(X28:X39)</f>
        <v>434.21721804511304</v>
      </c>
    </row>
    <row r="42" spans="1:26" ht="13.5" thickTop="1" x14ac:dyDescent="0.2">
      <c r="A42" s="218"/>
      <c r="B42" s="218"/>
      <c r="C42" s="218"/>
      <c r="D42" s="218"/>
      <c r="E42" s="218"/>
      <c r="F42" s="217"/>
      <c r="G42" s="217"/>
      <c r="H42" s="217"/>
      <c r="I42" s="217"/>
    </row>
    <row r="43" spans="1:26" x14ac:dyDescent="0.2">
      <c r="A43" s="218"/>
      <c r="B43" s="218"/>
      <c r="C43" s="218"/>
      <c r="D43" s="218"/>
      <c r="E43" s="218"/>
      <c r="F43" s="217"/>
      <c r="G43" s="217"/>
      <c r="H43" s="217"/>
      <c r="I43" s="217"/>
    </row>
    <row r="44" spans="1:26" x14ac:dyDescent="0.2">
      <c r="A44" s="223"/>
      <c r="B44" s="223"/>
      <c r="C44" s="223"/>
      <c r="D44" s="223"/>
      <c r="E44" s="223"/>
      <c r="F44" s="217"/>
      <c r="G44" s="21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Z120"/>
  <sheetViews>
    <sheetView topLeftCell="A88" workbookViewId="0">
      <selection activeCell="I75" sqref="I75"/>
    </sheetView>
  </sheetViews>
  <sheetFormatPr defaultRowHeight="12.75" x14ac:dyDescent="0.2"/>
  <sheetData>
    <row r="1" spans="1:24" x14ac:dyDescent="0.2">
      <c r="A1" s="20" t="s">
        <v>210</v>
      </c>
      <c r="F1" s="212"/>
      <c r="G1" s="212"/>
    </row>
    <row r="2" spans="1:24" x14ac:dyDescent="0.2">
      <c r="B2" s="213"/>
      <c r="F2" s="212"/>
      <c r="G2" s="212"/>
    </row>
    <row r="3" spans="1:24" x14ac:dyDescent="0.2">
      <c r="A3" s="223" t="s">
        <v>77</v>
      </c>
      <c r="B3" s="223"/>
      <c r="C3" s="223"/>
      <c r="D3" s="223"/>
      <c r="E3" s="223"/>
      <c r="F3" s="217"/>
      <c r="G3" s="217"/>
    </row>
    <row r="4" spans="1:24" x14ac:dyDescent="0.2">
      <c r="A4" s="264" t="s">
        <v>211</v>
      </c>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v>352</v>
      </c>
      <c r="C8" s="219">
        <v>320</v>
      </c>
      <c r="D8" s="219">
        <v>320</v>
      </c>
      <c r="E8" s="219">
        <v>336</v>
      </c>
      <c r="F8" s="219">
        <v>352</v>
      </c>
      <c r="G8" s="219">
        <v>352</v>
      </c>
      <c r="H8" s="219">
        <v>336</v>
      </c>
      <c r="I8" s="219">
        <v>320</v>
      </c>
      <c r="J8" s="219">
        <v>320</v>
      </c>
      <c r="K8" s="219">
        <v>352</v>
      </c>
      <c r="L8" s="219">
        <v>352</v>
      </c>
      <c r="M8" s="219">
        <v>352</v>
      </c>
      <c r="N8" s="219">
        <v>336</v>
      </c>
      <c r="O8" s="219">
        <v>320</v>
      </c>
      <c r="P8" s="219">
        <v>336</v>
      </c>
      <c r="Q8" s="219">
        <v>352</v>
      </c>
      <c r="R8" s="219">
        <v>352</v>
      </c>
      <c r="S8" s="219">
        <v>336</v>
      </c>
      <c r="T8" s="219">
        <v>320</v>
      </c>
      <c r="U8" s="219">
        <v>336</v>
      </c>
      <c r="V8" s="219">
        <v>336</v>
      </c>
      <c r="W8" s="219">
        <v>352</v>
      </c>
      <c r="X8" s="219">
        <v>352</v>
      </c>
    </row>
    <row r="9" spans="1:24" x14ac:dyDescent="0.2">
      <c r="A9" s="218" t="s">
        <v>194</v>
      </c>
      <c r="B9" s="219">
        <v>320</v>
      </c>
      <c r="C9" s="219">
        <v>320</v>
      </c>
      <c r="D9" s="219">
        <v>320</v>
      </c>
      <c r="E9" s="219">
        <v>320</v>
      </c>
      <c r="F9" s="219">
        <v>336</v>
      </c>
      <c r="G9" s="219">
        <v>320</v>
      </c>
      <c r="H9" s="219">
        <v>320</v>
      </c>
      <c r="I9" s="219">
        <v>320</v>
      </c>
      <c r="J9" s="219">
        <v>336</v>
      </c>
      <c r="K9" s="219">
        <v>320</v>
      </c>
      <c r="L9" s="219">
        <v>320</v>
      </c>
      <c r="M9" s="219">
        <v>320</v>
      </c>
      <c r="N9" s="219">
        <v>320</v>
      </c>
      <c r="O9" s="219">
        <v>320</v>
      </c>
      <c r="P9" s="219">
        <v>320</v>
      </c>
      <c r="Q9" s="219">
        <v>320</v>
      </c>
      <c r="R9" s="219">
        <v>320</v>
      </c>
      <c r="S9" s="219">
        <v>304</v>
      </c>
      <c r="T9" s="219">
        <v>304</v>
      </c>
      <c r="U9" s="219">
        <v>304</v>
      </c>
      <c r="V9" s="219">
        <v>320</v>
      </c>
      <c r="W9" s="219">
        <v>304</v>
      </c>
      <c r="X9" s="219">
        <v>304</v>
      </c>
    </row>
    <row r="10" spans="1:24" x14ac:dyDescent="0.2">
      <c r="A10" s="218" t="s">
        <v>195</v>
      </c>
      <c r="B10" s="219">
        <v>352</v>
      </c>
      <c r="C10" s="219">
        <v>368</v>
      </c>
      <c r="D10" s="219">
        <v>368</v>
      </c>
      <c r="E10" s="219">
        <v>368</v>
      </c>
      <c r="F10" s="219">
        <v>336</v>
      </c>
      <c r="G10" s="219">
        <v>304</v>
      </c>
      <c r="H10" s="219">
        <v>352</v>
      </c>
      <c r="I10" s="219">
        <v>368</v>
      </c>
      <c r="J10" s="219">
        <v>368</v>
      </c>
      <c r="K10" s="219">
        <v>352</v>
      </c>
      <c r="L10" s="219">
        <v>320</v>
      </c>
      <c r="M10" s="219">
        <v>336</v>
      </c>
      <c r="N10" s="219">
        <v>368</v>
      </c>
      <c r="O10" s="219">
        <v>352</v>
      </c>
      <c r="P10" s="219">
        <v>368</v>
      </c>
      <c r="Q10" s="219">
        <v>352</v>
      </c>
      <c r="R10" s="219">
        <v>304</v>
      </c>
      <c r="S10" s="219">
        <v>352</v>
      </c>
      <c r="T10" s="219">
        <v>368</v>
      </c>
      <c r="U10" s="219">
        <v>368</v>
      </c>
      <c r="V10" s="219">
        <v>352</v>
      </c>
      <c r="W10" s="219">
        <v>320</v>
      </c>
      <c r="X10" s="219">
        <v>336</v>
      </c>
    </row>
    <row r="11" spans="1:24" x14ac:dyDescent="0.2">
      <c r="A11" s="218" t="s">
        <v>196</v>
      </c>
      <c r="B11" s="219">
        <v>320</v>
      </c>
      <c r="C11" s="219">
        <v>320</v>
      </c>
      <c r="D11" s="219">
        <v>304</v>
      </c>
      <c r="E11" s="219">
        <v>288</v>
      </c>
      <c r="F11" s="219">
        <v>336</v>
      </c>
      <c r="G11" s="219">
        <v>352</v>
      </c>
      <c r="H11" s="219">
        <v>336</v>
      </c>
      <c r="I11" s="219">
        <v>336</v>
      </c>
      <c r="J11" s="219">
        <v>304</v>
      </c>
      <c r="K11" s="219">
        <v>320</v>
      </c>
      <c r="L11" s="219">
        <v>352</v>
      </c>
      <c r="M11" s="219">
        <v>336</v>
      </c>
      <c r="N11" s="219">
        <v>336</v>
      </c>
      <c r="O11" s="219">
        <v>336</v>
      </c>
      <c r="P11" s="219">
        <v>304</v>
      </c>
      <c r="Q11" s="219">
        <v>320</v>
      </c>
      <c r="R11" s="219">
        <v>352</v>
      </c>
      <c r="S11" s="219">
        <v>320</v>
      </c>
      <c r="T11" s="219">
        <v>320</v>
      </c>
      <c r="U11" s="219">
        <v>320</v>
      </c>
      <c r="V11" s="219">
        <v>320</v>
      </c>
      <c r="W11" s="219">
        <v>352</v>
      </c>
      <c r="X11" s="219">
        <v>320</v>
      </c>
    </row>
    <row r="12" spans="1:24" x14ac:dyDescent="0.2">
      <c r="A12" s="218" t="s">
        <v>86</v>
      </c>
      <c r="B12" s="219">
        <v>352</v>
      </c>
      <c r="C12" s="219">
        <v>320</v>
      </c>
      <c r="D12" s="219">
        <v>336</v>
      </c>
      <c r="E12" s="219">
        <v>352</v>
      </c>
      <c r="F12" s="219">
        <v>352</v>
      </c>
      <c r="G12" s="219">
        <v>336</v>
      </c>
      <c r="H12" s="219">
        <v>320</v>
      </c>
      <c r="I12" s="219">
        <v>320</v>
      </c>
      <c r="J12" s="219">
        <v>352</v>
      </c>
      <c r="K12" s="219">
        <v>352</v>
      </c>
      <c r="L12" s="219">
        <v>352</v>
      </c>
      <c r="M12" s="219">
        <v>336</v>
      </c>
      <c r="N12" s="219">
        <v>320</v>
      </c>
      <c r="O12" s="219">
        <v>336</v>
      </c>
      <c r="P12" s="219">
        <v>352</v>
      </c>
      <c r="Q12" s="219">
        <v>352</v>
      </c>
      <c r="R12" s="219">
        <v>336</v>
      </c>
      <c r="S12" s="219">
        <v>320</v>
      </c>
      <c r="T12" s="219">
        <v>320</v>
      </c>
      <c r="U12" s="219">
        <v>336</v>
      </c>
      <c r="V12" s="219">
        <v>352</v>
      </c>
      <c r="W12" s="219">
        <v>352</v>
      </c>
      <c r="X12" s="219">
        <v>336</v>
      </c>
    </row>
    <row r="13" spans="1:24" x14ac:dyDescent="0.2">
      <c r="A13" s="218" t="s">
        <v>197</v>
      </c>
      <c r="B13" s="219">
        <v>352</v>
      </c>
      <c r="C13" s="219">
        <v>352</v>
      </c>
      <c r="D13" s="219">
        <v>352</v>
      </c>
      <c r="E13" s="219">
        <v>352</v>
      </c>
      <c r="F13" s="219">
        <v>320</v>
      </c>
      <c r="G13" s="219">
        <v>336</v>
      </c>
      <c r="H13" s="219">
        <v>352</v>
      </c>
      <c r="I13" s="219">
        <v>352</v>
      </c>
      <c r="J13" s="219">
        <v>352</v>
      </c>
      <c r="K13" s="219">
        <v>336</v>
      </c>
      <c r="L13" s="219">
        <v>320</v>
      </c>
      <c r="M13" s="219">
        <v>336</v>
      </c>
      <c r="N13" s="219">
        <v>352</v>
      </c>
      <c r="O13" s="219">
        <v>352</v>
      </c>
      <c r="P13" s="219">
        <v>352</v>
      </c>
      <c r="Q13" s="219">
        <v>336</v>
      </c>
      <c r="R13" s="219">
        <v>336</v>
      </c>
      <c r="S13" s="219">
        <v>352</v>
      </c>
      <c r="T13" s="219">
        <v>352</v>
      </c>
      <c r="U13" s="219">
        <v>352</v>
      </c>
      <c r="V13" s="219">
        <v>336</v>
      </c>
      <c r="W13" s="219">
        <v>320</v>
      </c>
      <c r="X13" s="219">
        <v>336</v>
      </c>
    </row>
    <row r="14" spans="1:24" x14ac:dyDescent="0.2">
      <c r="A14" s="218" t="s">
        <v>198</v>
      </c>
      <c r="B14" s="219">
        <v>352</v>
      </c>
      <c r="C14" s="219">
        <v>336</v>
      </c>
      <c r="D14" s="219">
        <v>320</v>
      </c>
      <c r="E14" s="219">
        <v>320</v>
      </c>
      <c r="F14" s="219">
        <v>352</v>
      </c>
      <c r="G14" s="219">
        <v>352</v>
      </c>
      <c r="H14" s="219">
        <v>352</v>
      </c>
      <c r="I14" s="219">
        <v>336</v>
      </c>
      <c r="J14" s="219">
        <v>320</v>
      </c>
      <c r="K14" s="219">
        <v>336</v>
      </c>
      <c r="L14" s="219">
        <v>352</v>
      </c>
      <c r="M14" s="219">
        <v>352</v>
      </c>
      <c r="N14" s="219">
        <v>336</v>
      </c>
      <c r="O14" s="219">
        <v>320</v>
      </c>
      <c r="P14" s="219">
        <v>320</v>
      </c>
      <c r="Q14" s="219">
        <v>336</v>
      </c>
      <c r="R14" s="219">
        <v>352</v>
      </c>
      <c r="S14" s="219">
        <v>352</v>
      </c>
      <c r="T14" s="219">
        <v>336</v>
      </c>
      <c r="U14" s="219">
        <v>320</v>
      </c>
      <c r="V14" s="219">
        <v>336</v>
      </c>
      <c r="W14" s="219">
        <v>352</v>
      </c>
      <c r="X14" s="219">
        <v>352</v>
      </c>
    </row>
    <row r="15" spans="1:24" x14ac:dyDescent="0.2">
      <c r="A15" s="218" t="s">
        <v>199</v>
      </c>
      <c r="B15" s="219">
        <v>320</v>
      </c>
      <c r="C15" s="219">
        <v>336</v>
      </c>
      <c r="D15" s="219">
        <v>352</v>
      </c>
      <c r="E15" s="219">
        <v>352</v>
      </c>
      <c r="F15" s="219">
        <v>336</v>
      </c>
      <c r="G15" s="219">
        <v>320</v>
      </c>
      <c r="H15" s="219">
        <v>320</v>
      </c>
      <c r="I15" s="219">
        <v>336</v>
      </c>
      <c r="J15" s="219">
        <v>352</v>
      </c>
      <c r="K15" s="219">
        <v>352</v>
      </c>
      <c r="L15" s="219">
        <v>336</v>
      </c>
      <c r="M15" s="219">
        <v>320</v>
      </c>
      <c r="N15" s="219">
        <v>336</v>
      </c>
      <c r="O15" s="219">
        <v>352</v>
      </c>
      <c r="P15" s="219">
        <v>352</v>
      </c>
      <c r="Q15" s="219">
        <v>352</v>
      </c>
      <c r="R15" s="219">
        <v>320</v>
      </c>
      <c r="S15" s="219">
        <v>320</v>
      </c>
      <c r="T15" s="219">
        <v>336</v>
      </c>
      <c r="U15" s="219">
        <v>352</v>
      </c>
      <c r="V15" s="219">
        <v>352</v>
      </c>
      <c r="W15" s="219">
        <v>336</v>
      </c>
      <c r="X15" s="219">
        <v>320</v>
      </c>
    </row>
    <row r="16" spans="1:24" x14ac:dyDescent="0.2">
      <c r="A16" s="218" t="s">
        <v>200</v>
      </c>
      <c r="B16" s="219">
        <v>352</v>
      </c>
      <c r="C16" s="219">
        <v>336</v>
      </c>
      <c r="D16" s="219">
        <v>336</v>
      </c>
      <c r="E16" s="219">
        <v>320</v>
      </c>
      <c r="F16" s="219">
        <v>320</v>
      </c>
      <c r="G16" s="219">
        <v>336</v>
      </c>
      <c r="H16" s="219">
        <v>336</v>
      </c>
      <c r="I16" s="219">
        <v>336</v>
      </c>
      <c r="J16" s="219">
        <v>320</v>
      </c>
      <c r="K16" s="219">
        <v>304</v>
      </c>
      <c r="L16" s="219">
        <v>320</v>
      </c>
      <c r="M16" s="219">
        <v>336</v>
      </c>
      <c r="N16" s="219">
        <v>336</v>
      </c>
      <c r="O16" s="219">
        <v>336</v>
      </c>
      <c r="P16" s="219">
        <v>320</v>
      </c>
      <c r="Q16" s="219">
        <v>304</v>
      </c>
      <c r="R16" s="219">
        <v>336</v>
      </c>
      <c r="S16" s="219">
        <v>336</v>
      </c>
      <c r="T16" s="219">
        <v>336</v>
      </c>
      <c r="U16" s="219">
        <v>336</v>
      </c>
      <c r="V16" s="219">
        <v>304</v>
      </c>
      <c r="W16" s="219">
        <v>320</v>
      </c>
      <c r="X16" s="219">
        <v>336</v>
      </c>
    </row>
    <row r="17" spans="1:24" x14ac:dyDescent="0.2">
      <c r="A17" s="218" t="s">
        <v>201</v>
      </c>
      <c r="B17" s="219">
        <v>336</v>
      </c>
      <c r="C17" s="219">
        <v>336</v>
      </c>
      <c r="D17" s="219">
        <v>320</v>
      </c>
      <c r="E17" s="219">
        <v>336</v>
      </c>
      <c r="F17" s="219">
        <v>352</v>
      </c>
      <c r="G17" s="219">
        <v>352</v>
      </c>
      <c r="H17" s="219">
        <v>336</v>
      </c>
      <c r="I17" s="219">
        <v>320</v>
      </c>
      <c r="J17" s="219">
        <v>336</v>
      </c>
      <c r="K17" s="219">
        <v>352</v>
      </c>
      <c r="L17" s="219">
        <v>352</v>
      </c>
      <c r="M17" s="219">
        <v>352</v>
      </c>
      <c r="N17" s="219">
        <v>320</v>
      </c>
      <c r="O17" s="219">
        <v>320</v>
      </c>
      <c r="P17" s="219">
        <v>336</v>
      </c>
      <c r="Q17" s="219">
        <v>352</v>
      </c>
      <c r="R17" s="219">
        <v>352</v>
      </c>
      <c r="S17" s="219">
        <v>336</v>
      </c>
      <c r="T17" s="219">
        <v>320</v>
      </c>
      <c r="U17" s="219">
        <v>320</v>
      </c>
      <c r="V17" s="219">
        <v>352</v>
      </c>
      <c r="W17" s="219">
        <v>352</v>
      </c>
      <c r="X17" s="219">
        <v>352</v>
      </c>
    </row>
    <row r="18" spans="1:24" x14ac:dyDescent="0.2">
      <c r="A18" s="218" t="s">
        <v>202</v>
      </c>
      <c r="B18" s="219">
        <v>336</v>
      </c>
      <c r="C18" s="219">
        <v>352</v>
      </c>
      <c r="D18" s="219">
        <v>352</v>
      </c>
      <c r="E18" s="219">
        <v>352</v>
      </c>
      <c r="F18" s="219">
        <v>320</v>
      </c>
      <c r="G18" s="219">
        <v>304</v>
      </c>
      <c r="H18" s="219">
        <v>336</v>
      </c>
      <c r="I18" s="219">
        <v>352</v>
      </c>
      <c r="J18" s="219">
        <v>352</v>
      </c>
      <c r="K18" s="219">
        <v>352</v>
      </c>
      <c r="L18" s="219">
        <v>336</v>
      </c>
      <c r="M18" s="219">
        <v>320</v>
      </c>
      <c r="N18" s="219">
        <v>352</v>
      </c>
      <c r="O18" s="219">
        <v>352</v>
      </c>
      <c r="P18" s="219">
        <v>352</v>
      </c>
      <c r="Q18" s="219">
        <v>352</v>
      </c>
      <c r="R18" s="219">
        <v>304</v>
      </c>
      <c r="S18" s="219">
        <v>320</v>
      </c>
      <c r="T18" s="219">
        <v>336</v>
      </c>
      <c r="U18" s="219">
        <v>352</v>
      </c>
      <c r="V18" s="219">
        <v>352</v>
      </c>
      <c r="W18" s="219">
        <v>336</v>
      </c>
      <c r="X18" s="219">
        <v>320</v>
      </c>
    </row>
    <row r="19" spans="1:24" x14ac:dyDescent="0.2">
      <c r="A19" s="218" t="s">
        <v>203</v>
      </c>
      <c r="B19" s="219">
        <v>336</v>
      </c>
      <c r="C19" s="219">
        <v>336</v>
      </c>
      <c r="D19" s="219">
        <v>320</v>
      </c>
      <c r="E19" s="219">
        <v>304</v>
      </c>
      <c r="F19" s="219">
        <v>320</v>
      </c>
      <c r="G19" s="219">
        <v>336</v>
      </c>
      <c r="H19" s="219">
        <v>336</v>
      </c>
      <c r="I19" s="219">
        <v>336</v>
      </c>
      <c r="J19" s="219">
        <v>304</v>
      </c>
      <c r="K19" s="219">
        <v>304</v>
      </c>
      <c r="L19" s="219">
        <v>320</v>
      </c>
      <c r="M19" s="219">
        <v>336</v>
      </c>
      <c r="N19" s="219">
        <v>336</v>
      </c>
      <c r="O19" s="219">
        <v>320</v>
      </c>
      <c r="P19" s="219">
        <v>304</v>
      </c>
      <c r="Q19" s="219">
        <v>304</v>
      </c>
      <c r="R19" s="219">
        <v>336</v>
      </c>
      <c r="S19" s="219">
        <v>352</v>
      </c>
      <c r="T19" s="219">
        <v>368</v>
      </c>
      <c r="U19" s="219">
        <v>336</v>
      </c>
      <c r="V19" s="219">
        <v>304</v>
      </c>
      <c r="W19" s="219">
        <v>320</v>
      </c>
      <c r="X19" s="219">
        <v>336</v>
      </c>
    </row>
    <row r="20" spans="1:24" x14ac:dyDescent="0.2">
      <c r="A20" s="218"/>
      <c r="B20" s="218"/>
      <c r="C20" s="218"/>
      <c r="D20" s="218"/>
      <c r="E20" s="218"/>
      <c r="F20" s="265"/>
      <c r="G20" s="212"/>
      <c r="I20" s="65"/>
      <c r="R20" s="219"/>
      <c r="W20" s="65"/>
      <c r="X20" s="65"/>
    </row>
    <row r="21" spans="1:24" ht="13.5" thickBot="1" x14ac:dyDescent="0.25">
      <c r="A21" s="218" t="s">
        <v>9</v>
      </c>
      <c r="B21" s="220">
        <f t="shared" ref="B21:X21" si="0">SUM(B8:B20)</f>
        <v>4080</v>
      </c>
      <c r="C21" s="220">
        <f t="shared" si="0"/>
        <v>4032</v>
      </c>
      <c r="D21" s="220">
        <f t="shared" si="0"/>
        <v>4000</v>
      </c>
      <c r="E21" s="220">
        <f t="shared" si="0"/>
        <v>4000</v>
      </c>
      <c r="F21" s="220">
        <f t="shared" si="0"/>
        <v>4032</v>
      </c>
      <c r="G21" s="220">
        <f t="shared" si="0"/>
        <v>4000</v>
      </c>
      <c r="H21" s="220">
        <f t="shared" si="0"/>
        <v>4032</v>
      </c>
      <c r="I21" s="220">
        <f t="shared" si="0"/>
        <v>4032</v>
      </c>
      <c r="J21" s="220">
        <f t="shared" si="0"/>
        <v>4016</v>
      </c>
      <c r="K21" s="220">
        <f t="shared" si="0"/>
        <v>4032</v>
      </c>
      <c r="L21" s="220">
        <f t="shared" si="0"/>
        <v>4032</v>
      </c>
      <c r="M21" s="220">
        <f t="shared" si="0"/>
        <v>4032</v>
      </c>
      <c r="N21" s="220">
        <f t="shared" si="0"/>
        <v>4048</v>
      </c>
      <c r="O21" s="220">
        <f t="shared" si="0"/>
        <v>4016</v>
      </c>
      <c r="P21" s="220">
        <f t="shared" si="0"/>
        <v>4016</v>
      </c>
      <c r="Q21" s="220">
        <f t="shared" si="0"/>
        <v>4032</v>
      </c>
      <c r="R21" s="220">
        <f t="shared" si="0"/>
        <v>4000</v>
      </c>
      <c r="S21" s="220">
        <f t="shared" si="0"/>
        <v>4000</v>
      </c>
      <c r="T21" s="220">
        <f t="shared" si="0"/>
        <v>4016</v>
      </c>
      <c r="U21" s="220">
        <f t="shared" si="0"/>
        <v>4032</v>
      </c>
      <c r="V21" s="220">
        <f t="shared" si="0"/>
        <v>4016</v>
      </c>
      <c r="W21" s="220">
        <f t="shared" si="0"/>
        <v>4016</v>
      </c>
      <c r="X21" s="220">
        <f t="shared" si="0"/>
        <v>4000</v>
      </c>
    </row>
    <row r="22" spans="1:24" ht="15.75" thickTop="1"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row>
    <row r="23" spans="1:24" x14ac:dyDescent="0.2">
      <c r="A23" s="223" t="s">
        <v>4</v>
      </c>
      <c r="B23" s="223"/>
      <c r="C23" s="223"/>
      <c r="D23" s="223"/>
      <c r="E23" s="223"/>
      <c r="F23" s="217"/>
      <c r="G23" s="217"/>
    </row>
    <row r="24" spans="1:24" x14ac:dyDescent="0.2">
      <c r="A24" s="264"/>
      <c r="B24" s="214"/>
      <c r="C24" s="214"/>
      <c r="D24" s="214"/>
      <c r="E24" s="214"/>
      <c r="F24" s="215"/>
      <c r="G24" s="215"/>
    </row>
    <row r="25" spans="1:24"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216">
        <v>2013</v>
      </c>
      <c r="X25" s="216">
        <v>2014</v>
      </c>
    </row>
    <row r="26" spans="1:24" x14ac:dyDescent="0.2">
      <c r="A26" s="214"/>
      <c r="B26" s="214"/>
      <c r="C26" s="214"/>
      <c r="D26" s="214"/>
      <c r="E26" s="214"/>
      <c r="F26" s="217"/>
      <c r="G26" s="217"/>
    </row>
    <row r="27" spans="1:24" x14ac:dyDescent="0.2">
      <c r="A27" s="218"/>
      <c r="B27" s="218"/>
      <c r="C27" s="218"/>
      <c r="D27" s="218"/>
      <c r="E27" s="218"/>
      <c r="F27" s="217"/>
      <c r="G27" s="217"/>
      <c r="H27" s="217"/>
      <c r="I27" s="217"/>
    </row>
    <row r="28" spans="1:24" x14ac:dyDescent="0.2">
      <c r="A28" s="218" t="s">
        <v>193</v>
      </c>
      <c r="B28" s="219">
        <v>31</v>
      </c>
      <c r="C28" s="219">
        <v>31</v>
      </c>
      <c r="D28" s="219">
        <v>31</v>
      </c>
      <c r="E28" s="219">
        <v>31</v>
      </c>
      <c r="F28" s="219">
        <v>31</v>
      </c>
      <c r="G28" s="219">
        <v>31</v>
      </c>
      <c r="H28" s="219">
        <v>31</v>
      </c>
      <c r="I28" s="219">
        <v>31</v>
      </c>
      <c r="J28" s="219">
        <v>31</v>
      </c>
      <c r="K28" s="219">
        <v>31</v>
      </c>
      <c r="L28" s="219">
        <v>31</v>
      </c>
      <c r="M28" s="219">
        <v>31</v>
      </c>
      <c r="N28" s="219">
        <v>31</v>
      </c>
      <c r="O28" s="219">
        <v>31</v>
      </c>
      <c r="P28" s="219">
        <v>31</v>
      </c>
      <c r="Q28" s="219">
        <v>31</v>
      </c>
      <c r="R28" s="219">
        <v>31</v>
      </c>
      <c r="S28" s="219">
        <v>31</v>
      </c>
      <c r="T28" s="219">
        <v>31</v>
      </c>
      <c r="U28" s="219">
        <v>31</v>
      </c>
      <c r="V28" s="219">
        <v>31</v>
      </c>
      <c r="W28" s="219">
        <v>31</v>
      </c>
      <c r="X28" s="219">
        <v>31</v>
      </c>
    </row>
    <row r="29" spans="1:24" x14ac:dyDescent="0.2">
      <c r="A29" s="218" t="s">
        <v>194</v>
      </c>
      <c r="B29" s="219">
        <v>29</v>
      </c>
      <c r="C29" s="219">
        <v>28</v>
      </c>
      <c r="D29" s="219">
        <v>28</v>
      </c>
      <c r="E29" s="219">
        <v>28</v>
      </c>
      <c r="F29" s="219">
        <v>29</v>
      </c>
      <c r="G29" s="219">
        <v>28</v>
      </c>
      <c r="H29" s="219">
        <v>28</v>
      </c>
      <c r="I29" s="219">
        <v>28</v>
      </c>
      <c r="J29" s="219">
        <v>29</v>
      </c>
      <c r="K29" s="219">
        <v>28</v>
      </c>
      <c r="L29" s="219">
        <v>28</v>
      </c>
      <c r="M29" s="219">
        <v>28</v>
      </c>
      <c r="N29" s="219">
        <v>29</v>
      </c>
      <c r="O29" s="219">
        <v>28</v>
      </c>
      <c r="P29" s="219">
        <v>28</v>
      </c>
      <c r="Q29" s="219">
        <v>28</v>
      </c>
      <c r="R29" s="219">
        <v>29</v>
      </c>
      <c r="S29" s="219">
        <v>28</v>
      </c>
      <c r="T29" s="219">
        <v>28</v>
      </c>
      <c r="U29" s="219">
        <v>28</v>
      </c>
      <c r="V29" s="65">
        <v>29</v>
      </c>
      <c r="W29" s="219">
        <v>28</v>
      </c>
      <c r="X29" s="65">
        <v>28</v>
      </c>
    </row>
    <row r="30" spans="1:24" x14ac:dyDescent="0.2">
      <c r="A30" s="218" t="s">
        <v>195</v>
      </c>
      <c r="B30" s="219">
        <v>31</v>
      </c>
      <c r="C30" s="219">
        <v>31</v>
      </c>
      <c r="D30" s="219">
        <v>31</v>
      </c>
      <c r="E30" s="219">
        <v>31</v>
      </c>
      <c r="F30" s="219">
        <v>31</v>
      </c>
      <c r="G30" s="219">
        <v>31</v>
      </c>
      <c r="H30" s="219">
        <v>31</v>
      </c>
      <c r="I30" s="219">
        <v>31</v>
      </c>
      <c r="J30" s="219">
        <v>31</v>
      </c>
      <c r="K30" s="219">
        <v>31</v>
      </c>
      <c r="L30" s="219">
        <v>31</v>
      </c>
      <c r="M30" s="219">
        <v>31</v>
      </c>
      <c r="N30" s="219">
        <v>31</v>
      </c>
      <c r="O30" s="219">
        <v>31</v>
      </c>
      <c r="P30" s="219">
        <v>31</v>
      </c>
      <c r="Q30" s="219">
        <v>31</v>
      </c>
      <c r="R30" s="219">
        <v>31</v>
      </c>
      <c r="S30" s="219">
        <v>31</v>
      </c>
      <c r="T30" s="219">
        <v>31</v>
      </c>
      <c r="U30" s="219">
        <v>31</v>
      </c>
      <c r="V30" s="219">
        <v>31</v>
      </c>
      <c r="W30" s="219">
        <v>31</v>
      </c>
      <c r="X30" s="219">
        <v>31</v>
      </c>
    </row>
    <row r="31" spans="1:24" x14ac:dyDescent="0.2">
      <c r="A31" s="218" t="s">
        <v>196</v>
      </c>
      <c r="B31" s="219">
        <v>30</v>
      </c>
      <c r="C31" s="219">
        <v>30</v>
      </c>
      <c r="D31" s="219">
        <v>30</v>
      </c>
      <c r="E31" s="219">
        <v>30</v>
      </c>
      <c r="F31" s="219">
        <v>30</v>
      </c>
      <c r="G31" s="219">
        <v>30</v>
      </c>
      <c r="H31" s="219">
        <v>30</v>
      </c>
      <c r="I31" s="219">
        <v>30</v>
      </c>
      <c r="J31" s="219">
        <v>30</v>
      </c>
      <c r="K31" s="219">
        <v>30</v>
      </c>
      <c r="L31" s="219">
        <v>30</v>
      </c>
      <c r="M31" s="219">
        <v>30</v>
      </c>
      <c r="N31" s="219">
        <v>30</v>
      </c>
      <c r="O31" s="219">
        <v>30</v>
      </c>
      <c r="P31" s="219">
        <v>30</v>
      </c>
      <c r="Q31" s="219">
        <v>30</v>
      </c>
      <c r="R31" s="219">
        <v>30</v>
      </c>
      <c r="S31" s="219">
        <v>30</v>
      </c>
      <c r="T31" s="219">
        <v>30</v>
      </c>
      <c r="U31" s="219">
        <v>30</v>
      </c>
      <c r="V31" s="219">
        <v>30</v>
      </c>
      <c r="W31" s="219">
        <v>30</v>
      </c>
      <c r="X31" s="219">
        <v>30</v>
      </c>
    </row>
    <row r="32" spans="1:24" x14ac:dyDescent="0.2">
      <c r="A32" s="218" t="s">
        <v>86</v>
      </c>
      <c r="B32" s="219">
        <v>31</v>
      </c>
      <c r="C32" s="219">
        <v>31</v>
      </c>
      <c r="D32" s="219">
        <v>31</v>
      </c>
      <c r="E32" s="219">
        <v>31</v>
      </c>
      <c r="F32" s="219">
        <v>31</v>
      </c>
      <c r="G32" s="219">
        <v>31</v>
      </c>
      <c r="H32" s="219">
        <v>31</v>
      </c>
      <c r="I32" s="219">
        <v>31</v>
      </c>
      <c r="J32" s="219">
        <v>31</v>
      </c>
      <c r="K32" s="219">
        <v>31</v>
      </c>
      <c r="L32" s="219">
        <v>31</v>
      </c>
      <c r="M32" s="219">
        <v>31</v>
      </c>
      <c r="N32" s="219">
        <v>31</v>
      </c>
      <c r="O32" s="219">
        <v>31</v>
      </c>
      <c r="P32" s="219">
        <v>31</v>
      </c>
      <c r="Q32" s="219">
        <v>31</v>
      </c>
      <c r="R32" s="219">
        <v>31</v>
      </c>
      <c r="S32" s="219">
        <v>31</v>
      </c>
      <c r="T32" s="219">
        <v>31</v>
      </c>
      <c r="U32" s="219">
        <v>31</v>
      </c>
      <c r="V32" s="219">
        <v>31</v>
      </c>
      <c r="W32" s="219">
        <v>31</v>
      </c>
      <c r="X32" s="219">
        <v>31</v>
      </c>
    </row>
    <row r="33" spans="1:24" x14ac:dyDescent="0.2">
      <c r="A33" s="218" t="s">
        <v>197</v>
      </c>
      <c r="B33" s="219">
        <v>30</v>
      </c>
      <c r="C33" s="219">
        <v>30</v>
      </c>
      <c r="D33" s="219">
        <v>30</v>
      </c>
      <c r="E33" s="219">
        <v>30</v>
      </c>
      <c r="F33" s="219">
        <v>30</v>
      </c>
      <c r="G33" s="219">
        <v>30</v>
      </c>
      <c r="H33" s="219">
        <v>30</v>
      </c>
      <c r="I33" s="219">
        <v>30</v>
      </c>
      <c r="J33" s="219">
        <v>30</v>
      </c>
      <c r="K33" s="219">
        <v>30</v>
      </c>
      <c r="L33" s="219">
        <v>30</v>
      </c>
      <c r="M33" s="219">
        <v>30</v>
      </c>
      <c r="N33" s="219">
        <v>30</v>
      </c>
      <c r="O33" s="219">
        <v>30</v>
      </c>
      <c r="P33" s="219">
        <v>30</v>
      </c>
      <c r="Q33" s="219">
        <v>30</v>
      </c>
      <c r="R33" s="219">
        <v>30</v>
      </c>
      <c r="S33" s="219">
        <v>30</v>
      </c>
      <c r="T33" s="219">
        <v>30</v>
      </c>
      <c r="U33" s="219">
        <v>30</v>
      </c>
      <c r="V33" s="219">
        <v>30</v>
      </c>
      <c r="W33" s="219">
        <v>30</v>
      </c>
      <c r="X33" s="219">
        <v>30</v>
      </c>
    </row>
    <row r="34" spans="1:24" x14ac:dyDescent="0.2">
      <c r="A34" s="218" t="s">
        <v>198</v>
      </c>
      <c r="B34" s="219">
        <v>31</v>
      </c>
      <c r="C34" s="219">
        <v>31</v>
      </c>
      <c r="D34" s="219">
        <v>31</v>
      </c>
      <c r="E34" s="219">
        <v>31</v>
      </c>
      <c r="F34" s="219">
        <v>31</v>
      </c>
      <c r="G34" s="219">
        <v>31</v>
      </c>
      <c r="H34" s="219">
        <v>31</v>
      </c>
      <c r="I34" s="219">
        <v>31</v>
      </c>
      <c r="J34" s="219">
        <v>31</v>
      </c>
      <c r="K34" s="219">
        <v>31</v>
      </c>
      <c r="L34" s="219">
        <v>31</v>
      </c>
      <c r="M34" s="219">
        <v>31</v>
      </c>
      <c r="N34" s="219">
        <v>31</v>
      </c>
      <c r="O34" s="219">
        <v>31</v>
      </c>
      <c r="P34" s="219">
        <v>31</v>
      </c>
      <c r="Q34" s="219">
        <v>31</v>
      </c>
      <c r="R34" s="219">
        <v>31</v>
      </c>
      <c r="S34" s="219">
        <v>31</v>
      </c>
      <c r="T34" s="219">
        <v>31</v>
      </c>
      <c r="U34" s="219">
        <v>31</v>
      </c>
      <c r="V34" s="219">
        <v>31</v>
      </c>
      <c r="W34" s="219">
        <v>31</v>
      </c>
      <c r="X34" s="219">
        <v>31</v>
      </c>
    </row>
    <row r="35" spans="1:24" x14ac:dyDescent="0.2">
      <c r="A35" s="218" t="s">
        <v>199</v>
      </c>
      <c r="B35" s="219">
        <v>31</v>
      </c>
      <c r="C35" s="219">
        <v>31</v>
      </c>
      <c r="D35" s="219">
        <v>31</v>
      </c>
      <c r="E35" s="219">
        <v>31</v>
      </c>
      <c r="F35" s="219">
        <v>31</v>
      </c>
      <c r="G35" s="219">
        <v>31</v>
      </c>
      <c r="H35" s="219">
        <v>31</v>
      </c>
      <c r="I35" s="219">
        <v>31</v>
      </c>
      <c r="J35" s="219">
        <v>31</v>
      </c>
      <c r="K35" s="219">
        <v>31</v>
      </c>
      <c r="L35" s="219">
        <v>31</v>
      </c>
      <c r="M35" s="219">
        <v>31</v>
      </c>
      <c r="N35" s="219">
        <v>31</v>
      </c>
      <c r="O35" s="219">
        <v>31</v>
      </c>
      <c r="P35" s="219">
        <v>31</v>
      </c>
      <c r="Q35" s="219">
        <v>31</v>
      </c>
      <c r="R35" s="219">
        <v>31</v>
      </c>
      <c r="S35" s="219">
        <v>31</v>
      </c>
      <c r="T35" s="219">
        <v>31</v>
      </c>
      <c r="U35" s="219">
        <v>31</v>
      </c>
      <c r="V35" s="219">
        <v>31</v>
      </c>
      <c r="W35" s="219">
        <v>31</v>
      </c>
      <c r="X35" s="219">
        <v>31</v>
      </c>
    </row>
    <row r="36" spans="1:24" x14ac:dyDescent="0.2">
      <c r="A36" s="218" t="s">
        <v>200</v>
      </c>
      <c r="B36" s="219">
        <v>30</v>
      </c>
      <c r="C36" s="219">
        <v>30</v>
      </c>
      <c r="D36" s="219">
        <v>30</v>
      </c>
      <c r="E36" s="219">
        <v>30</v>
      </c>
      <c r="F36" s="219">
        <v>30</v>
      </c>
      <c r="G36" s="219">
        <v>30</v>
      </c>
      <c r="H36" s="219">
        <v>30</v>
      </c>
      <c r="I36" s="219">
        <v>30</v>
      </c>
      <c r="J36" s="219">
        <v>30</v>
      </c>
      <c r="K36" s="219">
        <v>30</v>
      </c>
      <c r="L36" s="219">
        <v>30</v>
      </c>
      <c r="M36" s="219">
        <v>30</v>
      </c>
      <c r="N36" s="219">
        <v>30</v>
      </c>
      <c r="O36" s="219">
        <v>30</v>
      </c>
      <c r="P36" s="219">
        <v>30</v>
      </c>
      <c r="Q36" s="219">
        <v>30</v>
      </c>
      <c r="R36" s="219">
        <v>30</v>
      </c>
      <c r="S36" s="219">
        <v>30</v>
      </c>
      <c r="T36" s="219">
        <v>30</v>
      </c>
      <c r="U36" s="219">
        <v>30</v>
      </c>
      <c r="V36" s="219">
        <v>30</v>
      </c>
      <c r="W36" s="219">
        <v>30</v>
      </c>
      <c r="X36" s="219">
        <v>30</v>
      </c>
    </row>
    <row r="37" spans="1:24" x14ac:dyDescent="0.2">
      <c r="A37" s="218" t="s">
        <v>201</v>
      </c>
      <c r="B37" s="219">
        <v>31</v>
      </c>
      <c r="C37" s="219">
        <v>31</v>
      </c>
      <c r="D37" s="219">
        <v>31</v>
      </c>
      <c r="E37" s="219">
        <v>31</v>
      </c>
      <c r="F37" s="219">
        <v>31</v>
      </c>
      <c r="G37" s="219">
        <v>31</v>
      </c>
      <c r="H37" s="219">
        <v>31</v>
      </c>
      <c r="I37" s="219">
        <v>31</v>
      </c>
      <c r="J37" s="219">
        <v>31</v>
      </c>
      <c r="K37" s="219">
        <v>31</v>
      </c>
      <c r="L37" s="219">
        <v>31</v>
      </c>
      <c r="M37" s="219">
        <v>31</v>
      </c>
      <c r="N37" s="219">
        <v>31</v>
      </c>
      <c r="O37" s="219">
        <v>31</v>
      </c>
      <c r="P37" s="219">
        <v>31</v>
      </c>
      <c r="Q37" s="219">
        <v>31</v>
      </c>
      <c r="R37" s="219">
        <v>31</v>
      </c>
      <c r="S37" s="219">
        <v>31</v>
      </c>
      <c r="T37" s="219">
        <v>31</v>
      </c>
      <c r="U37" s="219">
        <v>31</v>
      </c>
      <c r="V37" s="219">
        <v>31</v>
      </c>
      <c r="W37" s="219">
        <v>31</v>
      </c>
      <c r="X37" s="219">
        <v>31</v>
      </c>
    </row>
    <row r="38" spans="1:24" x14ac:dyDescent="0.2">
      <c r="A38" s="218" t="s">
        <v>202</v>
      </c>
      <c r="B38" s="219">
        <v>30</v>
      </c>
      <c r="C38" s="219">
        <v>30</v>
      </c>
      <c r="D38" s="219">
        <v>30</v>
      </c>
      <c r="E38" s="219">
        <v>30</v>
      </c>
      <c r="F38" s="219">
        <v>30</v>
      </c>
      <c r="G38" s="219">
        <v>30</v>
      </c>
      <c r="H38" s="219">
        <v>30</v>
      </c>
      <c r="I38" s="219">
        <v>30</v>
      </c>
      <c r="J38" s="219">
        <v>30</v>
      </c>
      <c r="K38" s="219">
        <v>30</v>
      </c>
      <c r="L38" s="219">
        <v>30</v>
      </c>
      <c r="M38" s="219">
        <v>30</v>
      </c>
      <c r="N38" s="219">
        <v>30</v>
      </c>
      <c r="O38" s="219">
        <v>30</v>
      </c>
      <c r="P38" s="219">
        <v>30</v>
      </c>
      <c r="Q38" s="219">
        <v>30</v>
      </c>
      <c r="R38" s="219">
        <v>30</v>
      </c>
      <c r="S38" s="219">
        <v>30</v>
      </c>
      <c r="T38" s="219">
        <v>30</v>
      </c>
      <c r="U38" s="219">
        <v>30</v>
      </c>
      <c r="V38" s="219">
        <v>30</v>
      </c>
      <c r="W38" s="219">
        <v>30</v>
      </c>
      <c r="X38" s="219">
        <v>30</v>
      </c>
    </row>
    <row r="39" spans="1:24" x14ac:dyDescent="0.2">
      <c r="A39" s="218" t="s">
        <v>203</v>
      </c>
      <c r="B39" s="219">
        <v>31</v>
      </c>
      <c r="C39" s="219">
        <v>31</v>
      </c>
      <c r="D39" s="219">
        <v>31</v>
      </c>
      <c r="E39" s="219">
        <v>31</v>
      </c>
      <c r="F39" s="219">
        <v>31</v>
      </c>
      <c r="G39" s="219">
        <v>31</v>
      </c>
      <c r="H39" s="219">
        <v>31</v>
      </c>
      <c r="I39" s="219">
        <v>31</v>
      </c>
      <c r="J39" s="219">
        <v>31</v>
      </c>
      <c r="K39" s="219">
        <v>31</v>
      </c>
      <c r="L39" s="219">
        <v>31</v>
      </c>
      <c r="M39" s="219">
        <v>31</v>
      </c>
      <c r="N39" s="219">
        <v>31</v>
      </c>
      <c r="O39" s="219">
        <v>31</v>
      </c>
      <c r="P39" s="219">
        <v>31</v>
      </c>
      <c r="Q39" s="219">
        <v>31</v>
      </c>
      <c r="R39" s="219">
        <v>31</v>
      </c>
      <c r="S39" s="219">
        <v>31</v>
      </c>
      <c r="T39" s="219">
        <v>31</v>
      </c>
      <c r="U39" s="219">
        <v>31</v>
      </c>
      <c r="V39" s="219">
        <v>31</v>
      </c>
      <c r="W39" s="219">
        <v>31</v>
      </c>
      <c r="X39" s="219">
        <v>31</v>
      </c>
    </row>
    <row r="40" spans="1:24" x14ac:dyDescent="0.2">
      <c r="A40" s="218"/>
      <c r="B40" s="218"/>
      <c r="C40" s="218"/>
      <c r="D40" s="218"/>
      <c r="E40" s="218"/>
      <c r="F40" s="265"/>
      <c r="G40" s="212"/>
      <c r="I40" s="65"/>
      <c r="R40" s="219"/>
      <c r="W40" s="65"/>
      <c r="X40" s="65"/>
    </row>
    <row r="41" spans="1:24" ht="13.5" thickBot="1" x14ac:dyDescent="0.25">
      <c r="A41" s="218" t="s">
        <v>9</v>
      </c>
      <c r="B41" s="220">
        <f t="shared" ref="B41:X41" si="1">SUM(B28:B40)</f>
        <v>366</v>
      </c>
      <c r="C41" s="220">
        <f t="shared" si="1"/>
        <v>365</v>
      </c>
      <c r="D41" s="220">
        <f t="shared" si="1"/>
        <v>365</v>
      </c>
      <c r="E41" s="220">
        <f t="shared" si="1"/>
        <v>365</v>
      </c>
      <c r="F41" s="220">
        <f t="shared" si="1"/>
        <v>366</v>
      </c>
      <c r="G41" s="220">
        <f t="shared" si="1"/>
        <v>365</v>
      </c>
      <c r="H41" s="220">
        <f t="shared" si="1"/>
        <v>365</v>
      </c>
      <c r="I41" s="220">
        <f t="shared" si="1"/>
        <v>365</v>
      </c>
      <c r="J41" s="220">
        <f t="shared" si="1"/>
        <v>366</v>
      </c>
      <c r="K41" s="220">
        <f t="shared" si="1"/>
        <v>365</v>
      </c>
      <c r="L41" s="220">
        <f t="shared" si="1"/>
        <v>365</v>
      </c>
      <c r="M41" s="220">
        <f t="shared" si="1"/>
        <v>365</v>
      </c>
      <c r="N41" s="220">
        <f t="shared" si="1"/>
        <v>366</v>
      </c>
      <c r="O41" s="220">
        <f t="shared" si="1"/>
        <v>365</v>
      </c>
      <c r="P41" s="220">
        <f t="shared" si="1"/>
        <v>365</v>
      </c>
      <c r="Q41" s="220">
        <f t="shared" si="1"/>
        <v>365</v>
      </c>
      <c r="R41" s="220">
        <f t="shared" si="1"/>
        <v>366</v>
      </c>
      <c r="S41" s="220">
        <f t="shared" si="1"/>
        <v>365</v>
      </c>
      <c r="T41" s="220">
        <f t="shared" si="1"/>
        <v>365</v>
      </c>
      <c r="U41" s="220">
        <f t="shared" si="1"/>
        <v>365</v>
      </c>
      <c r="V41" s="220">
        <f t="shared" si="1"/>
        <v>366</v>
      </c>
      <c r="W41" s="220">
        <f t="shared" si="1"/>
        <v>365</v>
      </c>
      <c r="X41" s="220">
        <f t="shared" si="1"/>
        <v>365</v>
      </c>
    </row>
    <row r="42" spans="1:24" ht="15.75" thickTop="1" x14ac:dyDescent="0.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row>
    <row r="43" spans="1:24" x14ac:dyDescent="0.2">
      <c r="A43" s="223" t="s">
        <v>212</v>
      </c>
      <c r="B43" s="223"/>
      <c r="C43" s="223"/>
      <c r="D43" s="223"/>
      <c r="E43" s="223"/>
      <c r="F43" s="217"/>
      <c r="G43" s="217"/>
    </row>
    <row r="44" spans="1:24" x14ac:dyDescent="0.2">
      <c r="A44" s="264" t="s">
        <v>213</v>
      </c>
      <c r="B44" s="214"/>
      <c r="C44" s="214"/>
      <c r="D44" s="214"/>
      <c r="E44" s="214"/>
      <c r="F44" s="215"/>
      <c r="G44" s="215"/>
    </row>
    <row r="45" spans="1:24" x14ac:dyDescent="0.2">
      <c r="A45" s="216" t="s">
        <v>192</v>
      </c>
      <c r="B45" s="216">
        <v>1992</v>
      </c>
      <c r="C45" s="216">
        <v>1993</v>
      </c>
      <c r="D45" s="216">
        <v>1994</v>
      </c>
      <c r="E45" s="216">
        <v>1995</v>
      </c>
      <c r="F45" s="216">
        <v>1996</v>
      </c>
      <c r="G45" s="216">
        <v>1997</v>
      </c>
      <c r="H45" s="216">
        <v>1998</v>
      </c>
      <c r="I45" s="216">
        <v>1999</v>
      </c>
      <c r="J45" s="216">
        <v>2000</v>
      </c>
      <c r="K45" s="216">
        <v>2001</v>
      </c>
      <c r="L45" s="216">
        <v>2002</v>
      </c>
      <c r="M45" s="216">
        <v>2003</v>
      </c>
      <c r="N45" s="216">
        <v>2004</v>
      </c>
      <c r="O45" s="216">
        <v>2005</v>
      </c>
      <c r="P45" s="216">
        <v>2006</v>
      </c>
      <c r="Q45" s="216">
        <v>2007</v>
      </c>
      <c r="R45" s="216">
        <v>2008</v>
      </c>
      <c r="S45" s="216">
        <v>2009</v>
      </c>
      <c r="T45" s="216">
        <v>2010</v>
      </c>
      <c r="U45" s="216">
        <v>2011</v>
      </c>
      <c r="V45" s="216">
        <v>2012</v>
      </c>
      <c r="W45" s="216">
        <v>2013</v>
      </c>
      <c r="X45" s="216">
        <v>2014</v>
      </c>
    </row>
    <row r="46" spans="1:24" x14ac:dyDescent="0.2">
      <c r="A46" s="214"/>
      <c r="B46" s="214"/>
      <c r="C46" s="214"/>
      <c r="D46" s="214"/>
      <c r="E46" s="214"/>
      <c r="F46" s="217"/>
      <c r="G46" s="217"/>
    </row>
    <row r="47" spans="1:24" x14ac:dyDescent="0.2">
      <c r="A47" s="218"/>
      <c r="B47" s="218"/>
      <c r="C47" s="218"/>
      <c r="D47" s="218"/>
      <c r="E47" s="218"/>
      <c r="F47" s="217"/>
      <c r="G47" s="217"/>
      <c r="H47" s="217"/>
      <c r="I47" s="217"/>
    </row>
    <row r="48" spans="1:24" x14ac:dyDescent="0.2">
      <c r="A48" s="218" t="s">
        <v>193</v>
      </c>
      <c r="B48" s="267">
        <v>0</v>
      </c>
      <c r="C48" s="267">
        <v>0</v>
      </c>
      <c r="D48" s="267">
        <v>0</v>
      </c>
      <c r="E48" s="267">
        <v>0</v>
      </c>
      <c r="F48" s="267">
        <v>0</v>
      </c>
      <c r="G48" s="267">
        <v>0</v>
      </c>
      <c r="H48" s="267">
        <v>0</v>
      </c>
      <c r="I48" s="267">
        <v>0</v>
      </c>
      <c r="J48" s="267">
        <v>0</v>
      </c>
      <c r="K48" s="267">
        <v>0</v>
      </c>
      <c r="L48" s="267">
        <v>0</v>
      </c>
      <c r="M48" s="267">
        <v>0</v>
      </c>
      <c r="N48" s="267">
        <v>0</v>
      </c>
      <c r="O48" s="267">
        <v>0</v>
      </c>
      <c r="P48" s="267">
        <v>0</v>
      </c>
      <c r="Q48" s="267">
        <v>0</v>
      </c>
      <c r="R48" s="267">
        <v>0</v>
      </c>
      <c r="S48" s="267">
        <v>0</v>
      </c>
      <c r="T48" s="267">
        <v>0</v>
      </c>
      <c r="U48" s="267">
        <v>0</v>
      </c>
      <c r="V48" s="267">
        <v>0</v>
      </c>
      <c r="W48" s="267">
        <v>0</v>
      </c>
      <c r="X48" s="267">
        <v>0</v>
      </c>
    </row>
    <row r="49" spans="1:24" x14ac:dyDescent="0.2">
      <c r="A49" s="218" t="s">
        <v>194</v>
      </c>
      <c r="B49" s="267">
        <v>0</v>
      </c>
      <c r="C49" s="267">
        <v>0</v>
      </c>
      <c r="D49" s="267">
        <v>0</v>
      </c>
      <c r="E49" s="267">
        <v>0</v>
      </c>
      <c r="F49" s="267">
        <v>0</v>
      </c>
      <c r="G49" s="267">
        <v>0</v>
      </c>
      <c r="H49" s="267">
        <v>0</v>
      </c>
      <c r="I49" s="267">
        <v>0</v>
      </c>
      <c r="J49" s="267">
        <v>0</v>
      </c>
      <c r="K49" s="267">
        <v>0</v>
      </c>
      <c r="L49" s="267">
        <v>0</v>
      </c>
      <c r="M49" s="267">
        <v>0</v>
      </c>
      <c r="N49" s="267">
        <v>0</v>
      </c>
      <c r="O49" s="267">
        <v>0</v>
      </c>
      <c r="P49" s="267">
        <v>0</v>
      </c>
      <c r="Q49" s="267">
        <v>0</v>
      </c>
      <c r="R49" s="267">
        <v>0</v>
      </c>
      <c r="S49" s="267">
        <v>0</v>
      </c>
      <c r="T49" s="267">
        <v>0</v>
      </c>
      <c r="U49" s="267">
        <v>0</v>
      </c>
      <c r="V49" s="267">
        <v>0</v>
      </c>
      <c r="W49" s="267">
        <v>0</v>
      </c>
      <c r="X49" s="267">
        <v>0</v>
      </c>
    </row>
    <row r="50" spans="1:24" x14ac:dyDescent="0.2">
      <c r="A50" s="218" t="s">
        <v>195</v>
      </c>
      <c r="B50" s="267">
        <v>1</v>
      </c>
      <c r="C50" s="267">
        <v>1</v>
      </c>
      <c r="D50" s="267">
        <v>1</v>
      </c>
      <c r="E50" s="267">
        <v>1</v>
      </c>
      <c r="F50" s="267">
        <v>1</v>
      </c>
      <c r="G50" s="267">
        <v>1</v>
      </c>
      <c r="H50" s="267">
        <v>1</v>
      </c>
      <c r="I50" s="267">
        <v>1</v>
      </c>
      <c r="J50" s="267">
        <v>1</v>
      </c>
      <c r="K50" s="267">
        <v>1</v>
      </c>
      <c r="L50" s="267">
        <v>1</v>
      </c>
      <c r="M50" s="267">
        <v>1</v>
      </c>
      <c r="N50" s="267">
        <v>1</v>
      </c>
      <c r="O50" s="267">
        <v>1</v>
      </c>
      <c r="P50" s="267">
        <v>1</v>
      </c>
      <c r="Q50" s="267">
        <v>1</v>
      </c>
      <c r="R50" s="267">
        <v>1</v>
      </c>
      <c r="S50" s="267">
        <v>1</v>
      </c>
      <c r="T50" s="267">
        <v>1</v>
      </c>
      <c r="U50" s="267">
        <v>1</v>
      </c>
      <c r="V50" s="267">
        <v>1</v>
      </c>
      <c r="W50" s="267">
        <v>1</v>
      </c>
      <c r="X50" s="267">
        <v>1</v>
      </c>
    </row>
    <row r="51" spans="1:24" x14ac:dyDescent="0.2">
      <c r="A51" s="218" t="s">
        <v>196</v>
      </c>
      <c r="B51" s="267">
        <v>1</v>
      </c>
      <c r="C51" s="267">
        <v>1</v>
      </c>
      <c r="D51" s="267">
        <v>1</v>
      </c>
      <c r="E51" s="267">
        <v>1</v>
      </c>
      <c r="F51" s="267">
        <v>1</v>
      </c>
      <c r="G51" s="267">
        <v>1</v>
      </c>
      <c r="H51" s="267">
        <v>1</v>
      </c>
      <c r="I51" s="267">
        <v>1</v>
      </c>
      <c r="J51" s="267">
        <v>1</v>
      </c>
      <c r="K51" s="267">
        <v>1</v>
      </c>
      <c r="L51" s="267">
        <v>1</v>
      </c>
      <c r="M51" s="267">
        <v>1</v>
      </c>
      <c r="N51" s="267">
        <v>1</v>
      </c>
      <c r="O51" s="267">
        <v>1</v>
      </c>
      <c r="P51" s="267">
        <v>1</v>
      </c>
      <c r="Q51" s="267">
        <v>1</v>
      </c>
      <c r="R51" s="267">
        <v>1</v>
      </c>
      <c r="S51" s="267">
        <v>1</v>
      </c>
      <c r="T51" s="267">
        <v>1</v>
      </c>
      <c r="U51" s="267">
        <v>1</v>
      </c>
      <c r="V51" s="267">
        <v>1</v>
      </c>
      <c r="W51" s="267">
        <v>1</v>
      </c>
      <c r="X51" s="267">
        <v>1</v>
      </c>
    </row>
    <row r="52" spans="1:24" x14ac:dyDescent="0.2">
      <c r="A52" s="218" t="s">
        <v>86</v>
      </c>
      <c r="B52" s="267">
        <v>1</v>
      </c>
      <c r="C52" s="267">
        <v>1</v>
      </c>
      <c r="D52" s="267">
        <v>1</v>
      </c>
      <c r="E52" s="267">
        <v>1</v>
      </c>
      <c r="F52" s="267">
        <v>1</v>
      </c>
      <c r="G52" s="267">
        <v>1</v>
      </c>
      <c r="H52" s="267">
        <v>1</v>
      </c>
      <c r="I52" s="267">
        <v>1</v>
      </c>
      <c r="J52" s="267">
        <v>1</v>
      </c>
      <c r="K52" s="267">
        <v>1</v>
      </c>
      <c r="L52" s="267">
        <v>1</v>
      </c>
      <c r="M52" s="267">
        <v>1</v>
      </c>
      <c r="N52" s="267">
        <v>1</v>
      </c>
      <c r="O52" s="267">
        <v>1</v>
      </c>
      <c r="P52" s="267">
        <v>1</v>
      </c>
      <c r="Q52" s="267">
        <v>1</v>
      </c>
      <c r="R52" s="267">
        <v>1</v>
      </c>
      <c r="S52" s="267">
        <v>1</v>
      </c>
      <c r="T52" s="267">
        <v>1</v>
      </c>
      <c r="U52" s="267">
        <v>1</v>
      </c>
      <c r="V52" s="267">
        <v>1</v>
      </c>
      <c r="W52" s="267">
        <v>1</v>
      </c>
      <c r="X52" s="267">
        <v>1</v>
      </c>
    </row>
    <row r="53" spans="1:24" x14ac:dyDescent="0.2">
      <c r="A53" s="218" t="s">
        <v>197</v>
      </c>
      <c r="B53" s="267">
        <v>0</v>
      </c>
      <c r="C53" s="267">
        <v>0</v>
      </c>
      <c r="D53" s="267">
        <v>0</v>
      </c>
      <c r="E53" s="267">
        <v>0</v>
      </c>
      <c r="F53" s="267">
        <v>0</v>
      </c>
      <c r="G53" s="267">
        <v>0</v>
      </c>
      <c r="H53" s="267">
        <v>0</v>
      </c>
      <c r="I53" s="267">
        <v>0</v>
      </c>
      <c r="J53" s="267">
        <v>0</v>
      </c>
      <c r="K53" s="267">
        <v>0</v>
      </c>
      <c r="L53" s="267">
        <v>0</v>
      </c>
      <c r="M53" s="267">
        <v>0</v>
      </c>
      <c r="N53" s="267">
        <v>0</v>
      </c>
      <c r="O53" s="267">
        <v>0</v>
      </c>
      <c r="P53" s="267">
        <v>0</v>
      </c>
      <c r="Q53" s="267">
        <v>0</v>
      </c>
      <c r="R53" s="267">
        <v>0</v>
      </c>
      <c r="S53" s="267">
        <v>0</v>
      </c>
      <c r="T53" s="267">
        <v>0</v>
      </c>
      <c r="U53" s="267">
        <v>0</v>
      </c>
      <c r="V53" s="267">
        <v>0</v>
      </c>
      <c r="W53" s="267">
        <v>0</v>
      </c>
      <c r="X53" s="267">
        <v>0</v>
      </c>
    </row>
    <row r="54" spans="1:24" x14ac:dyDescent="0.2">
      <c r="A54" s="218" t="s">
        <v>198</v>
      </c>
      <c r="B54" s="267">
        <v>0</v>
      </c>
      <c r="C54" s="267">
        <v>0</v>
      </c>
      <c r="D54" s="267">
        <v>0</v>
      </c>
      <c r="E54" s="267">
        <v>0</v>
      </c>
      <c r="F54" s="267">
        <v>0</v>
      </c>
      <c r="G54" s="267">
        <v>0</v>
      </c>
      <c r="H54" s="267">
        <v>0</v>
      </c>
      <c r="I54" s="267">
        <v>0</v>
      </c>
      <c r="J54" s="267">
        <v>0</v>
      </c>
      <c r="K54" s="267">
        <v>0</v>
      </c>
      <c r="L54" s="267">
        <v>0</v>
      </c>
      <c r="M54" s="267">
        <v>0</v>
      </c>
      <c r="N54" s="267">
        <v>0</v>
      </c>
      <c r="O54" s="267">
        <v>0</v>
      </c>
      <c r="P54" s="267">
        <v>0</v>
      </c>
      <c r="Q54" s="267">
        <v>0</v>
      </c>
      <c r="R54" s="267">
        <v>0</v>
      </c>
      <c r="S54" s="267">
        <v>0</v>
      </c>
      <c r="T54" s="267">
        <v>0</v>
      </c>
      <c r="U54" s="267">
        <v>0</v>
      </c>
      <c r="V54" s="267">
        <v>0</v>
      </c>
      <c r="W54" s="267">
        <v>0</v>
      </c>
      <c r="X54" s="267">
        <v>0</v>
      </c>
    </row>
    <row r="55" spans="1:24" x14ac:dyDescent="0.2">
      <c r="A55" s="218" t="s">
        <v>199</v>
      </c>
      <c r="B55" s="267">
        <v>0</v>
      </c>
      <c r="C55" s="267">
        <v>0</v>
      </c>
      <c r="D55" s="267">
        <v>0</v>
      </c>
      <c r="E55" s="267">
        <v>0</v>
      </c>
      <c r="F55" s="267">
        <v>0</v>
      </c>
      <c r="G55" s="267">
        <v>0</v>
      </c>
      <c r="H55" s="267">
        <v>0</v>
      </c>
      <c r="I55" s="267">
        <v>0</v>
      </c>
      <c r="J55" s="267">
        <v>0</v>
      </c>
      <c r="K55" s="267">
        <v>0</v>
      </c>
      <c r="L55" s="267">
        <v>0</v>
      </c>
      <c r="M55" s="267">
        <v>0</v>
      </c>
      <c r="N55" s="267">
        <v>0</v>
      </c>
      <c r="O55" s="267">
        <v>0</v>
      </c>
      <c r="P55" s="267">
        <v>0</v>
      </c>
      <c r="Q55" s="267">
        <v>0</v>
      </c>
      <c r="R55" s="267">
        <v>0</v>
      </c>
      <c r="S55" s="267">
        <v>0</v>
      </c>
      <c r="T55" s="267">
        <v>0</v>
      </c>
      <c r="U55" s="267">
        <v>0</v>
      </c>
      <c r="V55" s="267">
        <v>0</v>
      </c>
      <c r="W55" s="267">
        <v>0</v>
      </c>
      <c r="X55" s="267">
        <v>0</v>
      </c>
    </row>
    <row r="56" spans="1:24" x14ac:dyDescent="0.2">
      <c r="A56" s="218" t="s">
        <v>200</v>
      </c>
      <c r="B56" s="267">
        <v>1</v>
      </c>
      <c r="C56" s="267">
        <v>1</v>
      </c>
      <c r="D56" s="267">
        <v>1</v>
      </c>
      <c r="E56" s="267">
        <v>1</v>
      </c>
      <c r="F56" s="267">
        <v>1</v>
      </c>
      <c r="G56" s="267">
        <v>1</v>
      </c>
      <c r="H56" s="267">
        <v>1</v>
      </c>
      <c r="I56" s="267">
        <v>1</v>
      </c>
      <c r="J56" s="267">
        <v>1</v>
      </c>
      <c r="K56" s="267">
        <v>1</v>
      </c>
      <c r="L56" s="267">
        <v>1</v>
      </c>
      <c r="M56" s="267">
        <v>1</v>
      </c>
      <c r="N56" s="267">
        <v>1</v>
      </c>
      <c r="O56" s="267">
        <v>1</v>
      </c>
      <c r="P56" s="267">
        <v>1</v>
      </c>
      <c r="Q56" s="267">
        <v>1</v>
      </c>
      <c r="R56" s="267">
        <v>1</v>
      </c>
      <c r="S56" s="267">
        <v>1</v>
      </c>
      <c r="T56" s="267">
        <v>1</v>
      </c>
      <c r="U56" s="267">
        <v>1</v>
      </c>
      <c r="V56" s="267">
        <v>1</v>
      </c>
      <c r="W56" s="267">
        <v>1</v>
      </c>
      <c r="X56" s="267">
        <v>1</v>
      </c>
    </row>
    <row r="57" spans="1:24" x14ac:dyDescent="0.2">
      <c r="A57" s="218" t="s">
        <v>201</v>
      </c>
      <c r="B57" s="267">
        <v>1</v>
      </c>
      <c r="C57" s="267">
        <v>1</v>
      </c>
      <c r="D57" s="267">
        <v>1</v>
      </c>
      <c r="E57" s="267">
        <v>1</v>
      </c>
      <c r="F57" s="267">
        <v>1</v>
      </c>
      <c r="G57" s="267">
        <v>1</v>
      </c>
      <c r="H57" s="267">
        <v>1</v>
      </c>
      <c r="I57" s="267">
        <v>1</v>
      </c>
      <c r="J57" s="267">
        <v>1</v>
      </c>
      <c r="K57" s="267">
        <v>1</v>
      </c>
      <c r="L57" s="267">
        <v>1</v>
      </c>
      <c r="M57" s="267">
        <v>1</v>
      </c>
      <c r="N57" s="267">
        <v>1</v>
      </c>
      <c r="O57" s="267">
        <v>1</v>
      </c>
      <c r="P57" s="267">
        <v>1</v>
      </c>
      <c r="Q57" s="267">
        <v>1</v>
      </c>
      <c r="R57" s="267">
        <v>1</v>
      </c>
      <c r="S57" s="267">
        <v>1</v>
      </c>
      <c r="T57" s="267">
        <v>1</v>
      </c>
      <c r="U57" s="267">
        <v>1</v>
      </c>
      <c r="V57" s="267">
        <v>1</v>
      </c>
      <c r="W57" s="267">
        <v>1</v>
      </c>
      <c r="X57" s="267">
        <v>1</v>
      </c>
    </row>
    <row r="58" spans="1:24" x14ac:dyDescent="0.2">
      <c r="A58" s="218" t="s">
        <v>202</v>
      </c>
      <c r="B58" s="267">
        <v>1</v>
      </c>
      <c r="C58" s="267">
        <v>1</v>
      </c>
      <c r="D58" s="267">
        <v>1</v>
      </c>
      <c r="E58" s="267">
        <v>1</v>
      </c>
      <c r="F58" s="267">
        <v>1</v>
      </c>
      <c r="G58" s="267">
        <v>1</v>
      </c>
      <c r="H58" s="267">
        <v>1</v>
      </c>
      <c r="I58" s="267">
        <v>1</v>
      </c>
      <c r="J58" s="267">
        <v>1</v>
      </c>
      <c r="K58" s="267">
        <v>1</v>
      </c>
      <c r="L58" s="267">
        <v>1</v>
      </c>
      <c r="M58" s="267">
        <v>1</v>
      </c>
      <c r="N58" s="267">
        <v>1</v>
      </c>
      <c r="O58" s="267">
        <v>1</v>
      </c>
      <c r="P58" s="267">
        <v>1</v>
      </c>
      <c r="Q58" s="267">
        <v>1</v>
      </c>
      <c r="R58" s="267">
        <v>1</v>
      </c>
      <c r="S58" s="267">
        <v>1</v>
      </c>
      <c r="T58" s="267">
        <v>1</v>
      </c>
      <c r="U58" s="267">
        <v>1</v>
      </c>
      <c r="V58" s="267">
        <v>1</v>
      </c>
      <c r="W58" s="267">
        <v>1</v>
      </c>
      <c r="X58" s="267">
        <v>1</v>
      </c>
    </row>
    <row r="59" spans="1:24" x14ac:dyDescent="0.2">
      <c r="A59" s="218" t="s">
        <v>203</v>
      </c>
      <c r="B59" s="267">
        <v>0</v>
      </c>
      <c r="C59" s="267">
        <v>0</v>
      </c>
      <c r="D59" s="267">
        <v>0</v>
      </c>
      <c r="E59" s="267">
        <v>0</v>
      </c>
      <c r="F59" s="267">
        <v>0</v>
      </c>
      <c r="G59" s="267">
        <v>0</v>
      </c>
      <c r="H59" s="267">
        <v>0</v>
      </c>
      <c r="I59" s="267">
        <v>0</v>
      </c>
      <c r="J59" s="267">
        <v>0</v>
      </c>
      <c r="K59" s="267">
        <v>0</v>
      </c>
      <c r="L59" s="267">
        <v>0</v>
      </c>
      <c r="M59" s="267">
        <v>0</v>
      </c>
      <c r="N59" s="267">
        <v>0</v>
      </c>
      <c r="O59" s="267">
        <v>0</v>
      </c>
      <c r="P59" s="267">
        <v>0</v>
      </c>
      <c r="Q59" s="267">
        <v>0</v>
      </c>
      <c r="R59" s="267">
        <v>0</v>
      </c>
      <c r="S59" s="267">
        <v>0</v>
      </c>
      <c r="T59" s="267">
        <v>0</v>
      </c>
      <c r="U59" s="267">
        <v>0</v>
      </c>
      <c r="V59" s="267">
        <v>0</v>
      </c>
      <c r="W59" s="267">
        <v>0</v>
      </c>
      <c r="X59" s="267">
        <v>0</v>
      </c>
    </row>
    <row r="60" spans="1:24" x14ac:dyDescent="0.2">
      <c r="A60" s="218"/>
      <c r="B60" s="218"/>
      <c r="C60" s="218"/>
      <c r="D60" s="218"/>
      <c r="E60" s="218"/>
      <c r="F60" s="265"/>
      <c r="G60" s="212"/>
      <c r="I60" s="65"/>
      <c r="R60" s="219"/>
      <c r="W60" s="65"/>
      <c r="X60" s="65"/>
    </row>
    <row r="61" spans="1:24" ht="13.5" thickBot="1" x14ac:dyDescent="0.25">
      <c r="A61" s="218" t="s">
        <v>9</v>
      </c>
      <c r="B61" s="220">
        <f t="shared" ref="B61:X61" si="2">SUM(B48:B60)</f>
        <v>6</v>
      </c>
      <c r="C61" s="220">
        <f t="shared" si="2"/>
        <v>6</v>
      </c>
      <c r="D61" s="220">
        <f t="shared" si="2"/>
        <v>6</v>
      </c>
      <c r="E61" s="220">
        <f t="shared" si="2"/>
        <v>6</v>
      </c>
      <c r="F61" s="220">
        <f t="shared" si="2"/>
        <v>6</v>
      </c>
      <c r="G61" s="220">
        <f t="shared" si="2"/>
        <v>6</v>
      </c>
      <c r="H61" s="220">
        <f t="shared" si="2"/>
        <v>6</v>
      </c>
      <c r="I61" s="220">
        <f t="shared" si="2"/>
        <v>6</v>
      </c>
      <c r="J61" s="220">
        <f t="shared" si="2"/>
        <v>6</v>
      </c>
      <c r="K61" s="220">
        <f t="shared" si="2"/>
        <v>6</v>
      </c>
      <c r="L61" s="220">
        <f t="shared" si="2"/>
        <v>6</v>
      </c>
      <c r="M61" s="220">
        <f t="shared" si="2"/>
        <v>6</v>
      </c>
      <c r="N61" s="220">
        <f t="shared" si="2"/>
        <v>6</v>
      </c>
      <c r="O61" s="220">
        <f t="shared" si="2"/>
        <v>6</v>
      </c>
      <c r="P61" s="220">
        <f t="shared" si="2"/>
        <v>6</v>
      </c>
      <c r="Q61" s="220">
        <f t="shared" si="2"/>
        <v>6</v>
      </c>
      <c r="R61" s="220">
        <f t="shared" si="2"/>
        <v>6</v>
      </c>
      <c r="S61" s="220">
        <f t="shared" si="2"/>
        <v>6</v>
      </c>
      <c r="T61" s="220">
        <f t="shared" si="2"/>
        <v>6</v>
      </c>
      <c r="U61" s="220">
        <f t="shared" si="2"/>
        <v>6</v>
      </c>
      <c r="V61" s="220">
        <f t="shared" si="2"/>
        <v>6</v>
      </c>
      <c r="W61" s="220">
        <f t="shared" si="2"/>
        <v>6</v>
      </c>
      <c r="X61" s="220">
        <f t="shared" si="2"/>
        <v>6</v>
      </c>
    </row>
    <row r="62" spans="1:24" ht="15.75" thickTop="1" x14ac:dyDescent="0.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row>
    <row r="63" spans="1:24" x14ac:dyDescent="0.2">
      <c r="A63" s="223" t="s">
        <v>279</v>
      </c>
      <c r="B63" s="223"/>
      <c r="C63" s="223"/>
      <c r="D63" s="223"/>
      <c r="E63" s="223"/>
      <c r="F63" s="217"/>
      <c r="G63" s="217"/>
    </row>
    <row r="64" spans="1:24" x14ac:dyDescent="0.2">
      <c r="A64" s="264" t="s">
        <v>214</v>
      </c>
      <c r="B64" s="214"/>
      <c r="C64" s="214"/>
      <c r="D64" s="214"/>
      <c r="E64" s="214"/>
      <c r="F64" s="215"/>
      <c r="G64" s="215"/>
    </row>
    <row r="65" spans="1:24" x14ac:dyDescent="0.2">
      <c r="A65" s="216" t="s">
        <v>192</v>
      </c>
      <c r="B65" s="216">
        <v>1992</v>
      </c>
      <c r="C65" s="216">
        <v>1993</v>
      </c>
      <c r="D65" s="216">
        <v>1994</v>
      </c>
      <c r="E65" s="216">
        <v>1995</v>
      </c>
      <c r="F65" s="216">
        <v>1996</v>
      </c>
      <c r="G65" s="216">
        <v>1997</v>
      </c>
      <c r="H65" s="216">
        <v>1998</v>
      </c>
      <c r="I65" s="216">
        <v>1999</v>
      </c>
      <c r="J65" s="216">
        <v>2000</v>
      </c>
      <c r="K65" s="216">
        <v>2001</v>
      </c>
      <c r="L65" s="216">
        <v>2002</v>
      </c>
      <c r="M65" s="216">
        <v>2003</v>
      </c>
      <c r="N65" s="216">
        <v>2004</v>
      </c>
      <c r="O65" s="216">
        <v>2005</v>
      </c>
      <c r="P65" s="216">
        <v>2006</v>
      </c>
      <c r="Q65" s="216">
        <v>2007</v>
      </c>
      <c r="R65" s="216">
        <v>2008</v>
      </c>
      <c r="S65" s="216">
        <v>2009</v>
      </c>
      <c r="T65" s="216">
        <v>2010</v>
      </c>
      <c r="U65" s="216">
        <v>2011</v>
      </c>
      <c r="V65" s="216">
        <v>2012</v>
      </c>
      <c r="W65" s="216">
        <v>2013</v>
      </c>
      <c r="X65" s="216">
        <v>2014</v>
      </c>
    </row>
    <row r="66" spans="1:24" x14ac:dyDescent="0.2">
      <c r="A66" s="214"/>
      <c r="B66" s="214"/>
      <c r="C66" s="214"/>
      <c r="D66" s="214"/>
      <c r="E66" s="214"/>
      <c r="F66" s="217"/>
      <c r="G66" s="217"/>
    </row>
    <row r="67" spans="1:24" x14ac:dyDescent="0.2">
      <c r="A67" s="218"/>
      <c r="B67" s="218"/>
      <c r="C67" s="218"/>
      <c r="D67" s="218"/>
      <c r="E67" s="218"/>
      <c r="F67" s="217"/>
      <c r="G67" s="217"/>
      <c r="H67" s="217"/>
      <c r="I67" s="217"/>
    </row>
    <row r="68" spans="1:24" x14ac:dyDescent="0.2">
      <c r="A68" s="218" t="s">
        <v>193</v>
      </c>
      <c r="B68" s="267">
        <v>0</v>
      </c>
      <c r="C68" s="267">
        <v>0</v>
      </c>
      <c r="D68" s="267">
        <v>0</v>
      </c>
      <c r="E68" s="267">
        <v>0</v>
      </c>
      <c r="F68" s="267">
        <v>0</v>
      </c>
      <c r="G68" s="267">
        <v>0</v>
      </c>
      <c r="H68" s="267">
        <v>0</v>
      </c>
      <c r="I68" s="267">
        <v>0</v>
      </c>
      <c r="J68" s="267">
        <v>0</v>
      </c>
      <c r="K68" s="267">
        <v>0</v>
      </c>
      <c r="L68" s="267">
        <v>0</v>
      </c>
      <c r="M68" s="267">
        <v>0</v>
      </c>
      <c r="N68" s="267">
        <v>0</v>
      </c>
      <c r="O68" s="267">
        <v>0</v>
      </c>
      <c r="P68" s="267">
        <v>0</v>
      </c>
      <c r="Q68" s="267">
        <v>0</v>
      </c>
      <c r="R68" s="267">
        <v>0</v>
      </c>
      <c r="S68" s="267">
        <v>0</v>
      </c>
      <c r="T68" s="267">
        <v>0</v>
      </c>
      <c r="U68" s="267">
        <v>0</v>
      </c>
      <c r="V68" s="267">
        <v>0</v>
      </c>
      <c r="W68" s="267">
        <v>0</v>
      </c>
      <c r="X68" s="267">
        <v>0</v>
      </c>
    </row>
    <row r="69" spans="1:24" x14ac:dyDescent="0.2">
      <c r="A69" s="218" t="s">
        <v>194</v>
      </c>
      <c r="B69" s="267">
        <v>0</v>
      </c>
      <c r="C69" s="267">
        <v>0</v>
      </c>
      <c r="D69" s="267">
        <v>0</v>
      </c>
      <c r="E69" s="267">
        <v>0</v>
      </c>
      <c r="F69" s="267">
        <v>0</v>
      </c>
      <c r="G69" s="267">
        <v>0</v>
      </c>
      <c r="H69" s="267">
        <v>0</v>
      </c>
      <c r="I69" s="267">
        <v>0</v>
      </c>
      <c r="J69" s="267">
        <v>0</v>
      </c>
      <c r="K69" s="267">
        <v>0</v>
      </c>
      <c r="L69" s="267">
        <v>0</v>
      </c>
      <c r="M69" s="267">
        <v>0</v>
      </c>
      <c r="N69" s="267">
        <v>0</v>
      </c>
      <c r="O69" s="267">
        <v>0</v>
      </c>
      <c r="P69" s="267">
        <v>0</v>
      </c>
      <c r="Q69" s="267">
        <v>0</v>
      </c>
      <c r="R69" s="267">
        <v>0</v>
      </c>
      <c r="S69" s="267">
        <v>0</v>
      </c>
      <c r="T69" s="267">
        <v>0</v>
      </c>
      <c r="U69" s="267">
        <v>0</v>
      </c>
      <c r="V69" s="267">
        <v>0</v>
      </c>
      <c r="W69" s="267">
        <v>0</v>
      </c>
      <c r="X69" s="267">
        <v>0</v>
      </c>
    </row>
    <row r="70" spans="1:24" x14ac:dyDescent="0.2">
      <c r="A70" s="218" t="s">
        <v>195</v>
      </c>
      <c r="B70" s="267">
        <v>0</v>
      </c>
      <c r="C70" s="267">
        <v>0</v>
      </c>
      <c r="D70" s="267">
        <v>0</v>
      </c>
      <c r="E70" s="267">
        <v>0</v>
      </c>
      <c r="F70" s="267">
        <v>0</v>
      </c>
      <c r="G70" s="267">
        <v>0</v>
      </c>
      <c r="H70" s="267">
        <v>0</v>
      </c>
      <c r="I70" s="267">
        <v>0</v>
      </c>
      <c r="J70" s="267">
        <v>0</v>
      </c>
      <c r="K70" s="267">
        <v>0</v>
      </c>
      <c r="L70" s="267">
        <v>0</v>
      </c>
      <c r="M70" s="267">
        <v>0</v>
      </c>
      <c r="N70" s="267">
        <v>0</v>
      </c>
      <c r="O70" s="267">
        <v>0</v>
      </c>
      <c r="P70" s="267">
        <v>0</v>
      </c>
      <c r="Q70" s="267">
        <v>0</v>
      </c>
      <c r="R70" s="267">
        <v>0</v>
      </c>
      <c r="S70" s="267">
        <v>0</v>
      </c>
      <c r="T70" s="267">
        <v>0</v>
      </c>
      <c r="U70" s="267">
        <v>0</v>
      </c>
      <c r="V70" s="267">
        <v>0</v>
      </c>
      <c r="W70" s="267">
        <v>0</v>
      </c>
      <c r="X70" s="267">
        <v>0</v>
      </c>
    </row>
    <row r="71" spans="1:24" x14ac:dyDescent="0.2">
      <c r="A71" s="218" t="s">
        <v>196</v>
      </c>
      <c r="B71" s="267">
        <v>0</v>
      </c>
      <c r="C71" s="267">
        <v>0</v>
      </c>
      <c r="D71" s="267">
        <v>0</v>
      </c>
      <c r="E71" s="267">
        <v>0</v>
      </c>
      <c r="F71" s="267">
        <v>0</v>
      </c>
      <c r="G71" s="267">
        <v>0</v>
      </c>
      <c r="H71" s="267">
        <v>0</v>
      </c>
      <c r="I71" s="267">
        <v>0</v>
      </c>
      <c r="J71" s="267">
        <v>0</v>
      </c>
      <c r="K71" s="267">
        <v>0</v>
      </c>
      <c r="L71" s="267">
        <v>0</v>
      </c>
      <c r="M71" s="267">
        <v>0</v>
      </c>
      <c r="N71" s="267">
        <v>0</v>
      </c>
      <c r="O71" s="267">
        <v>0</v>
      </c>
      <c r="P71" s="267">
        <v>0</v>
      </c>
      <c r="Q71" s="267">
        <v>0</v>
      </c>
      <c r="R71" s="267">
        <v>0</v>
      </c>
      <c r="S71" s="267">
        <v>0</v>
      </c>
      <c r="T71" s="267">
        <v>0</v>
      </c>
      <c r="U71" s="267">
        <v>0</v>
      </c>
      <c r="V71" s="267">
        <v>0</v>
      </c>
      <c r="W71" s="267">
        <v>0</v>
      </c>
      <c r="X71" s="267">
        <v>0</v>
      </c>
    </row>
    <row r="72" spans="1:24" x14ac:dyDescent="0.2">
      <c r="A72" s="218" t="s">
        <v>86</v>
      </c>
      <c r="B72" s="267">
        <v>0</v>
      </c>
      <c r="C72" s="267">
        <v>0</v>
      </c>
      <c r="D72" s="267">
        <v>0</v>
      </c>
      <c r="E72" s="267">
        <v>0</v>
      </c>
      <c r="F72" s="267">
        <v>0</v>
      </c>
      <c r="G72" s="267">
        <v>0</v>
      </c>
      <c r="H72" s="267">
        <v>0</v>
      </c>
      <c r="I72" s="267">
        <v>0</v>
      </c>
      <c r="J72" s="267">
        <v>0</v>
      </c>
      <c r="K72" s="267">
        <v>0</v>
      </c>
      <c r="L72" s="267">
        <v>0</v>
      </c>
      <c r="M72" s="267">
        <v>0</v>
      </c>
      <c r="N72" s="267">
        <v>0</v>
      </c>
      <c r="O72" s="267">
        <v>0</v>
      </c>
      <c r="P72" s="267">
        <v>0</v>
      </c>
      <c r="Q72" s="267">
        <v>0</v>
      </c>
      <c r="R72" s="267">
        <v>0</v>
      </c>
      <c r="S72" s="267">
        <v>0</v>
      </c>
      <c r="T72" s="267">
        <v>0</v>
      </c>
      <c r="U72" s="267">
        <v>0</v>
      </c>
      <c r="V72" s="267">
        <v>0</v>
      </c>
      <c r="W72" s="267">
        <v>0</v>
      </c>
      <c r="X72" s="267">
        <v>0</v>
      </c>
    </row>
    <row r="73" spans="1:24" x14ac:dyDescent="0.2">
      <c r="A73" s="218" t="s">
        <v>197</v>
      </c>
      <c r="B73" s="267">
        <v>0</v>
      </c>
      <c r="C73" s="267">
        <v>0</v>
      </c>
      <c r="D73" s="267">
        <v>0</v>
      </c>
      <c r="E73" s="267">
        <v>0</v>
      </c>
      <c r="F73" s="267">
        <v>0</v>
      </c>
      <c r="G73" s="267">
        <v>0</v>
      </c>
      <c r="H73" s="267">
        <v>0</v>
      </c>
      <c r="I73" s="267">
        <v>0</v>
      </c>
      <c r="J73" s="267">
        <v>0</v>
      </c>
      <c r="K73" s="267">
        <v>0</v>
      </c>
      <c r="L73" s="267">
        <v>0</v>
      </c>
      <c r="M73" s="267">
        <v>0</v>
      </c>
      <c r="N73" s="267">
        <v>0</v>
      </c>
      <c r="O73" s="267">
        <v>0</v>
      </c>
      <c r="P73" s="267">
        <v>0</v>
      </c>
      <c r="Q73" s="267">
        <v>0</v>
      </c>
      <c r="R73" s="267">
        <v>0</v>
      </c>
      <c r="S73" s="267">
        <v>0</v>
      </c>
      <c r="T73" s="267">
        <v>0</v>
      </c>
      <c r="U73" s="267">
        <v>0</v>
      </c>
      <c r="V73" s="267">
        <v>0</v>
      </c>
      <c r="W73" s="267">
        <v>0</v>
      </c>
      <c r="X73" s="267">
        <v>0</v>
      </c>
    </row>
    <row r="74" spans="1:24" x14ac:dyDescent="0.2">
      <c r="A74" s="218" t="s">
        <v>198</v>
      </c>
      <c r="B74" s="267">
        <v>1</v>
      </c>
      <c r="C74" s="267">
        <v>1</v>
      </c>
      <c r="D74" s="267">
        <v>1</v>
      </c>
      <c r="E74" s="267">
        <v>1</v>
      </c>
      <c r="F74" s="267">
        <v>1</v>
      </c>
      <c r="G74" s="267">
        <v>1</v>
      </c>
      <c r="H74" s="267">
        <v>1</v>
      </c>
      <c r="I74" s="267">
        <v>1</v>
      </c>
      <c r="J74" s="267">
        <v>1</v>
      </c>
      <c r="K74" s="267">
        <v>1</v>
      </c>
      <c r="L74" s="267">
        <v>1</v>
      </c>
      <c r="M74" s="267">
        <v>1</v>
      </c>
      <c r="N74" s="267">
        <v>1</v>
      </c>
      <c r="O74" s="267">
        <v>1</v>
      </c>
      <c r="P74" s="267">
        <v>1</v>
      </c>
      <c r="Q74" s="267">
        <v>1</v>
      </c>
      <c r="R74" s="267">
        <v>1</v>
      </c>
      <c r="S74" s="267">
        <v>1</v>
      </c>
      <c r="T74" s="267">
        <v>1</v>
      </c>
      <c r="U74" s="267">
        <v>1</v>
      </c>
      <c r="V74" s="267">
        <v>1</v>
      </c>
      <c r="W74" s="267">
        <v>1</v>
      </c>
      <c r="X74" s="267">
        <v>1</v>
      </c>
    </row>
    <row r="75" spans="1:24" x14ac:dyDescent="0.2">
      <c r="A75" s="218" t="s">
        <v>199</v>
      </c>
      <c r="B75" s="267">
        <v>1</v>
      </c>
      <c r="C75" s="267">
        <v>1</v>
      </c>
      <c r="D75" s="267">
        <v>1</v>
      </c>
      <c r="E75" s="267">
        <v>1</v>
      </c>
      <c r="F75" s="267">
        <v>1</v>
      </c>
      <c r="G75" s="267">
        <v>1</v>
      </c>
      <c r="H75" s="267">
        <v>1</v>
      </c>
      <c r="I75" s="267">
        <v>1</v>
      </c>
      <c r="J75" s="267">
        <v>1</v>
      </c>
      <c r="K75" s="267">
        <v>1</v>
      </c>
      <c r="L75" s="267">
        <v>1</v>
      </c>
      <c r="M75" s="267">
        <v>1</v>
      </c>
      <c r="N75" s="267">
        <v>1</v>
      </c>
      <c r="O75" s="267">
        <v>1</v>
      </c>
      <c r="P75" s="267">
        <v>1</v>
      </c>
      <c r="Q75" s="267">
        <v>1</v>
      </c>
      <c r="R75" s="267">
        <v>1</v>
      </c>
      <c r="S75" s="267">
        <v>1</v>
      </c>
      <c r="T75" s="267">
        <v>1</v>
      </c>
      <c r="U75" s="267">
        <v>1</v>
      </c>
      <c r="V75" s="267">
        <v>1</v>
      </c>
      <c r="W75" s="267">
        <v>1</v>
      </c>
      <c r="X75" s="267">
        <v>1</v>
      </c>
    </row>
    <row r="76" spans="1:24" x14ac:dyDescent="0.2">
      <c r="A76" s="218" t="s">
        <v>200</v>
      </c>
      <c r="B76" s="267">
        <v>1</v>
      </c>
      <c r="C76" s="267">
        <v>1</v>
      </c>
      <c r="D76" s="267">
        <v>1</v>
      </c>
      <c r="E76" s="267">
        <v>1</v>
      </c>
      <c r="F76" s="267">
        <v>1</v>
      </c>
      <c r="G76" s="267">
        <v>1</v>
      </c>
      <c r="H76" s="267">
        <v>1</v>
      </c>
      <c r="I76" s="267">
        <v>1</v>
      </c>
      <c r="J76" s="267">
        <v>1</v>
      </c>
      <c r="K76" s="267">
        <v>1</v>
      </c>
      <c r="L76" s="267">
        <v>1</v>
      </c>
      <c r="M76" s="267">
        <v>1</v>
      </c>
      <c r="N76" s="267">
        <v>1</v>
      </c>
      <c r="O76" s="267">
        <v>1</v>
      </c>
      <c r="P76" s="267">
        <v>1</v>
      </c>
      <c r="Q76" s="267">
        <v>1</v>
      </c>
      <c r="R76" s="267">
        <v>1</v>
      </c>
      <c r="S76" s="267">
        <v>1</v>
      </c>
      <c r="T76" s="267">
        <v>1</v>
      </c>
      <c r="U76" s="267">
        <v>1</v>
      </c>
      <c r="V76" s="267">
        <v>1</v>
      </c>
      <c r="W76" s="267">
        <v>1</v>
      </c>
      <c r="X76" s="267">
        <v>1</v>
      </c>
    </row>
    <row r="77" spans="1:24" x14ac:dyDescent="0.2">
      <c r="A77" s="218" t="s">
        <v>201</v>
      </c>
      <c r="B77" s="267">
        <v>0</v>
      </c>
      <c r="C77" s="267">
        <v>0</v>
      </c>
      <c r="D77" s="267">
        <v>0</v>
      </c>
      <c r="E77" s="267">
        <v>0</v>
      </c>
      <c r="F77" s="267">
        <v>0</v>
      </c>
      <c r="G77" s="267">
        <v>0</v>
      </c>
      <c r="H77" s="267">
        <v>0</v>
      </c>
      <c r="I77" s="267">
        <v>0</v>
      </c>
      <c r="J77" s="267">
        <v>0</v>
      </c>
      <c r="K77" s="267">
        <v>0</v>
      </c>
      <c r="L77" s="267">
        <v>0</v>
      </c>
      <c r="M77" s="267">
        <v>0</v>
      </c>
      <c r="N77" s="267">
        <v>0</v>
      </c>
      <c r="O77" s="267">
        <v>0</v>
      </c>
      <c r="P77" s="267">
        <v>0</v>
      </c>
      <c r="Q77" s="267">
        <v>0</v>
      </c>
      <c r="R77" s="267">
        <v>0</v>
      </c>
      <c r="S77" s="267">
        <v>0</v>
      </c>
      <c r="T77" s="267">
        <v>0</v>
      </c>
      <c r="U77" s="267">
        <v>0</v>
      </c>
      <c r="V77" s="267">
        <v>0</v>
      </c>
      <c r="W77" s="267">
        <v>0</v>
      </c>
      <c r="X77" s="267">
        <v>0</v>
      </c>
    </row>
    <row r="78" spans="1:24" x14ac:dyDescent="0.2">
      <c r="A78" s="218" t="s">
        <v>202</v>
      </c>
      <c r="B78" s="267">
        <v>0</v>
      </c>
      <c r="C78" s="267">
        <v>0</v>
      </c>
      <c r="D78" s="267">
        <v>0</v>
      </c>
      <c r="E78" s="267">
        <v>0</v>
      </c>
      <c r="F78" s="267">
        <v>0</v>
      </c>
      <c r="G78" s="267">
        <v>0</v>
      </c>
      <c r="H78" s="267">
        <v>0</v>
      </c>
      <c r="I78" s="267">
        <v>0</v>
      </c>
      <c r="J78" s="267">
        <v>0</v>
      </c>
      <c r="K78" s="267">
        <v>0</v>
      </c>
      <c r="L78" s="267">
        <v>0</v>
      </c>
      <c r="M78" s="267">
        <v>0</v>
      </c>
      <c r="N78" s="267">
        <v>0</v>
      </c>
      <c r="O78" s="267">
        <v>0</v>
      </c>
      <c r="P78" s="267">
        <v>0</v>
      </c>
      <c r="Q78" s="267">
        <v>0</v>
      </c>
      <c r="R78" s="267">
        <v>0</v>
      </c>
      <c r="S78" s="267">
        <v>0</v>
      </c>
      <c r="T78" s="267">
        <v>0</v>
      </c>
      <c r="U78" s="267">
        <v>0</v>
      </c>
      <c r="V78" s="267">
        <v>0</v>
      </c>
      <c r="W78" s="267">
        <v>0</v>
      </c>
      <c r="X78" s="267">
        <v>0</v>
      </c>
    </row>
    <row r="79" spans="1:24" x14ac:dyDescent="0.2">
      <c r="A79" s="218" t="s">
        <v>203</v>
      </c>
      <c r="B79" s="267">
        <v>0</v>
      </c>
      <c r="C79" s="267">
        <v>0</v>
      </c>
      <c r="D79" s="267">
        <v>0</v>
      </c>
      <c r="E79" s="267">
        <v>0</v>
      </c>
      <c r="F79" s="267">
        <v>0</v>
      </c>
      <c r="G79" s="267">
        <v>0</v>
      </c>
      <c r="H79" s="267">
        <v>0</v>
      </c>
      <c r="I79" s="267">
        <v>0</v>
      </c>
      <c r="J79" s="267">
        <v>0</v>
      </c>
      <c r="K79" s="267">
        <v>0</v>
      </c>
      <c r="L79" s="267">
        <v>0</v>
      </c>
      <c r="M79" s="267">
        <v>0</v>
      </c>
      <c r="N79" s="267">
        <v>0</v>
      </c>
      <c r="O79" s="267">
        <v>0</v>
      </c>
      <c r="P79" s="267">
        <v>0</v>
      </c>
      <c r="Q79" s="267">
        <v>0</v>
      </c>
      <c r="R79" s="267">
        <v>0</v>
      </c>
      <c r="S79" s="267">
        <v>0</v>
      </c>
      <c r="T79" s="267">
        <v>0</v>
      </c>
      <c r="U79" s="267">
        <v>0</v>
      </c>
      <c r="V79" s="267">
        <v>0</v>
      </c>
      <c r="W79" s="267">
        <v>0</v>
      </c>
      <c r="X79" s="267">
        <v>0</v>
      </c>
    </row>
    <row r="80" spans="1:24" x14ac:dyDescent="0.2">
      <c r="A80" s="218"/>
      <c r="B80" s="218"/>
      <c r="C80" s="218"/>
      <c r="D80" s="218"/>
      <c r="E80" s="218"/>
      <c r="F80" s="265"/>
      <c r="G80" s="212"/>
      <c r="I80" s="65"/>
      <c r="R80" s="219"/>
      <c r="W80" s="65"/>
      <c r="X80" s="65"/>
    </row>
    <row r="81" spans="1:24" ht="13.5" thickBot="1" x14ac:dyDescent="0.25">
      <c r="A81" s="218" t="s">
        <v>9</v>
      </c>
      <c r="B81" s="220">
        <f t="shared" ref="B81:X81" si="3">SUM(B68:B80)</f>
        <v>3</v>
      </c>
      <c r="C81" s="220">
        <f t="shared" si="3"/>
        <v>3</v>
      </c>
      <c r="D81" s="220">
        <f t="shared" si="3"/>
        <v>3</v>
      </c>
      <c r="E81" s="220">
        <f t="shared" si="3"/>
        <v>3</v>
      </c>
      <c r="F81" s="220">
        <f t="shared" si="3"/>
        <v>3</v>
      </c>
      <c r="G81" s="220">
        <f t="shared" si="3"/>
        <v>3</v>
      </c>
      <c r="H81" s="220">
        <f t="shared" si="3"/>
        <v>3</v>
      </c>
      <c r="I81" s="220">
        <f t="shared" si="3"/>
        <v>3</v>
      </c>
      <c r="J81" s="220">
        <f t="shared" si="3"/>
        <v>3</v>
      </c>
      <c r="K81" s="220">
        <f t="shared" si="3"/>
        <v>3</v>
      </c>
      <c r="L81" s="220">
        <f t="shared" si="3"/>
        <v>3</v>
      </c>
      <c r="M81" s="220">
        <f t="shared" si="3"/>
        <v>3</v>
      </c>
      <c r="N81" s="220">
        <f t="shared" si="3"/>
        <v>3</v>
      </c>
      <c r="O81" s="220">
        <f t="shared" si="3"/>
        <v>3</v>
      </c>
      <c r="P81" s="220">
        <f t="shared" si="3"/>
        <v>3</v>
      </c>
      <c r="Q81" s="220">
        <f t="shared" si="3"/>
        <v>3</v>
      </c>
      <c r="R81" s="220">
        <f t="shared" si="3"/>
        <v>3</v>
      </c>
      <c r="S81" s="220">
        <f t="shared" si="3"/>
        <v>3</v>
      </c>
      <c r="T81" s="220">
        <f t="shared" si="3"/>
        <v>3</v>
      </c>
      <c r="U81" s="220">
        <f t="shared" si="3"/>
        <v>3</v>
      </c>
      <c r="V81" s="220">
        <f t="shared" si="3"/>
        <v>3</v>
      </c>
      <c r="W81" s="220">
        <f t="shared" si="3"/>
        <v>3</v>
      </c>
      <c r="X81" s="220">
        <f t="shared" si="3"/>
        <v>3</v>
      </c>
    </row>
    <row r="82" spans="1:24" ht="13.5" thickTop="1" x14ac:dyDescent="0.2">
      <c r="A82" s="223" t="s">
        <v>215</v>
      </c>
      <c r="B82" s="223"/>
      <c r="C82" s="223"/>
      <c r="D82" s="223"/>
      <c r="E82" s="223"/>
      <c r="F82" s="217"/>
      <c r="G82" s="217"/>
    </row>
    <row r="83" spans="1:24" x14ac:dyDescent="0.2">
      <c r="A83" s="264" t="s">
        <v>216</v>
      </c>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row>
    <row r="86" spans="1:24" x14ac:dyDescent="0.2">
      <c r="A86" s="218"/>
      <c r="B86" s="218"/>
      <c r="C86" s="218"/>
      <c r="D86" s="218"/>
      <c r="E86" s="218"/>
      <c r="F86" s="217"/>
      <c r="G86" s="217"/>
      <c r="H86" s="217"/>
      <c r="I86" s="217"/>
    </row>
    <row r="87" spans="1:24" x14ac:dyDescent="0.2">
      <c r="A87" s="218" t="s">
        <v>193</v>
      </c>
      <c r="B87" s="267">
        <v>0</v>
      </c>
      <c r="C87" s="267">
        <v>0</v>
      </c>
      <c r="D87" s="267">
        <v>0</v>
      </c>
      <c r="E87" s="267">
        <v>0</v>
      </c>
      <c r="F87" s="267">
        <v>0</v>
      </c>
      <c r="G87" s="267">
        <v>0</v>
      </c>
      <c r="H87" s="267">
        <v>0</v>
      </c>
      <c r="I87" s="267">
        <v>0</v>
      </c>
      <c r="J87" s="267">
        <v>0</v>
      </c>
      <c r="K87" s="267">
        <v>0</v>
      </c>
      <c r="L87" s="267">
        <v>0</v>
      </c>
      <c r="M87" s="267">
        <v>0</v>
      </c>
      <c r="N87" s="267">
        <v>0</v>
      </c>
      <c r="O87" s="267">
        <v>0</v>
      </c>
      <c r="P87" s="267">
        <v>0</v>
      </c>
      <c r="Q87" s="267">
        <v>0</v>
      </c>
      <c r="R87" s="267">
        <v>0</v>
      </c>
      <c r="S87" s="267">
        <v>0</v>
      </c>
      <c r="T87" s="267">
        <v>0</v>
      </c>
      <c r="U87" s="267">
        <v>0</v>
      </c>
      <c r="V87" s="267">
        <v>0</v>
      </c>
      <c r="W87" s="267">
        <v>0</v>
      </c>
      <c r="X87" s="267">
        <v>0</v>
      </c>
    </row>
    <row r="88" spans="1:24" x14ac:dyDescent="0.2">
      <c r="A88" s="218" t="s">
        <v>194</v>
      </c>
      <c r="B88" s="267">
        <v>0</v>
      </c>
      <c r="C88" s="267">
        <v>0</v>
      </c>
      <c r="D88" s="267">
        <v>0</v>
      </c>
      <c r="E88" s="267">
        <v>0</v>
      </c>
      <c r="F88" s="267">
        <v>0</v>
      </c>
      <c r="G88" s="267">
        <v>0</v>
      </c>
      <c r="H88" s="267">
        <v>0</v>
      </c>
      <c r="I88" s="267">
        <v>0</v>
      </c>
      <c r="J88" s="267">
        <v>0</v>
      </c>
      <c r="K88" s="267">
        <v>0</v>
      </c>
      <c r="L88" s="267">
        <v>0</v>
      </c>
      <c r="M88" s="267">
        <v>0</v>
      </c>
      <c r="N88" s="267">
        <v>0</v>
      </c>
      <c r="O88" s="267">
        <v>0</v>
      </c>
      <c r="P88" s="267">
        <v>0</v>
      </c>
      <c r="Q88" s="267">
        <v>0</v>
      </c>
      <c r="R88" s="267">
        <v>0</v>
      </c>
      <c r="S88" s="267">
        <v>0</v>
      </c>
      <c r="T88" s="267">
        <v>0</v>
      </c>
      <c r="U88" s="267">
        <v>0</v>
      </c>
      <c r="V88" s="267">
        <v>0</v>
      </c>
      <c r="W88" s="267">
        <v>0</v>
      </c>
      <c r="X88" s="267">
        <v>0</v>
      </c>
    </row>
    <row r="89" spans="1:24" x14ac:dyDescent="0.2">
      <c r="A89" s="218" t="s">
        <v>195</v>
      </c>
      <c r="B89" s="267">
        <v>1</v>
      </c>
      <c r="C89" s="267">
        <v>1</v>
      </c>
      <c r="D89" s="267">
        <v>1</v>
      </c>
      <c r="E89" s="267">
        <v>1</v>
      </c>
      <c r="F89" s="267">
        <v>1</v>
      </c>
      <c r="G89" s="267">
        <v>1</v>
      </c>
      <c r="H89" s="267">
        <v>1</v>
      </c>
      <c r="I89" s="267">
        <v>1</v>
      </c>
      <c r="J89" s="267">
        <v>1</v>
      </c>
      <c r="K89" s="267">
        <v>1</v>
      </c>
      <c r="L89" s="267">
        <v>1</v>
      </c>
      <c r="M89" s="267">
        <v>1</v>
      </c>
      <c r="N89" s="267">
        <v>1</v>
      </c>
      <c r="O89" s="267">
        <v>1</v>
      </c>
      <c r="P89" s="267">
        <v>1</v>
      </c>
      <c r="Q89" s="267">
        <v>1</v>
      </c>
      <c r="R89" s="267">
        <v>1</v>
      </c>
      <c r="S89" s="267">
        <v>1</v>
      </c>
      <c r="T89" s="267">
        <v>1</v>
      </c>
      <c r="U89" s="267">
        <v>1</v>
      </c>
      <c r="V89" s="267">
        <v>1</v>
      </c>
      <c r="W89" s="267">
        <v>1</v>
      </c>
      <c r="X89" s="267">
        <v>1</v>
      </c>
    </row>
    <row r="90" spans="1:24" x14ac:dyDescent="0.2">
      <c r="A90" s="218" t="s">
        <v>196</v>
      </c>
      <c r="B90" s="267">
        <v>1</v>
      </c>
      <c r="C90" s="267">
        <v>1</v>
      </c>
      <c r="D90" s="267">
        <v>1</v>
      </c>
      <c r="E90" s="267">
        <v>1</v>
      </c>
      <c r="F90" s="267">
        <v>1</v>
      </c>
      <c r="G90" s="267">
        <v>1</v>
      </c>
      <c r="H90" s="267">
        <v>1</v>
      </c>
      <c r="I90" s="267">
        <v>1</v>
      </c>
      <c r="J90" s="267">
        <v>1</v>
      </c>
      <c r="K90" s="267">
        <v>1</v>
      </c>
      <c r="L90" s="267">
        <v>1</v>
      </c>
      <c r="M90" s="267">
        <v>1</v>
      </c>
      <c r="N90" s="267">
        <v>1</v>
      </c>
      <c r="O90" s="267">
        <v>1</v>
      </c>
      <c r="P90" s="267">
        <v>1</v>
      </c>
      <c r="Q90" s="267">
        <v>1</v>
      </c>
      <c r="R90" s="267">
        <v>1</v>
      </c>
      <c r="S90" s="267">
        <v>1</v>
      </c>
      <c r="T90" s="267">
        <v>1</v>
      </c>
      <c r="U90" s="267">
        <v>1</v>
      </c>
      <c r="V90" s="267">
        <v>1</v>
      </c>
      <c r="W90" s="267">
        <v>1</v>
      </c>
      <c r="X90" s="267">
        <v>1</v>
      </c>
    </row>
    <row r="91" spans="1:24" x14ac:dyDescent="0.2">
      <c r="A91" s="218" t="s">
        <v>86</v>
      </c>
      <c r="B91" s="267">
        <v>1</v>
      </c>
      <c r="C91" s="267">
        <v>1</v>
      </c>
      <c r="D91" s="267">
        <v>1</v>
      </c>
      <c r="E91" s="267">
        <v>1</v>
      </c>
      <c r="F91" s="267">
        <v>1</v>
      </c>
      <c r="G91" s="267">
        <v>1</v>
      </c>
      <c r="H91" s="267">
        <v>1</v>
      </c>
      <c r="I91" s="267">
        <v>1</v>
      </c>
      <c r="J91" s="267">
        <v>1</v>
      </c>
      <c r="K91" s="267">
        <v>1</v>
      </c>
      <c r="L91" s="267">
        <v>1</v>
      </c>
      <c r="M91" s="267">
        <v>1</v>
      </c>
      <c r="N91" s="267">
        <v>1</v>
      </c>
      <c r="O91" s="267">
        <v>1</v>
      </c>
      <c r="P91" s="267">
        <v>1</v>
      </c>
      <c r="Q91" s="267">
        <v>1</v>
      </c>
      <c r="R91" s="267">
        <v>1</v>
      </c>
      <c r="S91" s="267">
        <v>1</v>
      </c>
      <c r="T91" s="267">
        <v>1</v>
      </c>
      <c r="U91" s="267">
        <v>1</v>
      </c>
      <c r="V91" s="267">
        <v>1</v>
      </c>
      <c r="W91" s="267">
        <v>1</v>
      </c>
      <c r="X91" s="267">
        <v>1</v>
      </c>
    </row>
    <row r="92" spans="1:24" x14ac:dyDescent="0.2">
      <c r="A92" s="218" t="s">
        <v>197</v>
      </c>
      <c r="B92" s="267">
        <v>0</v>
      </c>
      <c r="C92" s="267">
        <v>0</v>
      </c>
      <c r="D92" s="267">
        <v>0</v>
      </c>
      <c r="E92" s="267">
        <v>0</v>
      </c>
      <c r="F92" s="267">
        <v>0</v>
      </c>
      <c r="G92" s="267">
        <v>0</v>
      </c>
      <c r="H92" s="267">
        <v>0</v>
      </c>
      <c r="I92" s="267">
        <v>0</v>
      </c>
      <c r="J92" s="267">
        <v>0</v>
      </c>
      <c r="K92" s="267">
        <v>0</v>
      </c>
      <c r="L92" s="267">
        <v>0</v>
      </c>
      <c r="M92" s="267">
        <v>0</v>
      </c>
      <c r="N92" s="267">
        <v>0</v>
      </c>
      <c r="O92" s="267">
        <v>0</v>
      </c>
      <c r="P92" s="267">
        <v>0</v>
      </c>
      <c r="Q92" s="267">
        <v>0</v>
      </c>
      <c r="R92" s="267">
        <v>0</v>
      </c>
      <c r="S92" s="267">
        <v>0</v>
      </c>
      <c r="T92" s="267">
        <v>0</v>
      </c>
      <c r="U92" s="267">
        <v>0</v>
      </c>
      <c r="V92" s="267">
        <v>0</v>
      </c>
      <c r="W92" s="267">
        <v>0</v>
      </c>
      <c r="X92" s="267">
        <v>0</v>
      </c>
    </row>
    <row r="93" spans="1:24" x14ac:dyDescent="0.2">
      <c r="A93" s="218" t="s">
        <v>198</v>
      </c>
      <c r="B93" s="267">
        <v>0</v>
      </c>
      <c r="C93" s="267">
        <v>0</v>
      </c>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0</v>
      </c>
      <c r="T93" s="267">
        <v>0</v>
      </c>
      <c r="U93" s="267">
        <v>0</v>
      </c>
      <c r="V93" s="267">
        <v>0</v>
      </c>
      <c r="W93" s="267">
        <v>0</v>
      </c>
      <c r="X93" s="267">
        <v>0</v>
      </c>
    </row>
    <row r="94" spans="1:24" x14ac:dyDescent="0.2">
      <c r="A94" s="218" t="s">
        <v>199</v>
      </c>
      <c r="B94" s="267">
        <v>0</v>
      </c>
      <c r="C94" s="267">
        <v>0</v>
      </c>
      <c r="D94" s="267">
        <v>0</v>
      </c>
      <c r="E94" s="267">
        <v>0</v>
      </c>
      <c r="F94" s="267">
        <v>0</v>
      </c>
      <c r="G94" s="267">
        <v>0</v>
      </c>
      <c r="H94" s="267">
        <v>0</v>
      </c>
      <c r="I94" s="267">
        <v>0</v>
      </c>
      <c r="J94" s="267">
        <v>0</v>
      </c>
      <c r="K94" s="267">
        <v>0</v>
      </c>
      <c r="L94" s="267">
        <v>0</v>
      </c>
      <c r="M94" s="267">
        <v>0</v>
      </c>
      <c r="N94" s="267">
        <v>0</v>
      </c>
      <c r="O94" s="267">
        <v>0</v>
      </c>
      <c r="P94" s="267">
        <v>0</v>
      </c>
      <c r="Q94" s="267">
        <v>0</v>
      </c>
      <c r="R94" s="267">
        <v>0</v>
      </c>
      <c r="S94" s="267">
        <v>0</v>
      </c>
      <c r="T94" s="267">
        <v>0</v>
      </c>
      <c r="U94" s="267">
        <v>0</v>
      </c>
      <c r="V94" s="267">
        <v>0</v>
      </c>
      <c r="W94" s="267">
        <v>0</v>
      </c>
      <c r="X94" s="267">
        <v>0</v>
      </c>
    </row>
    <row r="95" spans="1:24" x14ac:dyDescent="0.2">
      <c r="A95" s="218" t="s">
        <v>200</v>
      </c>
      <c r="B95" s="267">
        <v>0</v>
      </c>
      <c r="C95" s="267">
        <v>0</v>
      </c>
      <c r="D95" s="267">
        <v>0</v>
      </c>
      <c r="E95" s="267">
        <v>0</v>
      </c>
      <c r="F95" s="267">
        <v>0</v>
      </c>
      <c r="G95" s="267">
        <v>0</v>
      </c>
      <c r="H95" s="267">
        <v>0</v>
      </c>
      <c r="I95" s="267">
        <v>0</v>
      </c>
      <c r="J95" s="267">
        <v>0</v>
      </c>
      <c r="K95" s="267">
        <v>0</v>
      </c>
      <c r="L95" s="267">
        <v>0</v>
      </c>
      <c r="M95" s="267">
        <v>0</v>
      </c>
      <c r="N95" s="267">
        <v>0</v>
      </c>
      <c r="O95" s="267">
        <v>0</v>
      </c>
      <c r="P95" s="267">
        <v>0</v>
      </c>
      <c r="Q95" s="267">
        <v>0</v>
      </c>
      <c r="R95" s="267">
        <v>0</v>
      </c>
      <c r="S95" s="267">
        <v>0</v>
      </c>
      <c r="T95" s="267">
        <v>0</v>
      </c>
      <c r="U95" s="267">
        <v>0</v>
      </c>
      <c r="V95" s="267">
        <v>0</v>
      </c>
      <c r="W95" s="267">
        <v>0</v>
      </c>
      <c r="X95" s="267">
        <v>0</v>
      </c>
    </row>
    <row r="96" spans="1:24" x14ac:dyDescent="0.2">
      <c r="A96" s="218" t="s">
        <v>201</v>
      </c>
      <c r="B96" s="267">
        <v>0</v>
      </c>
      <c r="C96" s="267">
        <v>0</v>
      </c>
      <c r="D96" s="267">
        <v>0</v>
      </c>
      <c r="E96" s="267">
        <v>0</v>
      </c>
      <c r="F96" s="267">
        <v>0</v>
      </c>
      <c r="G96" s="267">
        <v>0</v>
      </c>
      <c r="H96" s="267">
        <v>0</v>
      </c>
      <c r="I96" s="267">
        <v>0</v>
      </c>
      <c r="J96" s="267">
        <v>0</v>
      </c>
      <c r="K96" s="267">
        <v>0</v>
      </c>
      <c r="L96" s="267">
        <v>0</v>
      </c>
      <c r="M96" s="267">
        <v>0</v>
      </c>
      <c r="N96" s="267">
        <v>0</v>
      </c>
      <c r="O96" s="267">
        <v>0</v>
      </c>
      <c r="P96" s="267">
        <v>0</v>
      </c>
      <c r="Q96" s="267">
        <v>0</v>
      </c>
      <c r="R96" s="267">
        <v>0</v>
      </c>
      <c r="S96" s="267">
        <v>0</v>
      </c>
      <c r="T96" s="267">
        <v>0</v>
      </c>
      <c r="U96" s="267">
        <v>0</v>
      </c>
      <c r="V96" s="267">
        <v>0</v>
      </c>
      <c r="W96" s="267">
        <v>0</v>
      </c>
      <c r="X96" s="267">
        <v>0</v>
      </c>
    </row>
    <row r="97" spans="1:26" x14ac:dyDescent="0.2">
      <c r="A97" s="218" t="s">
        <v>202</v>
      </c>
      <c r="B97" s="267">
        <v>0</v>
      </c>
      <c r="C97" s="267">
        <v>0</v>
      </c>
      <c r="D97" s="267">
        <v>0</v>
      </c>
      <c r="E97" s="267">
        <v>0</v>
      </c>
      <c r="F97" s="267">
        <v>0</v>
      </c>
      <c r="G97" s="267">
        <v>0</v>
      </c>
      <c r="H97" s="267">
        <v>0</v>
      </c>
      <c r="I97" s="267">
        <v>0</v>
      </c>
      <c r="J97" s="267">
        <v>0</v>
      </c>
      <c r="K97" s="267">
        <v>0</v>
      </c>
      <c r="L97" s="267">
        <v>0</v>
      </c>
      <c r="M97" s="267">
        <v>0</v>
      </c>
      <c r="N97" s="267">
        <v>0</v>
      </c>
      <c r="O97" s="267">
        <v>0</v>
      </c>
      <c r="P97" s="267">
        <v>0</v>
      </c>
      <c r="Q97" s="267">
        <v>0</v>
      </c>
      <c r="R97" s="267">
        <v>0</v>
      </c>
      <c r="S97" s="267">
        <v>0</v>
      </c>
      <c r="T97" s="267">
        <v>0</v>
      </c>
      <c r="U97" s="267">
        <v>0</v>
      </c>
      <c r="V97" s="267">
        <v>0</v>
      </c>
      <c r="W97" s="267">
        <v>0</v>
      </c>
      <c r="X97" s="267">
        <v>0</v>
      </c>
    </row>
    <row r="98" spans="1:26" x14ac:dyDescent="0.2">
      <c r="A98" s="218" t="s">
        <v>203</v>
      </c>
      <c r="B98" s="267">
        <v>0</v>
      </c>
      <c r="C98" s="267">
        <v>0</v>
      </c>
      <c r="D98" s="267">
        <v>0</v>
      </c>
      <c r="E98" s="267">
        <v>0</v>
      </c>
      <c r="F98" s="267">
        <v>0</v>
      </c>
      <c r="G98" s="267">
        <v>0</v>
      </c>
      <c r="H98" s="267">
        <v>0</v>
      </c>
      <c r="I98" s="267">
        <v>0</v>
      </c>
      <c r="J98" s="267">
        <v>0</v>
      </c>
      <c r="K98" s="267">
        <v>0</v>
      </c>
      <c r="L98" s="267">
        <v>0</v>
      </c>
      <c r="M98" s="267">
        <v>0</v>
      </c>
      <c r="N98" s="267">
        <v>0</v>
      </c>
      <c r="O98" s="267">
        <v>0</v>
      </c>
      <c r="P98" s="267">
        <v>0</v>
      </c>
      <c r="Q98" s="267">
        <v>0</v>
      </c>
      <c r="R98" s="267">
        <v>0</v>
      </c>
      <c r="S98" s="267">
        <v>0</v>
      </c>
      <c r="T98" s="267">
        <v>0</v>
      </c>
      <c r="U98" s="267">
        <v>0</v>
      </c>
      <c r="V98" s="267">
        <v>0</v>
      </c>
      <c r="W98" s="267">
        <v>0</v>
      </c>
      <c r="X98" s="267">
        <v>0</v>
      </c>
      <c r="Z98" t="s">
        <v>205</v>
      </c>
    </row>
    <row r="99" spans="1:26" x14ac:dyDescent="0.2">
      <c r="A99" s="218"/>
      <c r="B99" s="218"/>
      <c r="C99" s="218"/>
      <c r="D99" s="218"/>
      <c r="E99" s="218"/>
      <c r="F99" s="265"/>
      <c r="G99" s="212"/>
      <c r="I99" s="65"/>
      <c r="R99" s="219"/>
      <c r="W99" s="65"/>
      <c r="X99" s="65"/>
    </row>
    <row r="100" spans="1:26" ht="13.5" thickBot="1" x14ac:dyDescent="0.25">
      <c r="A100" s="218" t="s">
        <v>9</v>
      </c>
      <c r="B100" s="220">
        <f t="shared" ref="B100:X100" si="4">SUM(B87:B99)</f>
        <v>3</v>
      </c>
      <c r="C100" s="220">
        <f t="shared" si="4"/>
        <v>3</v>
      </c>
      <c r="D100" s="220">
        <f t="shared" si="4"/>
        <v>3</v>
      </c>
      <c r="E100" s="220">
        <f t="shared" si="4"/>
        <v>3</v>
      </c>
      <c r="F100" s="220">
        <f t="shared" si="4"/>
        <v>3</v>
      </c>
      <c r="G100" s="220">
        <f t="shared" si="4"/>
        <v>3</v>
      </c>
      <c r="H100" s="220">
        <f t="shared" si="4"/>
        <v>3</v>
      </c>
      <c r="I100" s="220">
        <f t="shared" si="4"/>
        <v>3</v>
      </c>
      <c r="J100" s="220">
        <f t="shared" si="4"/>
        <v>3</v>
      </c>
      <c r="K100" s="220">
        <f t="shared" si="4"/>
        <v>3</v>
      </c>
      <c r="L100" s="220">
        <f t="shared" si="4"/>
        <v>3</v>
      </c>
      <c r="M100" s="220">
        <f t="shared" si="4"/>
        <v>3</v>
      </c>
      <c r="N100" s="220">
        <f t="shared" si="4"/>
        <v>3</v>
      </c>
      <c r="O100" s="220">
        <f t="shared" si="4"/>
        <v>3</v>
      </c>
      <c r="P100" s="220">
        <f t="shared" si="4"/>
        <v>3</v>
      </c>
      <c r="Q100" s="220">
        <f t="shared" si="4"/>
        <v>3</v>
      </c>
      <c r="R100" s="220">
        <f t="shared" si="4"/>
        <v>3</v>
      </c>
      <c r="S100" s="220">
        <f t="shared" si="4"/>
        <v>3</v>
      </c>
      <c r="T100" s="220">
        <f t="shared" si="4"/>
        <v>3</v>
      </c>
      <c r="U100" s="220">
        <f t="shared" si="4"/>
        <v>3</v>
      </c>
      <c r="V100" s="220">
        <f t="shared" si="4"/>
        <v>3</v>
      </c>
      <c r="W100" s="220">
        <f t="shared" si="4"/>
        <v>3</v>
      </c>
      <c r="X100" s="220">
        <f t="shared" si="4"/>
        <v>3</v>
      </c>
    </row>
    <row r="101" spans="1:26" ht="13.5" thickTop="1" x14ac:dyDescent="0.2">
      <c r="A101" s="223" t="s">
        <v>217</v>
      </c>
      <c r="B101" s="223"/>
      <c r="C101" s="223"/>
      <c r="D101" s="223"/>
      <c r="E101" s="223"/>
      <c r="F101" s="217"/>
      <c r="G101" s="217"/>
    </row>
    <row r="102" spans="1:26" x14ac:dyDescent="0.2">
      <c r="A102" s="264" t="s">
        <v>218</v>
      </c>
      <c r="B102" s="214"/>
      <c r="C102" s="214"/>
      <c r="D102" s="214"/>
      <c r="E102" s="214"/>
      <c r="F102" s="215"/>
      <c r="G102" s="215"/>
    </row>
    <row r="103" spans="1:26" x14ac:dyDescent="0.2">
      <c r="A103" s="216" t="s">
        <v>192</v>
      </c>
      <c r="B103" s="216">
        <v>1992</v>
      </c>
      <c r="C103" s="216">
        <v>1993</v>
      </c>
      <c r="D103" s="216">
        <v>1994</v>
      </c>
      <c r="E103" s="216">
        <v>1995</v>
      </c>
      <c r="F103" s="216">
        <v>1996</v>
      </c>
      <c r="G103" s="216">
        <v>1997</v>
      </c>
      <c r="H103" s="216">
        <v>1998</v>
      </c>
      <c r="I103" s="216">
        <v>1999</v>
      </c>
      <c r="J103" s="216">
        <v>2000</v>
      </c>
      <c r="K103" s="216">
        <v>2001</v>
      </c>
      <c r="L103" s="216">
        <v>2002</v>
      </c>
      <c r="M103" s="216">
        <v>2003</v>
      </c>
      <c r="N103" s="216">
        <v>2004</v>
      </c>
      <c r="O103" s="216">
        <v>2005</v>
      </c>
      <c r="P103" s="216">
        <v>2006</v>
      </c>
      <c r="Q103" s="216">
        <v>2007</v>
      </c>
      <c r="R103" s="216">
        <v>2008</v>
      </c>
      <c r="S103" s="216">
        <v>2009</v>
      </c>
      <c r="T103" s="216">
        <v>2010</v>
      </c>
      <c r="U103" s="216">
        <v>2011</v>
      </c>
      <c r="V103" s="216">
        <v>2012</v>
      </c>
      <c r="W103" s="216">
        <v>2013</v>
      </c>
      <c r="X103" s="216">
        <v>2014</v>
      </c>
    </row>
    <row r="104" spans="1:26" x14ac:dyDescent="0.2">
      <c r="A104" s="214"/>
      <c r="B104" s="214"/>
      <c r="C104" s="214"/>
      <c r="D104" s="214"/>
      <c r="E104" s="214"/>
      <c r="F104" s="217"/>
      <c r="G104" s="217"/>
    </row>
    <row r="105" spans="1:26" x14ac:dyDescent="0.2">
      <c r="A105" s="218"/>
      <c r="B105" s="218"/>
      <c r="C105" s="218"/>
      <c r="D105" s="218"/>
      <c r="E105" s="218"/>
      <c r="F105" s="217"/>
      <c r="G105" s="217"/>
      <c r="H105" s="217"/>
      <c r="I105" s="217"/>
    </row>
    <row r="106" spans="1:26" x14ac:dyDescent="0.2">
      <c r="A106" s="218" t="s">
        <v>193</v>
      </c>
      <c r="B106" s="267">
        <v>0</v>
      </c>
      <c r="C106" s="267">
        <v>0</v>
      </c>
      <c r="D106" s="267">
        <v>0</v>
      </c>
      <c r="E106" s="267">
        <v>0</v>
      </c>
      <c r="F106" s="267">
        <v>0</v>
      </c>
      <c r="G106" s="267">
        <v>0</v>
      </c>
      <c r="H106" s="267">
        <v>0</v>
      </c>
      <c r="I106" s="267">
        <v>0</v>
      </c>
      <c r="J106" s="267">
        <v>0</v>
      </c>
      <c r="K106" s="267">
        <v>0</v>
      </c>
      <c r="L106" s="267">
        <v>0</v>
      </c>
      <c r="M106" s="267">
        <v>0</v>
      </c>
      <c r="N106" s="267">
        <v>0</v>
      </c>
      <c r="O106" s="267">
        <v>0</v>
      </c>
      <c r="P106" s="267">
        <v>0</v>
      </c>
      <c r="Q106" s="267">
        <v>0</v>
      </c>
      <c r="R106" s="267">
        <v>0</v>
      </c>
      <c r="S106" s="267">
        <v>0</v>
      </c>
      <c r="T106" s="267">
        <v>0</v>
      </c>
      <c r="U106" s="267">
        <v>0</v>
      </c>
      <c r="V106" s="267">
        <v>0</v>
      </c>
      <c r="W106" s="267">
        <v>0</v>
      </c>
      <c r="X106" s="267">
        <v>0</v>
      </c>
    </row>
    <row r="107" spans="1:26" x14ac:dyDescent="0.2">
      <c r="A107" s="218" t="s">
        <v>194</v>
      </c>
      <c r="B107" s="267">
        <v>0</v>
      </c>
      <c r="C107" s="267">
        <v>0</v>
      </c>
      <c r="D107" s="267">
        <v>0</v>
      </c>
      <c r="E107" s="267">
        <v>0</v>
      </c>
      <c r="F107" s="267">
        <v>0</v>
      </c>
      <c r="G107" s="267">
        <v>0</v>
      </c>
      <c r="H107" s="267">
        <v>0</v>
      </c>
      <c r="I107" s="267">
        <v>0</v>
      </c>
      <c r="J107" s="267">
        <v>0</v>
      </c>
      <c r="K107" s="267">
        <v>0</v>
      </c>
      <c r="L107" s="267">
        <v>0</v>
      </c>
      <c r="M107" s="267">
        <v>0</v>
      </c>
      <c r="N107" s="267">
        <v>0</v>
      </c>
      <c r="O107" s="267">
        <v>0</v>
      </c>
      <c r="P107" s="267">
        <v>0</v>
      </c>
      <c r="Q107" s="267">
        <v>0</v>
      </c>
      <c r="R107" s="267">
        <v>0</v>
      </c>
      <c r="S107" s="267">
        <v>0</v>
      </c>
      <c r="T107" s="267">
        <v>0</v>
      </c>
      <c r="U107" s="267">
        <v>0</v>
      </c>
      <c r="V107" s="267">
        <v>0</v>
      </c>
      <c r="W107" s="267">
        <v>0</v>
      </c>
      <c r="X107" s="267">
        <v>0</v>
      </c>
    </row>
    <row r="108" spans="1:26" x14ac:dyDescent="0.2">
      <c r="A108" s="218" t="s">
        <v>195</v>
      </c>
      <c r="B108" s="267">
        <v>0</v>
      </c>
      <c r="C108" s="267">
        <v>0</v>
      </c>
      <c r="D108" s="267">
        <v>0</v>
      </c>
      <c r="E108" s="267">
        <v>0</v>
      </c>
      <c r="F108" s="267">
        <v>0</v>
      </c>
      <c r="G108" s="267">
        <v>0</v>
      </c>
      <c r="H108" s="267">
        <v>0</v>
      </c>
      <c r="I108" s="267">
        <v>0</v>
      </c>
      <c r="J108" s="267">
        <v>0</v>
      </c>
      <c r="K108" s="267">
        <v>0</v>
      </c>
      <c r="L108" s="267">
        <v>0</v>
      </c>
      <c r="M108" s="267">
        <v>0</v>
      </c>
      <c r="N108" s="267">
        <v>0</v>
      </c>
      <c r="O108" s="267">
        <v>0</v>
      </c>
      <c r="P108" s="267">
        <v>0</v>
      </c>
      <c r="Q108" s="267">
        <v>0</v>
      </c>
      <c r="R108" s="267">
        <v>0</v>
      </c>
      <c r="S108" s="267">
        <v>0</v>
      </c>
      <c r="T108" s="267">
        <v>0</v>
      </c>
      <c r="U108" s="267">
        <v>0</v>
      </c>
      <c r="V108" s="267">
        <v>0</v>
      </c>
      <c r="W108" s="267">
        <v>0</v>
      </c>
      <c r="X108" s="267">
        <v>0</v>
      </c>
    </row>
    <row r="109" spans="1:26" x14ac:dyDescent="0.2">
      <c r="A109" s="218" t="s">
        <v>196</v>
      </c>
      <c r="B109" s="267">
        <v>0</v>
      </c>
      <c r="C109" s="267">
        <v>0</v>
      </c>
      <c r="D109" s="267">
        <v>0</v>
      </c>
      <c r="E109" s="267">
        <v>0</v>
      </c>
      <c r="F109" s="267">
        <v>0</v>
      </c>
      <c r="G109" s="267">
        <v>0</v>
      </c>
      <c r="H109" s="267">
        <v>0</v>
      </c>
      <c r="I109" s="267">
        <v>0</v>
      </c>
      <c r="J109" s="267">
        <v>0</v>
      </c>
      <c r="K109" s="267">
        <v>0</v>
      </c>
      <c r="L109" s="267">
        <v>0</v>
      </c>
      <c r="M109" s="267">
        <v>0</v>
      </c>
      <c r="N109" s="267">
        <v>0</v>
      </c>
      <c r="O109" s="267">
        <v>0</v>
      </c>
      <c r="P109" s="267">
        <v>0</v>
      </c>
      <c r="Q109" s="267">
        <v>0</v>
      </c>
      <c r="R109" s="267">
        <v>0</v>
      </c>
      <c r="S109" s="267">
        <v>0</v>
      </c>
      <c r="T109" s="267">
        <v>0</v>
      </c>
      <c r="U109" s="267">
        <v>0</v>
      </c>
      <c r="V109" s="267">
        <v>0</v>
      </c>
      <c r="W109" s="267">
        <v>0</v>
      </c>
      <c r="X109" s="267">
        <v>0</v>
      </c>
    </row>
    <row r="110" spans="1:26" x14ac:dyDescent="0.2">
      <c r="A110" s="218" t="s">
        <v>86</v>
      </c>
      <c r="B110" s="267">
        <v>0</v>
      </c>
      <c r="C110" s="267">
        <v>0</v>
      </c>
      <c r="D110" s="267">
        <v>0</v>
      </c>
      <c r="E110" s="267">
        <v>0</v>
      </c>
      <c r="F110" s="267">
        <v>0</v>
      </c>
      <c r="G110" s="267">
        <v>0</v>
      </c>
      <c r="H110" s="267">
        <v>0</v>
      </c>
      <c r="I110" s="267">
        <v>0</v>
      </c>
      <c r="J110" s="267">
        <v>0</v>
      </c>
      <c r="K110" s="267">
        <v>0</v>
      </c>
      <c r="L110" s="267">
        <v>0</v>
      </c>
      <c r="M110" s="267">
        <v>0</v>
      </c>
      <c r="N110" s="267">
        <v>0</v>
      </c>
      <c r="O110" s="267">
        <v>0</v>
      </c>
      <c r="P110" s="267">
        <v>0</v>
      </c>
      <c r="Q110" s="267">
        <v>0</v>
      </c>
      <c r="R110" s="267">
        <v>0</v>
      </c>
      <c r="S110" s="267">
        <v>0</v>
      </c>
      <c r="T110" s="267">
        <v>0</v>
      </c>
      <c r="U110" s="267">
        <v>0</v>
      </c>
      <c r="V110" s="267">
        <v>0</v>
      </c>
      <c r="W110" s="267">
        <v>0</v>
      </c>
      <c r="X110" s="267">
        <v>0</v>
      </c>
    </row>
    <row r="111" spans="1:26" x14ac:dyDescent="0.2">
      <c r="A111" s="218" t="s">
        <v>197</v>
      </c>
      <c r="B111" s="267">
        <v>0</v>
      </c>
      <c r="C111" s="267">
        <v>0</v>
      </c>
      <c r="D111" s="267">
        <v>0</v>
      </c>
      <c r="E111" s="267">
        <v>0</v>
      </c>
      <c r="F111" s="267">
        <v>0</v>
      </c>
      <c r="G111" s="267">
        <v>0</v>
      </c>
      <c r="H111" s="267">
        <v>0</v>
      </c>
      <c r="I111" s="267">
        <v>0</v>
      </c>
      <c r="J111" s="267">
        <v>0</v>
      </c>
      <c r="K111" s="267">
        <v>0</v>
      </c>
      <c r="L111" s="267">
        <v>0</v>
      </c>
      <c r="M111" s="267">
        <v>0</v>
      </c>
      <c r="N111" s="267">
        <v>0</v>
      </c>
      <c r="O111" s="267">
        <v>0</v>
      </c>
      <c r="P111" s="267">
        <v>0</v>
      </c>
      <c r="Q111" s="267">
        <v>0</v>
      </c>
      <c r="R111" s="267">
        <v>0</v>
      </c>
      <c r="S111" s="267">
        <v>0</v>
      </c>
      <c r="T111" s="267">
        <v>0</v>
      </c>
      <c r="U111" s="267">
        <v>0</v>
      </c>
      <c r="V111" s="267">
        <v>0</v>
      </c>
      <c r="W111" s="267">
        <v>0</v>
      </c>
      <c r="X111" s="267">
        <v>0</v>
      </c>
    </row>
    <row r="112" spans="1:26" x14ac:dyDescent="0.2">
      <c r="A112" s="218" t="s">
        <v>198</v>
      </c>
      <c r="B112" s="267">
        <v>0</v>
      </c>
      <c r="C112" s="267">
        <v>0</v>
      </c>
      <c r="D112" s="267">
        <v>0</v>
      </c>
      <c r="E112" s="267">
        <v>0</v>
      </c>
      <c r="F112" s="267">
        <v>0</v>
      </c>
      <c r="G112" s="267">
        <v>0</v>
      </c>
      <c r="H112" s="267">
        <v>0</v>
      </c>
      <c r="I112" s="267">
        <v>0</v>
      </c>
      <c r="J112" s="267">
        <v>0</v>
      </c>
      <c r="K112" s="267">
        <v>0</v>
      </c>
      <c r="L112" s="267">
        <v>0</v>
      </c>
      <c r="M112" s="267">
        <v>0</v>
      </c>
      <c r="N112" s="267">
        <v>0</v>
      </c>
      <c r="O112" s="267">
        <v>0</v>
      </c>
      <c r="P112" s="267">
        <v>0</v>
      </c>
      <c r="Q112" s="267">
        <v>0</v>
      </c>
      <c r="R112" s="267">
        <v>0</v>
      </c>
      <c r="S112" s="267">
        <v>0</v>
      </c>
      <c r="T112" s="267">
        <v>0</v>
      </c>
      <c r="U112" s="267">
        <v>0</v>
      </c>
      <c r="V112" s="267">
        <v>0</v>
      </c>
      <c r="W112" s="267">
        <v>0</v>
      </c>
      <c r="X112" s="267">
        <v>0</v>
      </c>
    </row>
    <row r="113" spans="1:26" x14ac:dyDescent="0.2">
      <c r="A113" s="218" t="s">
        <v>199</v>
      </c>
      <c r="B113" s="267">
        <v>0</v>
      </c>
      <c r="C113" s="267">
        <v>0</v>
      </c>
      <c r="D113" s="267">
        <v>0</v>
      </c>
      <c r="E113" s="267">
        <v>0</v>
      </c>
      <c r="F113" s="267">
        <v>0</v>
      </c>
      <c r="G113" s="267">
        <v>0</v>
      </c>
      <c r="H113" s="267">
        <v>0</v>
      </c>
      <c r="I113" s="267">
        <v>0</v>
      </c>
      <c r="J113" s="267">
        <v>0</v>
      </c>
      <c r="K113" s="267">
        <v>0</v>
      </c>
      <c r="L113" s="267">
        <v>0</v>
      </c>
      <c r="M113" s="267">
        <v>0</v>
      </c>
      <c r="N113" s="267">
        <v>0</v>
      </c>
      <c r="O113" s="267">
        <v>0</v>
      </c>
      <c r="P113" s="267">
        <v>0</v>
      </c>
      <c r="Q113" s="267">
        <v>0</v>
      </c>
      <c r="R113" s="267">
        <v>0</v>
      </c>
      <c r="S113" s="267">
        <v>0</v>
      </c>
      <c r="T113" s="267">
        <v>0</v>
      </c>
      <c r="U113" s="267">
        <v>0</v>
      </c>
      <c r="V113" s="267">
        <v>0</v>
      </c>
      <c r="W113" s="267">
        <v>0</v>
      </c>
      <c r="X113" s="267">
        <v>0</v>
      </c>
    </row>
    <row r="114" spans="1:26" x14ac:dyDescent="0.2">
      <c r="A114" s="218" t="s">
        <v>200</v>
      </c>
      <c r="B114" s="267">
        <v>1</v>
      </c>
      <c r="C114" s="267">
        <v>1</v>
      </c>
      <c r="D114" s="267">
        <v>1</v>
      </c>
      <c r="E114" s="267">
        <v>1</v>
      </c>
      <c r="F114" s="267">
        <v>1</v>
      </c>
      <c r="G114" s="267">
        <v>1</v>
      </c>
      <c r="H114" s="267">
        <v>1</v>
      </c>
      <c r="I114" s="267">
        <v>1</v>
      </c>
      <c r="J114" s="267">
        <v>1</v>
      </c>
      <c r="K114" s="267">
        <v>1</v>
      </c>
      <c r="L114" s="267">
        <v>1</v>
      </c>
      <c r="M114" s="267">
        <v>1</v>
      </c>
      <c r="N114" s="267">
        <v>1</v>
      </c>
      <c r="O114" s="267">
        <v>1</v>
      </c>
      <c r="P114" s="267">
        <v>1</v>
      </c>
      <c r="Q114" s="267">
        <v>1</v>
      </c>
      <c r="R114" s="267">
        <v>1</v>
      </c>
      <c r="S114" s="267">
        <v>1</v>
      </c>
      <c r="T114" s="267">
        <v>1</v>
      </c>
      <c r="U114" s="267">
        <v>1</v>
      </c>
      <c r="V114" s="267">
        <v>1</v>
      </c>
      <c r="W114" s="267">
        <v>1</v>
      </c>
      <c r="X114" s="267">
        <v>1</v>
      </c>
    </row>
    <row r="115" spans="1:26" x14ac:dyDescent="0.2">
      <c r="A115" s="218" t="s">
        <v>201</v>
      </c>
      <c r="B115" s="267">
        <v>1</v>
      </c>
      <c r="C115" s="267">
        <v>1</v>
      </c>
      <c r="D115" s="267">
        <v>1</v>
      </c>
      <c r="E115" s="267">
        <v>1</v>
      </c>
      <c r="F115" s="267">
        <v>1</v>
      </c>
      <c r="G115" s="267">
        <v>1</v>
      </c>
      <c r="H115" s="267">
        <v>1</v>
      </c>
      <c r="I115" s="267">
        <v>1</v>
      </c>
      <c r="J115" s="267">
        <v>1</v>
      </c>
      <c r="K115" s="267">
        <v>1</v>
      </c>
      <c r="L115" s="267">
        <v>1</v>
      </c>
      <c r="M115" s="267">
        <v>1</v>
      </c>
      <c r="N115" s="267">
        <v>1</v>
      </c>
      <c r="O115" s="267">
        <v>1</v>
      </c>
      <c r="P115" s="267">
        <v>1</v>
      </c>
      <c r="Q115" s="267">
        <v>1</v>
      </c>
      <c r="R115" s="267">
        <v>1</v>
      </c>
      <c r="S115" s="267">
        <v>1</v>
      </c>
      <c r="T115" s="267">
        <v>1</v>
      </c>
      <c r="U115" s="267">
        <v>1</v>
      </c>
      <c r="V115" s="267">
        <v>1</v>
      </c>
      <c r="W115" s="267">
        <v>1</v>
      </c>
      <c r="X115" s="267">
        <v>1</v>
      </c>
    </row>
    <row r="116" spans="1:26" x14ac:dyDescent="0.2">
      <c r="A116" s="218" t="s">
        <v>202</v>
      </c>
      <c r="B116" s="267">
        <v>1</v>
      </c>
      <c r="C116" s="267">
        <v>1</v>
      </c>
      <c r="D116" s="267">
        <v>1</v>
      </c>
      <c r="E116" s="267">
        <v>1</v>
      </c>
      <c r="F116" s="267">
        <v>1</v>
      </c>
      <c r="G116" s="267">
        <v>1</v>
      </c>
      <c r="H116" s="267">
        <v>1</v>
      </c>
      <c r="I116" s="267">
        <v>1</v>
      </c>
      <c r="J116" s="267">
        <v>1</v>
      </c>
      <c r="K116" s="267">
        <v>1</v>
      </c>
      <c r="L116" s="267">
        <v>1</v>
      </c>
      <c r="M116" s="267">
        <v>1</v>
      </c>
      <c r="N116" s="267">
        <v>1</v>
      </c>
      <c r="O116" s="267">
        <v>1</v>
      </c>
      <c r="P116" s="267">
        <v>1</v>
      </c>
      <c r="Q116" s="267">
        <v>1</v>
      </c>
      <c r="R116" s="267">
        <v>1</v>
      </c>
      <c r="S116" s="267">
        <v>1</v>
      </c>
      <c r="T116" s="267">
        <v>1</v>
      </c>
      <c r="U116" s="267">
        <v>1</v>
      </c>
      <c r="V116" s="267">
        <v>1</v>
      </c>
      <c r="W116" s="267">
        <v>1</v>
      </c>
      <c r="X116" s="267">
        <v>1</v>
      </c>
    </row>
    <row r="117" spans="1:26" x14ac:dyDescent="0.2">
      <c r="A117" s="218" t="s">
        <v>203</v>
      </c>
      <c r="B117" s="267">
        <v>0</v>
      </c>
      <c r="C117" s="267">
        <v>0</v>
      </c>
      <c r="D117" s="267">
        <v>0</v>
      </c>
      <c r="E117" s="267">
        <v>0</v>
      </c>
      <c r="F117" s="267">
        <v>0</v>
      </c>
      <c r="G117" s="267">
        <v>0</v>
      </c>
      <c r="H117" s="267">
        <v>0</v>
      </c>
      <c r="I117" s="267">
        <v>0</v>
      </c>
      <c r="J117" s="267">
        <v>0</v>
      </c>
      <c r="K117" s="267">
        <v>0</v>
      </c>
      <c r="L117" s="267">
        <v>0</v>
      </c>
      <c r="M117" s="267">
        <v>0</v>
      </c>
      <c r="N117" s="267">
        <v>0</v>
      </c>
      <c r="O117" s="267">
        <v>0</v>
      </c>
      <c r="P117" s="267">
        <v>0</v>
      </c>
      <c r="Q117" s="267">
        <v>0</v>
      </c>
      <c r="R117" s="267">
        <v>0</v>
      </c>
      <c r="S117" s="267">
        <v>0</v>
      </c>
      <c r="T117" s="267">
        <v>0</v>
      </c>
      <c r="U117" s="267">
        <v>0</v>
      </c>
      <c r="V117" s="267">
        <v>0</v>
      </c>
      <c r="W117" s="267">
        <v>0</v>
      </c>
      <c r="X117" s="267">
        <v>0</v>
      </c>
      <c r="Z117" t="s">
        <v>205</v>
      </c>
    </row>
    <row r="118" spans="1:26" x14ac:dyDescent="0.2">
      <c r="A118" s="218"/>
      <c r="B118" s="218"/>
      <c r="C118" s="218"/>
      <c r="D118" s="218"/>
      <c r="E118" s="218"/>
      <c r="F118" s="265"/>
      <c r="G118" s="212"/>
      <c r="I118" s="65"/>
      <c r="R118" s="219"/>
      <c r="W118" s="65"/>
      <c r="X118" s="65"/>
    </row>
    <row r="119" spans="1:26" ht="13.5" thickBot="1" x14ac:dyDescent="0.25">
      <c r="A119" s="218" t="s">
        <v>9</v>
      </c>
      <c r="B119" s="220">
        <f t="shared" ref="B119:X119" si="5">SUM(B106:B118)</f>
        <v>3</v>
      </c>
      <c r="C119" s="220">
        <f t="shared" si="5"/>
        <v>3</v>
      </c>
      <c r="D119" s="220">
        <f t="shared" si="5"/>
        <v>3</v>
      </c>
      <c r="E119" s="220">
        <f t="shared" si="5"/>
        <v>3</v>
      </c>
      <c r="F119" s="220">
        <f t="shared" si="5"/>
        <v>3</v>
      </c>
      <c r="G119" s="220">
        <f t="shared" si="5"/>
        <v>3</v>
      </c>
      <c r="H119" s="220">
        <f t="shared" si="5"/>
        <v>3</v>
      </c>
      <c r="I119" s="220">
        <f t="shared" si="5"/>
        <v>3</v>
      </c>
      <c r="J119" s="220">
        <f t="shared" si="5"/>
        <v>3</v>
      </c>
      <c r="K119" s="220">
        <f t="shared" si="5"/>
        <v>3</v>
      </c>
      <c r="L119" s="220">
        <f t="shared" si="5"/>
        <v>3</v>
      </c>
      <c r="M119" s="220">
        <f t="shared" si="5"/>
        <v>3</v>
      </c>
      <c r="N119" s="220">
        <f t="shared" si="5"/>
        <v>3</v>
      </c>
      <c r="O119" s="220">
        <f t="shared" si="5"/>
        <v>3</v>
      </c>
      <c r="P119" s="220">
        <f t="shared" si="5"/>
        <v>3</v>
      </c>
      <c r="Q119" s="220">
        <f t="shared" si="5"/>
        <v>3</v>
      </c>
      <c r="R119" s="220">
        <f t="shared" si="5"/>
        <v>3</v>
      </c>
      <c r="S119" s="220">
        <f t="shared" si="5"/>
        <v>3</v>
      </c>
      <c r="T119" s="220">
        <f t="shared" si="5"/>
        <v>3</v>
      </c>
      <c r="U119" s="220">
        <f t="shared" si="5"/>
        <v>3</v>
      </c>
      <c r="V119" s="220">
        <f t="shared" si="5"/>
        <v>3</v>
      </c>
      <c r="W119" s="220">
        <f t="shared" si="5"/>
        <v>3</v>
      </c>
      <c r="X119" s="220">
        <f t="shared" si="5"/>
        <v>3</v>
      </c>
    </row>
    <row r="120" spans="1:26" ht="13.5" thickTop="1" x14ac:dyDescent="0.2"/>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X242"/>
  <sheetViews>
    <sheetView topLeftCell="A20" workbookViewId="0">
      <selection activeCell="Y58" sqref="Y58"/>
    </sheetView>
  </sheetViews>
  <sheetFormatPr defaultRowHeight="12.75" x14ac:dyDescent="0.2"/>
  <cols>
    <col min="2" max="2" width="9.85546875" bestFit="1" customWidth="1"/>
    <col min="10" max="10" width="9.5703125" bestFit="1" customWidth="1"/>
    <col min="12" max="14" width="9.5703125" bestFit="1" customWidth="1"/>
  </cols>
  <sheetData>
    <row r="1" spans="1:9" x14ac:dyDescent="0.2">
      <c r="A1" s="20" t="s">
        <v>219</v>
      </c>
      <c r="F1" s="212"/>
      <c r="G1" s="212"/>
    </row>
    <row r="2" spans="1:9" x14ac:dyDescent="0.2">
      <c r="A2" s="213" t="s">
        <v>220</v>
      </c>
      <c r="F2" s="212"/>
      <c r="G2" s="212"/>
    </row>
    <row r="3" spans="1:9" x14ac:dyDescent="0.2">
      <c r="A3" s="223" t="s">
        <v>221</v>
      </c>
      <c r="F3" s="213" t="s">
        <v>222</v>
      </c>
      <c r="G3" s="212"/>
    </row>
    <row r="4" spans="1:9" x14ac:dyDescent="0.2">
      <c r="A4" s="20"/>
      <c r="F4" s="212"/>
      <c r="G4" s="212"/>
    </row>
    <row r="5" spans="1:9" x14ac:dyDescent="0.2">
      <c r="A5" s="268">
        <v>1986</v>
      </c>
      <c r="B5" s="269">
        <v>5277</v>
      </c>
      <c r="C5" s="230" t="s">
        <v>223</v>
      </c>
      <c r="D5" s="230"/>
      <c r="E5" s="230"/>
      <c r="F5" s="268">
        <v>1999</v>
      </c>
      <c r="G5" s="269">
        <v>6465</v>
      </c>
      <c r="H5" s="230" t="s">
        <v>224</v>
      </c>
      <c r="I5" s="230"/>
    </row>
    <row r="6" spans="1:9" x14ac:dyDescent="0.2">
      <c r="A6" s="268">
        <f>A5+1</f>
        <v>1987</v>
      </c>
      <c r="B6" s="269">
        <v>5419</v>
      </c>
      <c r="C6" s="230" t="s">
        <v>223</v>
      </c>
      <c r="D6" s="230"/>
      <c r="E6" s="230"/>
      <c r="F6" s="268">
        <v>2000</v>
      </c>
      <c r="G6" s="270"/>
      <c r="H6" s="230" t="s">
        <v>225</v>
      </c>
      <c r="I6" s="230"/>
    </row>
    <row r="7" spans="1:9" x14ac:dyDescent="0.2">
      <c r="A7" s="268">
        <f t="shared" ref="A7:A17" si="0">A6+1</f>
        <v>1988</v>
      </c>
      <c r="B7" s="269">
        <v>5513</v>
      </c>
      <c r="C7" s="230" t="s">
        <v>226</v>
      </c>
      <c r="D7" s="230"/>
      <c r="E7" s="230"/>
      <c r="F7" s="268">
        <v>2001</v>
      </c>
      <c r="G7" s="269">
        <f>5387+1369+91</f>
        <v>6847</v>
      </c>
      <c r="H7" s="230" t="s">
        <v>227</v>
      </c>
      <c r="I7" s="230"/>
    </row>
    <row r="8" spans="1:9" x14ac:dyDescent="0.2">
      <c r="A8" s="268">
        <f t="shared" si="0"/>
        <v>1989</v>
      </c>
      <c r="B8" s="269">
        <v>5606</v>
      </c>
      <c r="C8" s="230" t="s">
        <v>228</v>
      </c>
      <c r="D8" s="230"/>
      <c r="E8" s="230"/>
      <c r="F8" s="217"/>
      <c r="G8" s="217"/>
      <c r="H8" s="230" t="s">
        <v>229</v>
      </c>
      <c r="I8" s="230"/>
    </row>
    <row r="9" spans="1:9" x14ac:dyDescent="0.2">
      <c r="A9" s="268">
        <f t="shared" si="0"/>
        <v>1990</v>
      </c>
      <c r="B9" s="269">
        <v>5621</v>
      </c>
      <c r="C9" s="230" t="s">
        <v>230</v>
      </c>
      <c r="D9" s="230"/>
      <c r="E9" s="230"/>
      <c r="F9" s="217"/>
      <c r="G9" s="217"/>
      <c r="H9" s="230"/>
      <c r="I9" s="230"/>
    </row>
    <row r="10" spans="1:9" x14ac:dyDescent="0.2">
      <c r="A10" s="268">
        <f t="shared" si="0"/>
        <v>1991</v>
      </c>
      <c r="B10" s="269">
        <v>5672</v>
      </c>
      <c r="C10" s="230" t="s">
        <v>231</v>
      </c>
      <c r="D10" s="230"/>
      <c r="E10" s="230"/>
      <c r="F10" s="217"/>
      <c r="G10" s="217"/>
      <c r="H10" s="230"/>
      <c r="I10" s="230"/>
    </row>
    <row r="11" spans="1:9" x14ac:dyDescent="0.2">
      <c r="A11" s="268">
        <f t="shared" si="0"/>
        <v>1992</v>
      </c>
      <c r="B11" s="269">
        <v>5756</v>
      </c>
      <c r="C11" s="230" t="s">
        <v>232</v>
      </c>
      <c r="D11" s="230"/>
      <c r="E11" s="230"/>
      <c r="F11" s="217"/>
      <c r="G11" s="217"/>
      <c r="H11" s="230"/>
      <c r="I11" s="230"/>
    </row>
    <row r="12" spans="1:9" x14ac:dyDescent="0.2">
      <c r="A12" s="268">
        <f t="shared" si="0"/>
        <v>1993</v>
      </c>
      <c r="B12" s="269">
        <v>5856</v>
      </c>
      <c r="C12" s="230" t="s">
        <v>233</v>
      </c>
      <c r="D12" s="230"/>
      <c r="E12" s="230"/>
      <c r="F12" s="217"/>
      <c r="G12" s="217"/>
      <c r="H12" s="230"/>
      <c r="I12" s="230"/>
    </row>
    <row r="13" spans="1:9" x14ac:dyDescent="0.2">
      <c r="A13" s="268">
        <f t="shared" si="0"/>
        <v>1994</v>
      </c>
      <c r="B13" s="269">
        <v>5848</v>
      </c>
      <c r="C13" s="230" t="s">
        <v>234</v>
      </c>
      <c r="D13" s="230"/>
      <c r="E13" s="230"/>
      <c r="F13" s="217"/>
      <c r="G13" s="217"/>
      <c r="H13" s="230"/>
      <c r="I13" s="230"/>
    </row>
    <row r="14" spans="1:9" x14ac:dyDescent="0.2">
      <c r="A14" s="268">
        <f t="shared" si="0"/>
        <v>1995</v>
      </c>
      <c r="B14" s="269">
        <v>5943</v>
      </c>
      <c r="C14" s="230" t="s">
        <v>235</v>
      </c>
      <c r="D14" s="230"/>
      <c r="E14" s="230"/>
      <c r="F14" s="217"/>
      <c r="G14" s="217"/>
      <c r="H14" s="230"/>
      <c r="I14" s="230"/>
    </row>
    <row r="15" spans="1:9" x14ac:dyDescent="0.2">
      <c r="A15" s="268">
        <f t="shared" si="0"/>
        <v>1996</v>
      </c>
      <c r="B15" s="271">
        <v>6000</v>
      </c>
      <c r="C15" s="763" t="s">
        <v>236</v>
      </c>
      <c r="D15" s="230"/>
      <c r="E15" s="230"/>
      <c r="F15" s="217"/>
      <c r="G15" s="217"/>
      <c r="H15" s="230"/>
      <c r="I15" s="230"/>
    </row>
    <row r="16" spans="1:9" x14ac:dyDescent="0.2">
      <c r="A16" s="268">
        <f t="shared" si="0"/>
        <v>1997</v>
      </c>
      <c r="B16" s="271">
        <v>6100</v>
      </c>
      <c r="C16" s="764"/>
      <c r="D16" s="230"/>
      <c r="E16" s="230"/>
      <c r="F16" s="217"/>
      <c r="G16" s="217"/>
      <c r="H16" s="230"/>
      <c r="I16" s="230"/>
    </row>
    <row r="17" spans="1:24" x14ac:dyDescent="0.2">
      <c r="A17" s="268">
        <f t="shared" si="0"/>
        <v>1998</v>
      </c>
      <c r="B17" s="271">
        <v>6100</v>
      </c>
      <c r="C17" s="765"/>
      <c r="D17" s="230"/>
      <c r="E17" s="230"/>
      <c r="F17" s="217"/>
      <c r="G17" s="217"/>
      <c r="H17" s="230"/>
      <c r="I17" s="230"/>
    </row>
    <row r="18" spans="1:24" x14ac:dyDescent="0.2">
      <c r="A18" s="20"/>
      <c r="F18" s="212"/>
      <c r="G18" s="212"/>
    </row>
    <row r="19" spans="1:24" x14ac:dyDescent="0.2">
      <c r="A19" s="213" t="s">
        <v>237</v>
      </c>
      <c r="B19" s="213"/>
      <c r="F19" s="212"/>
      <c r="G19" s="212"/>
    </row>
    <row r="20" spans="1:24" x14ac:dyDescent="0.2">
      <c r="A20" s="223" t="s">
        <v>291</v>
      </c>
      <c r="B20" s="223"/>
      <c r="C20" s="223"/>
      <c r="D20" s="223"/>
      <c r="E20" s="223"/>
      <c r="F20" s="217"/>
      <c r="G20" s="217"/>
    </row>
    <row r="21" spans="1:24" x14ac:dyDescent="0.2">
      <c r="A21" s="264"/>
      <c r="B21" s="214"/>
      <c r="C21" s="214"/>
      <c r="D21" s="214"/>
      <c r="E21" s="214"/>
      <c r="F21" s="215"/>
      <c r="G21" s="215"/>
    </row>
    <row r="22" spans="1:24" x14ac:dyDescent="0.2">
      <c r="A22" s="216" t="s">
        <v>192</v>
      </c>
      <c r="B22" s="216">
        <v>1992</v>
      </c>
      <c r="C22" s="216">
        <v>1993</v>
      </c>
      <c r="D22" s="216">
        <v>1994</v>
      </c>
      <c r="E22" s="216">
        <v>1995</v>
      </c>
      <c r="F22" s="216">
        <v>1996</v>
      </c>
      <c r="G22" s="216">
        <v>1997</v>
      </c>
      <c r="H22" s="216">
        <v>1998</v>
      </c>
      <c r="I22" s="216">
        <v>1999</v>
      </c>
      <c r="J22" s="216">
        <v>2000</v>
      </c>
      <c r="K22" s="216">
        <v>2001</v>
      </c>
      <c r="L22" s="216">
        <v>2002</v>
      </c>
      <c r="M22" s="216">
        <v>2003</v>
      </c>
      <c r="N22" s="216">
        <v>2004</v>
      </c>
      <c r="O22" s="216">
        <v>2005</v>
      </c>
      <c r="P22" s="216">
        <v>2006</v>
      </c>
      <c r="Q22" s="216">
        <v>2007</v>
      </c>
      <c r="R22" s="216">
        <v>2008</v>
      </c>
      <c r="S22" s="216">
        <v>2009</v>
      </c>
      <c r="T22" s="216">
        <v>2010</v>
      </c>
      <c r="U22" s="216">
        <v>2011</v>
      </c>
      <c r="V22" s="216">
        <v>2012</v>
      </c>
      <c r="W22" s="216">
        <v>2013</v>
      </c>
      <c r="X22" s="216">
        <v>2014</v>
      </c>
    </row>
    <row r="23" spans="1:24" x14ac:dyDescent="0.2">
      <c r="A23" s="214"/>
      <c r="B23" s="214"/>
      <c r="C23" s="214"/>
      <c r="D23" s="214"/>
      <c r="E23" s="214"/>
      <c r="F23" s="217"/>
      <c r="G23" s="217"/>
    </row>
    <row r="24" spans="1:24" x14ac:dyDescent="0.2">
      <c r="A24" s="218"/>
      <c r="B24" s="218"/>
      <c r="C24" s="218"/>
      <c r="D24" s="218"/>
      <c r="E24" s="218"/>
      <c r="F24" s="217"/>
      <c r="G24" s="217"/>
    </row>
    <row r="25" spans="1:24" x14ac:dyDescent="0.2">
      <c r="A25" s="218" t="s">
        <v>193</v>
      </c>
      <c r="B25" s="219">
        <f>B10*POWER($B$36/$B$10,1/12)</f>
        <v>5678.9529306599879</v>
      </c>
      <c r="C25" s="219">
        <f>B36*POWER($C$36/$B$36,1/12)</f>
        <v>5764.2677047675043</v>
      </c>
      <c r="D25" s="219">
        <f>C36*POWER($D$36/$C$36,1/12)</f>
        <v>5855.3329155430192</v>
      </c>
      <c r="E25" s="219">
        <f>D36*POWER($E$36/$D$36,1/12)</f>
        <v>5855.858327212296</v>
      </c>
      <c r="F25" s="219">
        <f>E36*POWER($I$36/$E$36,1/48)</f>
        <v>5953.4327916477769</v>
      </c>
      <c r="G25" s="219">
        <f>F36*POWER($I$36/$E$36,1/48)</f>
        <v>6080.0640588907072</v>
      </c>
      <c r="H25" s="219">
        <f>G36*POWER($I$36/$E$36,1/48)</f>
        <v>6209.3888104484431</v>
      </c>
      <c r="I25" s="219">
        <f>H36*POWER($I$36/$E$36,1/48)</f>
        <v>6341.4643375249034</v>
      </c>
      <c r="J25" s="219">
        <f>I36*POWER($K$36/$I$36,1/24)</f>
        <v>6480.4826787633956</v>
      </c>
      <c r="K25" s="219">
        <f>J36*POWER($K$36/$I$36,1/24)</f>
        <v>6669.1925058708739</v>
      </c>
      <c r="L25" s="219">
        <f>K36*POWER($L$36/$K$36,1/12)</f>
        <v>6845.5817186501681</v>
      </c>
      <c r="M25" s="219">
        <f>L36*POWER($M$30/$L$36,1/6)</f>
        <v>6841.6171554081975</v>
      </c>
      <c r="N25" s="219">
        <f>M36*POWER(N$27/M$36,1/3)</f>
        <v>7009.5869400887377</v>
      </c>
      <c r="O25" s="219">
        <f t="shared" ref="O25:V25" si="1">N36*POWER(O$27/N$36,1/3)</f>
        <v>7249.2646707315043</v>
      </c>
      <c r="P25" s="219">
        <f t="shared" si="1"/>
        <v>7454.9773569356121</v>
      </c>
      <c r="Q25" s="219">
        <f t="shared" si="1"/>
        <v>7637.5006240298508</v>
      </c>
      <c r="R25" s="219">
        <f t="shared" si="1"/>
        <v>7755</v>
      </c>
      <c r="S25" s="219">
        <f t="shared" si="1"/>
        <v>7777.999485817104</v>
      </c>
      <c r="T25" s="219">
        <f t="shared" si="1"/>
        <v>7847.9872470553046</v>
      </c>
      <c r="U25" s="219">
        <f t="shared" si="1"/>
        <v>7905.3333192785194</v>
      </c>
      <c r="V25" s="219">
        <f t="shared" si="1"/>
        <v>8059.9988836516131</v>
      </c>
      <c r="W25" s="369">
        <f>V36*POWER(W$36/V$36,1/12)</f>
        <v>8199.578202303861</v>
      </c>
      <c r="X25" s="369">
        <f>W36*POWER(X$36/W$36,1/12)</f>
        <v>8352.0684286327978</v>
      </c>
    </row>
    <row r="26" spans="1:24" x14ac:dyDescent="0.2">
      <c r="A26" s="218" t="s">
        <v>194</v>
      </c>
      <c r="B26" s="219">
        <f>B25*POWER($B$36/$B$10,1/12)</f>
        <v>5685.914384459039</v>
      </c>
      <c r="C26" s="219">
        <f>C25*POWER($C$36/$B$36,1/12)</f>
        <v>5772.5472849592834</v>
      </c>
      <c r="D26" s="219">
        <f>D25*POWER($D$36/$C$36,1/12)</f>
        <v>5854.665907076761</v>
      </c>
      <c r="E26" s="219">
        <f>E25*POWER($E$36/$D$36,1/12)</f>
        <v>5863.7272141555386</v>
      </c>
      <c r="F26" s="219">
        <f>F25*POWER($I$36/$E$36,1/48)</f>
        <v>5963.8838978070071</v>
      </c>
      <c r="G26" s="219">
        <f>G25*POWER($I$36/$E$36,1/48)</f>
        <v>6090.7374631531238</v>
      </c>
      <c r="H26" s="219">
        <f>H25*POWER($I$36/$E$36,1/48)</f>
        <v>6220.2892411601115</v>
      </c>
      <c r="I26" s="219">
        <f>I25*POWER($I$36/$E$36,1/48)</f>
        <v>6352.5966236052009</v>
      </c>
      <c r="J26" s="219">
        <f>J25*POWER($K$36/$I$36,1/24)</f>
        <v>6496.0024361565956</v>
      </c>
      <c r="K26" s="219">
        <f>K25*POWER($K$36/$I$36,1/24)</f>
        <v>6685.1641942203933</v>
      </c>
      <c r="L26" s="219">
        <f>L25*POWER($L$36/$K$36,1/12)</f>
        <v>6844.1637310818442</v>
      </c>
      <c r="M26" s="219">
        <f>M25*POWER($M$30/$L$36,1/6)</f>
        <v>6853.2540704503308</v>
      </c>
      <c r="N26" s="219">
        <f>N25*POWER(N$27/M$36,1/3)</f>
        <v>7033.2535171289137</v>
      </c>
      <c r="O26" s="219">
        <f t="shared" ref="O26:V26" si="2">O25*POWER(O$27/N$36,1/3)</f>
        <v>7271.5979336261162</v>
      </c>
      <c r="P26" s="219">
        <f t="shared" si="2"/>
        <v>7467.977343781602</v>
      </c>
      <c r="Q26" s="219">
        <f t="shared" si="2"/>
        <v>7673.1670326304074</v>
      </c>
      <c r="R26" s="219">
        <f t="shared" si="2"/>
        <v>7755</v>
      </c>
      <c r="S26" s="219">
        <f t="shared" si="2"/>
        <v>7779.9994857730362</v>
      </c>
      <c r="T26" s="219">
        <f t="shared" si="2"/>
        <v>7837.987252474255</v>
      </c>
      <c r="U26" s="219">
        <f t="shared" si="2"/>
        <v>7905.6666526116551</v>
      </c>
      <c r="V26" s="219">
        <f t="shared" si="2"/>
        <v>8062.9988835131253</v>
      </c>
      <c r="W26" s="369">
        <f>W25*POWER(W$36/V$36,1/12)</f>
        <v>8212.1757292899256</v>
      </c>
      <c r="X26" s="369">
        <f t="shared" ref="X26:X35" si="3">X25*POWER(X$36/W$36,1/12)</f>
        <v>8364.9362408229954</v>
      </c>
    </row>
    <row r="27" spans="1:24" x14ac:dyDescent="0.2">
      <c r="A27" s="218" t="s">
        <v>195</v>
      </c>
      <c r="B27" s="219">
        <f t="shared" ref="B27:B35" si="4">B26*POWER($B$36/$B$10,1/12)</f>
        <v>5692.8843718451062</v>
      </c>
      <c r="C27" s="219">
        <f t="shared" ref="C27:C35" si="5">C26*POWER($C$36/$B$36,1/12)</f>
        <v>5780.838757632755</v>
      </c>
      <c r="D27" s="219">
        <f t="shared" ref="D27:D35" si="6">D26*POWER($D$36/$C$36,1/12)</f>
        <v>5853.9989745925695</v>
      </c>
      <c r="E27" s="219">
        <f t="shared" ref="E27:E35" si="7">E26*POWER($E$36/$D$36,1/12)</f>
        <v>5871.606675019505</v>
      </c>
      <c r="F27" s="219">
        <f t="shared" ref="F27:I36" si="8">F26*POWER($I$36/$E$36,1/48)</f>
        <v>5974.3533506283684</v>
      </c>
      <c r="G27" s="219">
        <f t="shared" si="8"/>
        <v>6101.4296043165741</v>
      </c>
      <c r="H27" s="219">
        <f t="shared" si="8"/>
        <v>6231.2088073122122</v>
      </c>
      <c r="I27" s="219">
        <f t="shared" si="8"/>
        <v>6363.7484521423785</v>
      </c>
      <c r="J27" s="219">
        <f t="shared" ref="J27:K36" si="9">J26*POWER($K$36/$I$36,1/24)</f>
        <v>6511.5593609772059</v>
      </c>
      <c r="K27" s="219">
        <f t="shared" si="9"/>
        <v>6701.1741323023216</v>
      </c>
      <c r="L27" s="219">
        <f t="shared" ref="L27:L35" si="10">L26*POWER($L$36/$K$36,1/12)</f>
        <v>6842.7460372341748</v>
      </c>
      <c r="M27" s="219">
        <f>M26*POWER($M$30/$L$36,1/6)</f>
        <v>6864.9107787355852</v>
      </c>
      <c r="N27" s="272">
        <f t="shared" ref="N27:V27" si="11">N49+N69+N89</f>
        <v>7057</v>
      </c>
      <c r="O27" s="272">
        <f t="shared" si="11"/>
        <v>7294</v>
      </c>
      <c r="P27" s="272">
        <f t="shared" si="11"/>
        <v>7481</v>
      </c>
      <c r="Q27" s="272">
        <f t="shared" si="11"/>
        <v>7709</v>
      </c>
      <c r="R27" s="272">
        <f t="shared" si="11"/>
        <v>7755</v>
      </c>
      <c r="S27" s="272">
        <f t="shared" si="11"/>
        <v>7782</v>
      </c>
      <c r="T27" s="272">
        <f t="shared" si="11"/>
        <v>7828</v>
      </c>
      <c r="U27" s="272">
        <f t="shared" si="11"/>
        <v>7906</v>
      </c>
      <c r="V27" s="272">
        <f t="shared" si="11"/>
        <v>8066</v>
      </c>
      <c r="W27" s="369">
        <f t="shared" ref="W27:W35" si="12">W26*POWER(W$36/V$36,1/12)</f>
        <v>8224.7926106479154</v>
      </c>
      <c r="X27" s="369">
        <f t="shared" si="3"/>
        <v>8377.823878113044</v>
      </c>
    </row>
    <row r="28" spans="1:24" x14ac:dyDescent="0.2">
      <c r="A28" s="218" t="s">
        <v>196</v>
      </c>
      <c r="B28" s="219">
        <f t="shared" si="4"/>
        <v>5699.8629032789513</v>
      </c>
      <c r="C28" s="219">
        <f t="shared" si="5"/>
        <v>5789.1421398698385</v>
      </c>
      <c r="D28" s="219">
        <f t="shared" si="6"/>
        <v>5853.3321180817884</v>
      </c>
      <c r="E28" s="219">
        <f t="shared" si="7"/>
        <v>5879.4967240130418</v>
      </c>
      <c r="F28" s="219">
        <f t="shared" si="8"/>
        <v>5984.8411823189799</v>
      </c>
      <c r="G28" s="219">
        <f t="shared" si="8"/>
        <v>6112.1405152732314</v>
      </c>
      <c r="H28" s="219">
        <f t="shared" si="8"/>
        <v>6242.1475424965438</v>
      </c>
      <c r="I28" s="219">
        <f t="shared" si="8"/>
        <v>6374.9198574427428</v>
      </c>
      <c r="J28" s="219">
        <f t="shared" si="9"/>
        <v>6527.1535422354873</v>
      </c>
      <c r="K28" s="219">
        <f t="shared" si="9"/>
        <v>6717.2224117188734</v>
      </c>
      <c r="L28" s="219">
        <f t="shared" si="10"/>
        <v>6841.3286370463193</v>
      </c>
      <c r="M28" s="219">
        <f>M27*POWER($M$30/$L$36,1/6)</f>
        <v>6876.5873139303121</v>
      </c>
      <c r="N28" s="219">
        <f>N27*POWER(N$30/N$27,1/3)</f>
        <v>7085.2203322403957</v>
      </c>
      <c r="O28" s="219">
        <f t="shared" ref="O28:V29" si="13">O27*POWER(O$30/O$27,1/3)</f>
        <v>7312.6190980091151</v>
      </c>
      <c r="P28" s="219">
        <f t="shared" si="13"/>
        <v>7487.9934602690946</v>
      </c>
      <c r="Q28" s="219">
        <f t="shared" si="13"/>
        <v>7707.9998702534376</v>
      </c>
      <c r="R28" s="219">
        <f t="shared" si="13"/>
        <v>7747.3257414807485</v>
      </c>
      <c r="S28" s="219">
        <f t="shared" si="13"/>
        <v>7800.2903112853855</v>
      </c>
      <c r="T28" s="219">
        <f t="shared" si="13"/>
        <v>7826.9998722262435</v>
      </c>
      <c r="U28" s="219">
        <f t="shared" si="13"/>
        <v>7914.9897740110964</v>
      </c>
      <c r="V28" s="219">
        <f t="shared" si="13"/>
        <v>8072.6611641471818</v>
      </c>
      <c r="W28" s="369">
        <f t="shared" si="12"/>
        <v>8237.4288761131684</v>
      </c>
      <c r="X28" s="369">
        <f t="shared" si="3"/>
        <v>8390.7313710469534</v>
      </c>
    </row>
    <row r="29" spans="1:24" x14ac:dyDescent="0.2">
      <c r="A29" s="218" t="s">
        <v>86</v>
      </c>
      <c r="B29" s="219">
        <f t="shared" si="4"/>
        <v>5706.8499892341588</v>
      </c>
      <c r="C29" s="219">
        <f t="shared" si="5"/>
        <v>5797.4574487769896</v>
      </c>
      <c r="D29" s="219">
        <f t="shared" si="6"/>
        <v>5852.6653375357637</v>
      </c>
      <c r="E29" s="219">
        <f t="shared" si="7"/>
        <v>5887.3973753640876</v>
      </c>
      <c r="F29" s="219">
        <f t="shared" si="8"/>
        <v>5995.3474251424987</v>
      </c>
      <c r="G29" s="219">
        <f t="shared" si="8"/>
        <v>6122.8702289730099</v>
      </c>
      <c r="H29" s="219">
        <f t="shared" si="8"/>
        <v>6253.1054803638754</v>
      </c>
      <c r="I29" s="219">
        <f t="shared" si="8"/>
        <v>6386.1108738728244</v>
      </c>
      <c r="J29" s="219">
        <f t="shared" si="9"/>
        <v>6542.7850691548665</v>
      </c>
      <c r="K29" s="219">
        <f t="shared" si="9"/>
        <v>6733.309124291638</v>
      </c>
      <c r="L29" s="219">
        <f t="shared" si="10"/>
        <v>6839.9115304574489</v>
      </c>
      <c r="M29" s="219">
        <f>M28*POWER($M$30/$L$36,1/6)</f>
        <v>6888.283709758126</v>
      </c>
      <c r="N29" s="219">
        <f>N28*POWER(N$30/N$27,1/3)</f>
        <v>7113.5535151470467</v>
      </c>
      <c r="O29" s="219">
        <f t="shared" si="13"/>
        <v>7331.2857242346645</v>
      </c>
      <c r="P29" s="219">
        <f t="shared" si="13"/>
        <v>7494.9934582318847</v>
      </c>
      <c r="Q29" s="219">
        <f t="shared" si="13"/>
        <v>7706.9998702590492</v>
      </c>
      <c r="R29" s="219">
        <f t="shared" si="13"/>
        <v>7739.6590773191783</v>
      </c>
      <c r="S29" s="219">
        <f t="shared" si="13"/>
        <v>7818.6236109396887</v>
      </c>
      <c r="T29" s="219">
        <f t="shared" si="13"/>
        <v>7825.999872231685</v>
      </c>
      <c r="U29" s="219">
        <f t="shared" si="13"/>
        <v>7923.9897701366344</v>
      </c>
      <c r="V29" s="219">
        <f t="shared" si="13"/>
        <v>8079.3278292995456</v>
      </c>
      <c r="W29" s="369">
        <f t="shared" si="12"/>
        <v>8250.0845554667067</v>
      </c>
      <c r="X29" s="369">
        <f t="shared" si="3"/>
        <v>8403.6587502157927</v>
      </c>
    </row>
    <row r="30" spans="1:24" x14ac:dyDescent="0.2">
      <c r="A30" s="218" t="s">
        <v>197</v>
      </c>
      <c r="B30" s="219">
        <f t="shared" si="4"/>
        <v>5713.8456401971525</v>
      </c>
      <c r="C30" s="219">
        <f t="shared" si="5"/>
        <v>5805.784701485235</v>
      </c>
      <c r="D30" s="219">
        <f t="shared" si="6"/>
        <v>5851.9986329458425</v>
      </c>
      <c r="E30" s="219">
        <f t="shared" si="7"/>
        <v>5895.3086433197004</v>
      </c>
      <c r="F30" s="219">
        <f t="shared" si="8"/>
        <v>6005.8721114192185</v>
      </c>
      <c r="G30" s="219">
        <f t="shared" si="8"/>
        <v>6133.6187784236663</v>
      </c>
      <c r="H30" s="219">
        <f t="shared" si="8"/>
        <v>6264.0826546240487</v>
      </c>
      <c r="I30" s="219">
        <f t="shared" si="8"/>
        <v>6397.3215358594844</v>
      </c>
      <c r="J30" s="219">
        <f t="shared" si="9"/>
        <v>6558.4540311724477</v>
      </c>
      <c r="K30" s="219">
        <f t="shared" si="9"/>
        <v>6749.4343620621012</v>
      </c>
      <c r="L30" s="219">
        <f t="shared" si="10"/>
        <v>6838.4947174067474</v>
      </c>
      <c r="M30" s="272">
        <f t="shared" ref="M30:V30" si="14">M52+M72+M92</f>
        <v>6900</v>
      </c>
      <c r="N30" s="272">
        <f t="shared" si="14"/>
        <v>7142</v>
      </c>
      <c r="O30" s="272">
        <f t="shared" si="14"/>
        <v>7350</v>
      </c>
      <c r="P30" s="272">
        <f t="shared" si="14"/>
        <v>7502</v>
      </c>
      <c r="Q30" s="272">
        <f t="shared" si="14"/>
        <v>7706</v>
      </c>
      <c r="R30" s="272">
        <f t="shared" si="14"/>
        <v>7732</v>
      </c>
      <c r="S30" s="272">
        <f t="shared" si="14"/>
        <v>7837</v>
      </c>
      <c r="T30" s="272">
        <f t="shared" si="14"/>
        <v>7825</v>
      </c>
      <c r="U30" s="272">
        <f t="shared" si="14"/>
        <v>7933</v>
      </c>
      <c r="V30" s="272">
        <f t="shared" si="14"/>
        <v>8086</v>
      </c>
      <c r="W30" s="369">
        <f t="shared" si="12"/>
        <v>8262.7596785353053</v>
      </c>
      <c r="X30" s="369">
        <f t="shared" si="3"/>
        <v>8416.6060462577607</v>
      </c>
    </row>
    <row r="31" spans="1:24" x14ac:dyDescent="0.2">
      <c r="A31" s="218" t="s">
        <v>198</v>
      </c>
      <c r="B31" s="219">
        <f t="shared" si="4"/>
        <v>5720.8498666672103</v>
      </c>
      <c r="C31" s="219">
        <f t="shared" si="5"/>
        <v>5814.1239151502059</v>
      </c>
      <c r="D31" s="219">
        <f t="shared" si="6"/>
        <v>5851.3320043033709</v>
      </c>
      <c r="E31" s="219">
        <f t="shared" si="7"/>
        <v>5903.2305421460824</v>
      </c>
      <c r="F31" s="219">
        <f t="shared" si="8"/>
        <v>6016.4152735261732</v>
      </c>
      <c r="G31" s="219">
        <f t="shared" si="8"/>
        <v>6144.3861966909026</v>
      </c>
      <c r="H31" s="219">
        <f t="shared" si="8"/>
        <v>6275.0790990460828</v>
      </c>
      <c r="I31" s="219">
        <f t="shared" si="8"/>
        <v>6408.5518778900177</v>
      </c>
      <c r="J31" s="219">
        <f t="shared" si="9"/>
        <v>6574.1605179395219</v>
      </c>
      <c r="K31" s="219">
        <f t="shared" si="9"/>
        <v>6765.5982172921749</v>
      </c>
      <c r="L31" s="219">
        <f t="shared" si="10"/>
        <v>6837.0781978334126</v>
      </c>
      <c r="M31" s="219">
        <f>M30*POWER(M$33/M$30,1/3)</f>
        <v>6912.9755838673818</v>
      </c>
      <c r="N31" s="219">
        <f t="shared" ref="N31:V32" si="15">N30*POWER(N$33/N$30,1/3)</f>
        <v>7141.6666511080339</v>
      </c>
      <c r="O31" s="219">
        <f t="shared" si="15"/>
        <v>7374.5843450506209</v>
      </c>
      <c r="P31" s="219">
        <f t="shared" si="15"/>
        <v>7528.9034046394354</v>
      </c>
      <c r="Q31" s="219">
        <f t="shared" si="15"/>
        <v>7714.6569378014128</v>
      </c>
      <c r="R31" s="219">
        <f t="shared" si="15"/>
        <v>7731.6666522953401</v>
      </c>
      <c r="S31" s="219">
        <f t="shared" si="15"/>
        <v>7825.9845241985386</v>
      </c>
      <c r="T31" s="219">
        <f t="shared" si="15"/>
        <v>7830.3297023842388</v>
      </c>
      <c r="U31" s="219">
        <f t="shared" si="15"/>
        <v>7952.9497885182063</v>
      </c>
      <c r="V31" s="219">
        <f t="shared" si="15"/>
        <v>8101.304348562614</v>
      </c>
      <c r="W31" s="369">
        <f t="shared" si="12"/>
        <v>8275.4542751915651</v>
      </c>
      <c r="X31" s="369">
        <f t="shared" si="3"/>
        <v>8429.573289858261</v>
      </c>
    </row>
    <row r="32" spans="1:24" x14ac:dyDescent="0.2">
      <c r="A32" s="218" t="s">
        <v>199</v>
      </c>
      <c r="B32" s="219">
        <f t="shared" si="4"/>
        <v>5727.8626791564802</v>
      </c>
      <c r="C32" s="219">
        <f t="shared" si="5"/>
        <v>5822.4751069521781</v>
      </c>
      <c r="D32" s="219">
        <f t="shared" si="6"/>
        <v>5850.6654515996988</v>
      </c>
      <c r="E32" s="219">
        <f t="shared" si="7"/>
        <v>5911.1630861286067</v>
      </c>
      <c r="F32" s="219">
        <f t="shared" si="8"/>
        <v>6026.9769438972316</v>
      </c>
      <c r="G32" s="219">
        <f t="shared" si="8"/>
        <v>6155.1725168984667</v>
      </c>
      <c r="H32" s="219">
        <f t="shared" si="8"/>
        <v>6286.0948474582765</v>
      </c>
      <c r="I32" s="219">
        <f t="shared" si="8"/>
        <v>6419.8019345122621</v>
      </c>
      <c r="J32" s="219">
        <f t="shared" si="9"/>
        <v>6589.904619322082</v>
      </c>
      <c r="K32" s="219">
        <f t="shared" si="9"/>
        <v>6781.8007824647248</v>
      </c>
      <c r="L32" s="219">
        <f t="shared" si="10"/>
        <v>6835.6619716766527</v>
      </c>
      <c r="M32" s="219">
        <f>M31*POWER(M$33/M$30,1/3)</f>
        <v>6925.9755685719665</v>
      </c>
      <c r="N32" s="219">
        <f t="shared" si="15"/>
        <v>7141.3333177749428</v>
      </c>
      <c r="O32" s="219">
        <f t="shared" si="15"/>
        <v>7399.2509200361492</v>
      </c>
      <c r="P32" s="219">
        <f t="shared" si="15"/>
        <v>7555.9032893083549</v>
      </c>
      <c r="Q32" s="219">
        <f t="shared" si="15"/>
        <v>7723.3236008263002</v>
      </c>
      <c r="R32" s="219">
        <f t="shared" si="15"/>
        <v>7731.3333189622135</v>
      </c>
      <c r="S32" s="219">
        <f t="shared" si="15"/>
        <v>7814.9845314527274</v>
      </c>
      <c r="T32" s="219">
        <f t="shared" si="15"/>
        <v>7835.6630348933977</v>
      </c>
      <c r="U32" s="219">
        <f t="shared" si="15"/>
        <v>7972.9497464631013</v>
      </c>
      <c r="V32" s="219">
        <f t="shared" si="15"/>
        <v>8116.6376636210143</v>
      </c>
      <c r="W32" s="369">
        <f t="shared" si="12"/>
        <v>8288.1683753539819</v>
      </c>
      <c r="X32" s="369">
        <f t="shared" si="3"/>
        <v>8442.5605117499708</v>
      </c>
    </row>
    <row r="33" spans="1:24" x14ac:dyDescent="0.2">
      <c r="A33" s="218" t="s">
        <v>200</v>
      </c>
      <c r="B33" s="219">
        <f t="shared" si="4"/>
        <v>5734.8840881899978</v>
      </c>
      <c r="C33" s="219">
        <f t="shared" si="5"/>
        <v>5830.8382940961019</v>
      </c>
      <c r="D33" s="219">
        <f t="shared" si="6"/>
        <v>5849.9989748261751</v>
      </c>
      <c r="E33" s="219">
        <f t="shared" si="7"/>
        <v>5919.1062895718424</v>
      </c>
      <c r="F33" s="219">
        <f t="shared" si="8"/>
        <v>6037.5571550232007</v>
      </c>
      <c r="G33" s="219">
        <f t="shared" si="8"/>
        <v>6165.9777722282543</v>
      </c>
      <c r="H33" s="219">
        <f t="shared" si="8"/>
        <v>6297.1299337483142</v>
      </c>
      <c r="I33" s="219">
        <f t="shared" si="8"/>
        <v>6431.0717403347026</v>
      </c>
      <c r="J33" s="219">
        <f t="shared" si="9"/>
        <v>6605.6864254013362</v>
      </c>
      <c r="K33" s="219">
        <f t="shared" si="9"/>
        <v>6798.0421502840973</v>
      </c>
      <c r="L33" s="219">
        <f t="shared" si="10"/>
        <v>6834.2460388756908</v>
      </c>
      <c r="M33" s="272">
        <f t="shared" ref="M33:V33" si="16">M55+M75+M95</f>
        <v>6939</v>
      </c>
      <c r="N33" s="272">
        <f t="shared" si="16"/>
        <v>7141</v>
      </c>
      <c r="O33" s="272">
        <f t="shared" si="16"/>
        <v>7424</v>
      </c>
      <c r="P33" s="272">
        <f t="shared" si="16"/>
        <v>7583</v>
      </c>
      <c r="Q33" s="272">
        <f t="shared" si="16"/>
        <v>7732</v>
      </c>
      <c r="R33" s="272">
        <f t="shared" si="16"/>
        <v>7731</v>
      </c>
      <c r="S33" s="272">
        <f t="shared" si="16"/>
        <v>7804</v>
      </c>
      <c r="T33" s="272">
        <f t="shared" si="16"/>
        <v>7841</v>
      </c>
      <c r="U33" s="272">
        <f t="shared" si="16"/>
        <v>7993</v>
      </c>
      <c r="V33" s="272">
        <f t="shared" si="16"/>
        <v>8132</v>
      </c>
      <c r="W33" s="369">
        <f t="shared" si="12"/>
        <v>8300.9020089870173</v>
      </c>
      <c r="X33" s="369">
        <f t="shared" si="3"/>
        <v>8455.5677427129194</v>
      </c>
    </row>
    <row r="34" spans="1:24" x14ac:dyDescent="0.2">
      <c r="A34" s="218" t="s">
        <v>201</v>
      </c>
      <c r="B34" s="219">
        <f t="shared" si="4"/>
        <v>5741.9141043056989</v>
      </c>
      <c r="C34" s="219">
        <f t="shared" si="5"/>
        <v>5839.2134938116415</v>
      </c>
      <c r="D34" s="219">
        <f t="shared" si="6"/>
        <v>5849.3325739741495</v>
      </c>
      <c r="E34" s="219">
        <f t="shared" si="7"/>
        <v>5927.0601667995807</v>
      </c>
      <c r="F34" s="219">
        <f t="shared" si="8"/>
        <v>6048.1559394519236</v>
      </c>
      <c r="G34" s="219">
        <f t="shared" si="8"/>
        <v>6176.8019959204103</v>
      </c>
      <c r="H34" s="219">
        <f t="shared" si="8"/>
        <v>6308.1843918633695</v>
      </c>
      <c r="I34" s="219">
        <f t="shared" si="8"/>
        <v>6442.3613300265788</v>
      </c>
      <c r="J34" s="219">
        <f t="shared" si="9"/>
        <v>6621.5060264742224</v>
      </c>
      <c r="K34" s="219">
        <f t="shared" si="9"/>
        <v>6814.3224136766521</v>
      </c>
      <c r="L34" s="219">
        <f t="shared" si="10"/>
        <v>6832.8303993697609</v>
      </c>
      <c r="M34" s="219">
        <f>M33*POWER(M$36/M$33,1/3)</f>
        <v>6954.6314274392334</v>
      </c>
      <c r="N34" s="219">
        <f t="shared" ref="N34:U35" si="17">N33*POWER(N$36/N$33,1/3)</f>
        <v>7169.5523516791964</v>
      </c>
      <c r="O34" s="219">
        <f t="shared" si="17"/>
        <v>7429.9951573832359</v>
      </c>
      <c r="P34" s="219">
        <f t="shared" si="17"/>
        <v>7589.3280510744071</v>
      </c>
      <c r="Q34" s="219">
        <f t="shared" si="17"/>
        <v>7739.6590773191774</v>
      </c>
      <c r="R34" s="219">
        <f t="shared" si="17"/>
        <v>7745.9709901408378</v>
      </c>
      <c r="S34" s="219">
        <f t="shared" si="17"/>
        <v>7821.9586416963775</v>
      </c>
      <c r="T34" s="219">
        <f t="shared" si="17"/>
        <v>7862.275552624069</v>
      </c>
      <c r="U34" s="219">
        <f t="shared" si="17"/>
        <v>8014.2766465614968</v>
      </c>
      <c r="V34" s="219">
        <f>V33*POWER(V$36/V$33,1/3)</f>
        <v>8150.2921560266559</v>
      </c>
      <c r="W34" s="369">
        <f t="shared" si="12"/>
        <v>8313.6552061011698</v>
      </c>
      <c r="X34" s="369">
        <f t="shared" si="3"/>
        <v>8468.5950135745552</v>
      </c>
    </row>
    <row r="35" spans="1:24" x14ac:dyDescent="0.2">
      <c r="A35" s="218" t="s">
        <v>202</v>
      </c>
      <c r="B35" s="219">
        <f t="shared" si="4"/>
        <v>5748.9527380544378</v>
      </c>
      <c r="C35" s="219">
        <f t="shared" si="5"/>
        <v>5847.6007233532091</v>
      </c>
      <c r="D35" s="219">
        <f t="shared" si="6"/>
        <v>5848.6662490349745</v>
      </c>
      <c r="E35" s="219">
        <f t="shared" si="7"/>
        <v>5935.0247321548604</v>
      </c>
      <c r="F35" s="219">
        <f t="shared" si="8"/>
        <v>6058.7733297883815</v>
      </c>
      <c r="G35" s="219">
        <f t="shared" si="8"/>
        <v>6187.6452212734321</v>
      </c>
      <c r="H35" s="219">
        <f t="shared" si="8"/>
        <v>6319.2582558102094</v>
      </c>
      <c r="I35" s="219">
        <f t="shared" si="8"/>
        <v>6453.670738317991</v>
      </c>
      <c r="J35" s="219">
        <f t="shared" si="9"/>
        <v>6637.363513053926</v>
      </c>
      <c r="K35" s="219">
        <f t="shared" si="9"/>
        <v>6830.6416657912941</v>
      </c>
      <c r="L35" s="219">
        <f t="shared" si="10"/>
        <v>6831.4150530981105</v>
      </c>
      <c r="M35" s="219">
        <f>M34*POWER(M$36/M$33,1/3)</f>
        <v>6970.2980676647167</v>
      </c>
      <c r="N35" s="219">
        <f t="shared" si="17"/>
        <v>7198.2188661908267</v>
      </c>
      <c r="O35" s="219">
        <f t="shared" si="17"/>
        <v>7435.9951560800564</v>
      </c>
      <c r="P35" s="219">
        <f t="shared" si="17"/>
        <v>7595.6613829387916</v>
      </c>
      <c r="Q35" s="219">
        <f t="shared" si="17"/>
        <v>7747.3257414807476</v>
      </c>
      <c r="R35" s="219">
        <f t="shared" si="17"/>
        <v>7760.9709714271676</v>
      </c>
      <c r="S35" s="219">
        <f t="shared" si="17"/>
        <v>7839.9586099959815</v>
      </c>
      <c r="T35" s="219">
        <f t="shared" si="17"/>
        <v>7883.6088337444335</v>
      </c>
      <c r="U35" s="219">
        <f t="shared" si="17"/>
        <v>8035.6099296410594</v>
      </c>
      <c r="V35" s="219">
        <f>V34*POWER(V$36/V$33,1/3)</f>
        <v>8168.625458508317</v>
      </c>
      <c r="W35" s="369">
        <f t="shared" si="12"/>
        <v>8326.4279967530438</v>
      </c>
      <c r="X35" s="369">
        <f t="shared" si="3"/>
        <v>8481.642355209824</v>
      </c>
    </row>
    <row r="36" spans="1:24" x14ac:dyDescent="0.2">
      <c r="A36" s="218" t="s">
        <v>203</v>
      </c>
      <c r="B36" s="273">
        <f>B11</f>
        <v>5756</v>
      </c>
      <c r="C36" s="273">
        <f>B12</f>
        <v>5856</v>
      </c>
      <c r="D36" s="273">
        <f>B13</f>
        <v>5848</v>
      </c>
      <c r="E36" s="273">
        <f>B14</f>
        <v>5943</v>
      </c>
      <c r="F36" s="219">
        <f t="shared" si="8"/>
        <v>6069.4093586947911</v>
      </c>
      <c r="G36" s="219">
        <f t="shared" si="8"/>
        <v>6198.507481644273</v>
      </c>
      <c r="H36" s="219">
        <f t="shared" si="8"/>
        <v>6330.3515596552979</v>
      </c>
      <c r="I36" s="273">
        <f>G5</f>
        <v>6465</v>
      </c>
      <c r="J36" s="219">
        <f t="shared" si="9"/>
        <v>6653.258975870398</v>
      </c>
      <c r="K36" s="273">
        <f>G7</f>
        <v>6847</v>
      </c>
      <c r="L36" s="272">
        <f>L58+L78+L98+L118</f>
        <v>6830</v>
      </c>
      <c r="M36" s="272">
        <f t="shared" ref="M36:X36" si="18">M58+M78+M98+M118</f>
        <v>6986</v>
      </c>
      <c r="N36" s="272">
        <f t="shared" si="18"/>
        <v>7227</v>
      </c>
      <c r="O36" s="272">
        <f t="shared" si="18"/>
        <v>7442</v>
      </c>
      <c r="P36" s="272">
        <f t="shared" si="18"/>
        <v>7602</v>
      </c>
      <c r="Q36" s="272">
        <f t="shared" si="18"/>
        <v>7755</v>
      </c>
      <c r="R36" s="272">
        <f t="shared" si="18"/>
        <v>7776</v>
      </c>
      <c r="S36" s="272">
        <f t="shared" si="18"/>
        <v>7858</v>
      </c>
      <c r="T36" s="272">
        <f t="shared" si="18"/>
        <v>7905</v>
      </c>
      <c r="U36" s="272">
        <f t="shared" si="18"/>
        <v>8057</v>
      </c>
      <c r="V36" s="272">
        <f t="shared" si="18"/>
        <v>8187</v>
      </c>
      <c r="W36" s="369">
        <f t="shared" si="18"/>
        <v>8339.2204110454277</v>
      </c>
      <c r="X36" s="369">
        <f t="shared" si="18"/>
        <v>8494.7097985412402</v>
      </c>
    </row>
    <row r="37" spans="1:24" x14ac:dyDescent="0.2">
      <c r="A37" s="218"/>
      <c r="B37" s="218"/>
      <c r="C37" s="218"/>
      <c r="D37" s="218"/>
      <c r="E37" s="218"/>
      <c r="F37" s="265"/>
      <c r="G37" s="212"/>
      <c r="I37" s="65"/>
      <c r="O37" t="s">
        <v>189</v>
      </c>
      <c r="R37" s="219"/>
      <c r="W37" s="65"/>
      <c r="X37" s="65"/>
    </row>
    <row r="38" spans="1:24" ht="13.5" thickBot="1" x14ac:dyDescent="0.25">
      <c r="A38" s="218" t="s">
        <v>9</v>
      </c>
      <c r="B38" s="220">
        <f t="shared" ref="B38:X38" si="19">SUM(B25:B37)</f>
        <v>68608.773696048214</v>
      </c>
      <c r="C38" s="220">
        <f t="shared" si="19"/>
        <v>69720.289570854948</v>
      </c>
      <c r="D38" s="220">
        <f t="shared" si="19"/>
        <v>70219.989139514102</v>
      </c>
      <c r="E38" s="220">
        <f t="shared" si="19"/>
        <v>70791.979775885149</v>
      </c>
      <c r="F38" s="220">
        <f t="shared" si="19"/>
        <v>72135.018759345534</v>
      </c>
      <c r="G38" s="220">
        <f t="shared" si="19"/>
        <v>73669.351833686058</v>
      </c>
      <c r="H38" s="220">
        <f t="shared" si="19"/>
        <v>75236.320623986787</v>
      </c>
      <c r="I38" s="220">
        <f t="shared" si="19"/>
        <v>76836.619301529077</v>
      </c>
      <c r="J38" s="220">
        <f t="shared" si="19"/>
        <v>78798.317196521486</v>
      </c>
      <c r="K38" s="220">
        <f t="shared" si="19"/>
        <v>81092.901959975148</v>
      </c>
      <c r="L38" s="220">
        <f t="shared" si="19"/>
        <v>82053.458032730327</v>
      </c>
      <c r="M38" s="220">
        <f t="shared" si="19"/>
        <v>82913.533675825849</v>
      </c>
      <c r="N38" s="220">
        <f t="shared" si="19"/>
        <v>85459.385491358102</v>
      </c>
      <c r="O38" s="220">
        <f t="shared" si="19"/>
        <v>88314.593005151459</v>
      </c>
      <c r="P38" s="220">
        <f t="shared" si="19"/>
        <v>90343.737747179199</v>
      </c>
      <c r="Q38" s="220">
        <f t="shared" si="19"/>
        <v>92552.632754600374</v>
      </c>
      <c r="R38" s="220">
        <f t="shared" si="19"/>
        <v>92960.926751625491</v>
      </c>
      <c r="S38" s="220">
        <f t="shared" si="19"/>
        <v>93760.799201158836</v>
      </c>
      <c r="T38" s="220">
        <f t="shared" si="19"/>
        <v>94149.851367633615</v>
      </c>
      <c r="U38" s="220">
        <f t="shared" si="19"/>
        <v>95514.765627221757</v>
      </c>
      <c r="V38" s="220">
        <f t="shared" si="19"/>
        <v>97282.846387330079</v>
      </c>
      <c r="W38" s="220">
        <f t="shared" si="19"/>
        <v>99230.647925789104</v>
      </c>
      <c r="X38" s="220">
        <f t="shared" si="19"/>
        <v>101078.47342673611</v>
      </c>
    </row>
    <row r="39" spans="1:24" ht="13.5" thickTop="1" x14ac:dyDescent="0.2">
      <c r="A39" s="20"/>
      <c r="F39" s="212"/>
      <c r="G39" s="212"/>
    </row>
    <row r="40" spans="1:24" x14ac:dyDescent="0.2">
      <c r="A40" s="20"/>
      <c r="F40" s="212"/>
      <c r="G40" s="212"/>
    </row>
    <row r="41" spans="1:24" x14ac:dyDescent="0.2">
      <c r="A41" s="213" t="s">
        <v>238</v>
      </c>
      <c r="F41" s="212"/>
      <c r="G41" s="212"/>
    </row>
    <row r="42" spans="1:24" x14ac:dyDescent="0.2">
      <c r="A42" s="223" t="s">
        <v>239</v>
      </c>
      <c r="B42" s="223"/>
      <c r="C42" s="223"/>
      <c r="D42" s="223"/>
      <c r="E42" s="223"/>
      <c r="F42" s="217"/>
      <c r="G42" s="217"/>
    </row>
    <row r="43" spans="1:24" x14ac:dyDescent="0.2">
      <c r="A43" s="264"/>
      <c r="B43" s="214"/>
      <c r="C43" s="214"/>
      <c r="D43" s="214"/>
      <c r="E43" s="214"/>
      <c r="F43" s="215"/>
      <c r="G43" s="215"/>
    </row>
    <row r="44" spans="1:24" x14ac:dyDescent="0.2">
      <c r="A44" s="216" t="s">
        <v>192</v>
      </c>
      <c r="B44" s="216">
        <v>1992</v>
      </c>
      <c r="C44" s="216">
        <v>1993</v>
      </c>
      <c r="D44" s="216">
        <v>1994</v>
      </c>
      <c r="E44" s="216">
        <v>1995</v>
      </c>
      <c r="F44" s="216">
        <v>1996</v>
      </c>
      <c r="G44" s="216">
        <v>1997</v>
      </c>
      <c r="H44" s="216">
        <v>1998</v>
      </c>
      <c r="I44" s="216">
        <v>1999</v>
      </c>
      <c r="J44" s="216">
        <v>2000</v>
      </c>
      <c r="K44" s="216">
        <v>2001</v>
      </c>
      <c r="L44" s="216">
        <v>2002</v>
      </c>
      <c r="M44" s="216">
        <v>2003</v>
      </c>
      <c r="N44" s="216">
        <v>2004</v>
      </c>
      <c r="O44" s="216">
        <v>2005</v>
      </c>
      <c r="P44" s="216">
        <v>2006</v>
      </c>
      <c r="Q44" s="216">
        <v>2007</v>
      </c>
      <c r="R44" s="216">
        <v>2008</v>
      </c>
      <c r="S44" s="216">
        <v>2009</v>
      </c>
      <c r="T44" s="216">
        <v>2010</v>
      </c>
      <c r="U44" s="216">
        <v>2011</v>
      </c>
      <c r="V44" s="216">
        <v>2012</v>
      </c>
      <c r="W44" s="216">
        <v>2013</v>
      </c>
      <c r="X44" s="216">
        <v>2014</v>
      </c>
    </row>
    <row r="45" spans="1:24" x14ac:dyDescent="0.2">
      <c r="A45" s="214"/>
      <c r="B45" s="214"/>
      <c r="C45" s="214"/>
      <c r="D45" s="214"/>
      <c r="E45" s="214"/>
      <c r="F45" s="217"/>
      <c r="G45" s="217"/>
      <c r="S45" s="358" t="s">
        <v>296</v>
      </c>
      <c r="T45" s="213" t="s">
        <v>297</v>
      </c>
    </row>
    <row r="46" spans="1:24" x14ac:dyDescent="0.2">
      <c r="A46" s="218"/>
      <c r="B46" s="218"/>
      <c r="C46" s="218"/>
      <c r="D46" s="218"/>
      <c r="E46" s="218"/>
      <c r="F46" s="217"/>
      <c r="G46" s="217"/>
      <c r="H46" s="217"/>
      <c r="I46" s="217"/>
      <c r="S46" s="355"/>
    </row>
    <row r="47" spans="1:24" x14ac:dyDescent="0.2">
      <c r="A47" s="218" t="s">
        <v>193</v>
      </c>
      <c r="B47" s="219"/>
      <c r="C47" s="219"/>
      <c r="D47" s="219"/>
      <c r="E47" s="219"/>
      <c r="F47" s="219"/>
      <c r="G47" s="219"/>
      <c r="H47" s="219"/>
      <c r="I47" s="219"/>
      <c r="J47" s="219"/>
      <c r="K47" s="219"/>
      <c r="L47" s="219"/>
      <c r="M47" s="219"/>
      <c r="N47" s="219"/>
      <c r="O47" s="219"/>
      <c r="P47" s="219"/>
      <c r="Q47" s="219"/>
      <c r="R47" s="219"/>
      <c r="S47" s="356"/>
      <c r="T47" s="219"/>
      <c r="U47" s="219"/>
      <c r="V47" s="65"/>
      <c r="W47" s="65"/>
      <c r="X47" s="65"/>
    </row>
    <row r="48" spans="1:24" x14ac:dyDescent="0.2">
      <c r="A48" s="218" t="s">
        <v>194</v>
      </c>
      <c r="B48" s="219"/>
      <c r="C48" s="219"/>
      <c r="D48" s="219"/>
      <c r="E48" s="219"/>
      <c r="F48" s="219"/>
      <c r="G48" s="219"/>
      <c r="H48" s="219"/>
      <c r="I48" s="219"/>
      <c r="J48" s="219"/>
      <c r="K48" s="219"/>
      <c r="L48" s="219"/>
      <c r="M48" s="219"/>
      <c r="N48" s="219"/>
      <c r="O48" s="219"/>
      <c r="P48" s="219"/>
      <c r="Q48" s="219"/>
      <c r="R48" s="219"/>
      <c r="S48" s="356"/>
      <c r="T48" s="219"/>
      <c r="U48" s="219"/>
      <c r="V48" s="65"/>
      <c r="W48" s="65"/>
      <c r="X48" s="65"/>
    </row>
    <row r="49" spans="1:24" x14ac:dyDescent="0.2">
      <c r="A49" s="218" t="s">
        <v>195</v>
      </c>
      <c r="B49" s="219"/>
      <c r="C49" s="219"/>
      <c r="D49" s="219"/>
      <c r="E49" s="219"/>
      <c r="F49" s="219"/>
      <c r="G49" s="219"/>
      <c r="H49" s="219"/>
      <c r="I49" s="219"/>
      <c r="J49" s="219"/>
      <c r="K49" s="219"/>
      <c r="L49" s="219"/>
      <c r="M49" s="219"/>
      <c r="N49" s="274">
        <v>5704</v>
      </c>
      <c r="O49" s="274">
        <v>5950</v>
      </c>
      <c r="P49" s="274">
        <v>6151</v>
      </c>
      <c r="Q49" s="274">
        <v>6353</v>
      </c>
      <c r="R49" s="274">
        <f>6029+192+1+116+2+1+1+84</f>
        <v>6426</v>
      </c>
      <c r="S49" s="357">
        <f>5999+208+108+2+1+6+6+115</f>
        <v>6445</v>
      </c>
      <c r="T49" s="361">
        <v>6481</v>
      </c>
      <c r="U49" s="360">
        <v>6558</v>
      </c>
      <c r="V49" s="360">
        <v>6684</v>
      </c>
    </row>
    <row r="50" spans="1:24" x14ac:dyDescent="0.2">
      <c r="A50" s="218" t="s">
        <v>196</v>
      </c>
      <c r="B50" s="219"/>
      <c r="C50" s="219"/>
      <c r="D50" s="219"/>
      <c r="E50" s="219"/>
      <c r="F50" s="219"/>
      <c r="G50" s="219"/>
      <c r="H50" s="219"/>
      <c r="I50" s="219"/>
      <c r="J50" s="219"/>
      <c r="K50" s="219"/>
      <c r="L50" s="219"/>
      <c r="M50" s="219"/>
      <c r="N50" s="219"/>
      <c r="O50" s="219"/>
      <c r="P50" s="219"/>
      <c r="Q50" s="219"/>
      <c r="R50" s="219"/>
      <c r="S50" s="355"/>
    </row>
    <row r="51" spans="1:24" x14ac:dyDescent="0.2">
      <c r="A51" s="218" t="s">
        <v>86</v>
      </c>
      <c r="B51" s="219"/>
      <c r="C51" s="219"/>
      <c r="D51" s="219"/>
      <c r="E51" s="219"/>
      <c r="F51" s="219"/>
      <c r="G51" s="219"/>
      <c r="H51" s="219"/>
      <c r="I51" s="219"/>
      <c r="J51" s="219"/>
      <c r="K51" s="219"/>
      <c r="L51" s="219"/>
      <c r="M51" s="219"/>
      <c r="N51" s="219"/>
      <c r="O51" s="219"/>
      <c r="P51" s="219"/>
      <c r="Q51" s="219"/>
      <c r="R51" s="219"/>
      <c r="S51" s="355"/>
    </row>
    <row r="52" spans="1:24" x14ac:dyDescent="0.2">
      <c r="A52" s="218" t="s">
        <v>197</v>
      </c>
      <c r="B52" s="219"/>
      <c r="C52" s="219"/>
      <c r="D52" s="219"/>
      <c r="E52" s="219"/>
      <c r="F52" s="219"/>
      <c r="G52" s="219"/>
      <c r="H52" s="219"/>
      <c r="I52" s="219"/>
      <c r="J52" s="219"/>
      <c r="K52" s="219"/>
      <c r="L52" s="219"/>
      <c r="M52" s="274">
        <v>5549</v>
      </c>
      <c r="N52" s="274">
        <v>5794</v>
      </c>
      <c r="O52" s="274">
        <v>6004</v>
      </c>
      <c r="P52" s="274">
        <v>6164</v>
      </c>
      <c r="Q52" s="274">
        <v>6360</v>
      </c>
      <c r="R52" s="274">
        <f>6016+1+185+1+109+2+5+88</f>
        <v>6407</v>
      </c>
      <c r="S52" s="357">
        <f>6002+203+106+2+1+66+6+114+1</f>
        <v>6501</v>
      </c>
      <c r="T52" s="361">
        <v>6479</v>
      </c>
      <c r="U52" s="360">
        <v>6582</v>
      </c>
      <c r="V52" s="360">
        <v>6691</v>
      </c>
    </row>
    <row r="53" spans="1:24" x14ac:dyDescent="0.2">
      <c r="A53" s="218" t="s">
        <v>198</v>
      </c>
      <c r="B53" s="219"/>
      <c r="C53" s="219"/>
      <c r="D53" s="219"/>
      <c r="E53" s="219"/>
      <c r="F53" s="219"/>
      <c r="G53" s="219"/>
      <c r="H53" s="219"/>
      <c r="I53" s="219"/>
      <c r="J53" s="219"/>
      <c r="K53" s="219"/>
      <c r="L53" s="219"/>
      <c r="M53" s="219"/>
      <c r="N53" s="219"/>
      <c r="O53" s="219"/>
      <c r="P53" s="219"/>
      <c r="Q53" s="219"/>
      <c r="R53" s="219"/>
      <c r="S53" s="355"/>
    </row>
    <row r="54" spans="1:24" x14ac:dyDescent="0.2">
      <c r="A54" s="218" t="s">
        <v>199</v>
      </c>
      <c r="B54" s="219"/>
      <c r="C54" s="219"/>
      <c r="D54" s="219"/>
      <c r="E54" s="219"/>
      <c r="F54" s="219"/>
      <c r="G54" s="219"/>
      <c r="H54" s="219"/>
      <c r="I54" s="219"/>
      <c r="J54" s="219"/>
      <c r="K54" s="219"/>
      <c r="L54" s="219"/>
      <c r="M54" s="219"/>
      <c r="N54" s="219"/>
      <c r="O54" s="219"/>
      <c r="P54" s="219"/>
      <c r="Q54" s="219"/>
      <c r="R54" s="219"/>
      <c r="S54" s="355"/>
    </row>
    <row r="55" spans="1:24" x14ac:dyDescent="0.2">
      <c r="A55" s="218" t="s">
        <v>200</v>
      </c>
      <c r="B55" s="219"/>
      <c r="C55" s="219"/>
      <c r="D55" s="219"/>
      <c r="E55" s="219"/>
      <c r="F55" s="219"/>
      <c r="G55" s="219"/>
      <c r="H55" s="219"/>
      <c r="I55" s="219"/>
      <c r="J55" s="219"/>
      <c r="K55" s="219"/>
      <c r="L55" s="219"/>
      <c r="M55" s="274">
        <v>5592</v>
      </c>
      <c r="N55" s="274">
        <v>5795</v>
      </c>
      <c r="O55" s="274">
        <v>6082</v>
      </c>
      <c r="P55" s="274">
        <v>6231</v>
      </c>
      <c r="Q55" s="274">
        <v>6379</v>
      </c>
      <c r="R55" s="274">
        <f>6020+182+106+2+1+5+2+84</f>
        <v>6402</v>
      </c>
      <c r="S55" s="357">
        <f>6034+196+102+2+1+6+8+110+1+3</f>
        <v>6463</v>
      </c>
      <c r="T55" s="361">
        <v>6495</v>
      </c>
      <c r="U55" s="360">
        <v>6629</v>
      </c>
      <c r="V55" s="360">
        <v>6740</v>
      </c>
    </row>
    <row r="56" spans="1:24" x14ac:dyDescent="0.2">
      <c r="A56" s="218" t="s">
        <v>201</v>
      </c>
      <c r="B56" s="219"/>
      <c r="C56" s="219"/>
      <c r="D56" s="219"/>
      <c r="E56" s="219"/>
      <c r="F56" s="219"/>
      <c r="G56" s="219"/>
      <c r="H56" s="219"/>
      <c r="I56" s="219"/>
      <c r="J56" s="219"/>
      <c r="K56" s="219"/>
      <c r="L56" s="219"/>
      <c r="M56" s="219"/>
      <c r="N56" s="219"/>
      <c r="O56" s="219"/>
      <c r="P56" s="219"/>
      <c r="Q56" s="219"/>
      <c r="R56" s="219"/>
      <c r="S56" s="355"/>
    </row>
    <row r="57" spans="1:24" x14ac:dyDescent="0.2">
      <c r="A57" s="218" t="s">
        <v>202</v>
      </c>
      <c r="B57" s="219"/>
      <c r="C57" s="219"/>
      <c r="D57" s="219"/>
      <c r="E57" s="219"/>
      <c r="F57" s="219"/>
      <c r="G57" s="219"/>
      <c r="H57" s="219"/>
      <c r="I57" s="219"/>
      <c r="J57" s="219" t="s">
        <v>189</v>
      </c>
      <c r="K57" s="219"/>
      <c r="L57" s="219"/>
      <c r="M57" s="219"/>
      <c r="N57" s="219"/>
      <c r="O57" s="219"/>
      <c r="P57" s="219"/>
      <c r="Q57" s="219"/>
      <c r="R57" s="219"/>
      <c r="S57" s="355"/>
    </row>
    <row r="58" spans="1:24" x14ac:dyDescent="0.2">
      <c r="A58" s="218" t="s">
        <v>203</v>
      </c>
      <c r="B58" s="219"/>
      <c r="C58" s="219"/>
      <c r="D58" s="219"/>
      <c r="E58" s="219"/>
      <c r="F58" s="219"/>
      <c r="G58" s="219"/>
      <c r="H58" s="219"/>
      <c r="I58" s="274">
        <v>5101</v>
      </c>
      <c r="J58" s="219"/>
      <c r="K58" s="274">
        <v>5387</v>
      </c>
      <c r="L58" s="274">
        <v>5507</v>
      </c>
      <c r="M58" s="274">
        <v>5661</v>
      </c>
      <c r="N58" s="274">
        <v>5902</v>
      </c>
      <c r="O58" s="274">
        <v>6124</v>
      </c>
      <c r="P58" s="274">
        <v>6276</v>
      </c>
      <c r="Q58" s="274">
        <v>6424</v>
      </c>
      <c r="R58" s="274">
        <f>[16]Sheet1!$D$4</f>
        <v>6436</v>
      </c>
      <c r="S58" s="357">
        <f>[17]Sheet1!$E$4</f>
        <v>6507</v>
      </c>
      <c r="T58" s="361">
        <v>6537</v>
      </c>
      <c r="U58" s="360">
        <v>6666</v>
      </c>
      <c r="V58" s="360">
        <v>6818</v>
      </c>
      <c r="W58" s="369">
        <f>'Rate Class Customer Model'!B20</f>
        <v>6965.1614702650531</v>
      </c>
      <c r="X58" s="369">
        <f>'Rate Class Customer Model'!B21</f>
        <v>7115.4993116551541</v>
      </c>
    </row>
    <row r="59" spans="1:24" x14ac:dyDescent="0.2">
      <c r="A59" s="218"/>
      <c r="B59" s="218"/>
      <c r="C59" s="218"/>
      <c r="D59" s="218"/>
      <c r="E59" s="218"/>
      <c r="F59" s="265"/>
      <c r="G59" s="212"/>
      <c r="I59" s="65"/>
      <c r="R59" s="219"/>
      <c r="W59" s="65"/>
      <c r="X59" s="65"/>
    </row>
    <row r="60" spans="1:24" ht="13.5" thickBot="1" x14ac:dyDescent="0.25">
      <c r="A60" s="218" t="s">
        <v>9</v>
      </c>
      <c r="B60" s="220">
        <f t="shared" ref="B60:X60" si="20">SUM(B47:B59)</f>
        <v>0</v>
      </c>
      <c r="C60" s="220">
        <f t="shared" si="20"/>
        <v>0</v>
      </c>
      <c r="D60" s="220">
        <f t="shared" si="20"/>
        <v>0</v>
      </c>
      <c r="E60" s="220">
        <f t="shared" si="20"/>
        <v>0</v>
      </c>
      <c r="F60" s="220">
        <f t="shared" si="20"/>
        <v>0</v>
      </c>
      <c r="G60" s="220">
        <f t="shared" si="20"/>
        <v>0</v>
      </c>
      <c r="H60" s="220">
        <f t="shared" si="20"/>
        <v>0</v>
      </c>
      <c r="I60" s="220">
        <f t="shared" si="20"/>
        <v>5101</v>
      </c>
      <c r="J60" s="220">
        <f t="shared" si="20"/>
        <v>0</v>
      </c>
      <c r="K60" s="220">
        <f t="shared" si="20"/>
        <v>5387</v>
      </c>
      <c r="L60" s="220">
        <f t="shared" si="20"/>
        <v>5507</v>
      </c>
      <c r="M60" s="220">
        <f t="shared" si="20"/>
        <v>16802</v>
      </c>
      <c r="N60" s="220">
        <f t="shared" si="20"/>
        <v>23195</v>
      </c>
      <c r="O60" s="220">
        <f t="shared" si="20"/>
        <v>24160</v>
      </c>
      <c r="P60" s="220">
        <f t="shared" si="20"/>
        <v>24822</v>
      </c>
      <c r="Q60" s="220">
        <f t="shared" si="20"/>
        <v>25516</v>
      </c>
      <c r="R60" s="220">
        <f t="shared" si="20"/>
        <v>25671</v>
      </c>
      <c r="S60" s="220">
        <f t="shared" si="20"/>
        <v>25916</v>
      </c>
      <c r="T60" s="220">
        <f t="shared" si="20"/>
        <v>25992</v>
      </c>
      <c r="U60" s="220">
        <f t="shared" si="20"/>
        <v>26435</v>
      </c>
      <c r="V60" s="220">
        <f t="shared" si="20"/>
        <v>26933</v>
      </c>
      <c r="W60" s="220">
        <f t="shared" si="20"/>
        <v>6965.1614702650531</v>
      </c>
      <c r="X60" s="220">
        <f t="shared" si="20"/>
        <v>7115.4993116551541</v>
      </c>
    </row>
    <row r="61" spans="1:24" ht="13.5" thickTop="1" x14ac:dyDescent="0.2">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row>
    <row r="62" spans="1:24" x14ac:dyDescent="0.2">
      <c r="A62" s="223" t="s">
        <v>240</v>
      </c>
      <c r="B62" s="223"/>
      <c r="C62" s="223"/>
      <c r="D62" s="223"/>
      <c r="E62" s="223"/>
      <c r="F62" s="217"/>
      <c r="G62" s="217"/>
    </row>
    <row r="63" spans="1:24" x14ac:dyDescent="0.2">
      <c r="A63" s="264"/>
      <c r="B63" s="214"/>
      <c r="C63" s="214"/>
      <c r="D63" s="214"/>
      <c r="E63" s="214"/>
      <c r="F63" s="215"/>
      <c r="G63" s="215"/>
    </row>
    <row r="64" spans="1:24" x14ac:dyDescent="0.2">
      <c r="A64" s="216" t="s">
        <v>192</v>
      </c>
      <c r="B64" s="216">
        <v>1992</v>
      </c>
      <c r="C64" s="216">
        <v>1993</v>
      </c>
      <c r="D64" s="216">
        <v>1994</v>
      </c>
      <c r="E64" s="216">
        <v>1995</v>
      </c>
      <c r="F64" s="216">
        <v>1996</v>
      </c>
      <c r="G64" s="216">
        <v>1997</v>
      </c>
      <c r="H64" s="216">
        <v>1998</v>
      </c>
      <c r="I64" s="216">
        <v>1999</v>
      </c>
      <c r="J64" s="216">
        <v>2000</v>
      </c>
      <c r="K64" s="216">
        <v>2001</v>
      </c>
      <c r="L64" s="216">
        <v>2002</v>
      </c>
      <c r="M64" s="216">
        <v>2003</v>
      </c>
      <c r="N64" s="216">
        <v>2004</v>
      </c>
      <c r="O64" s="216">
        <v>2005</v>
      </c>
      <c r="P64" s="216">
        <v>2006</v>
      </c>
      <c r="Q64" s="216">
        <v>2007</v>
      </c>
      <c r="R64" s="216">
        <v>2008</v>
      </c>
      <c r="S64" s="216">
        <v>2009</v>
      </c>
      <c r="T64" s="216">
        <v>2010</v>
      </c>
      <c r="U64" s="216">
        <v>2011</v>
      </c>
      <c r="V64" s="216">
        <v>2012</v>
      </c>
      <c r="W64" s="216">
        <v>2013</v>
      </c>
      <c r="X64" s="216">
        <v>2014</v>
      </c>
    </row>
    <row r="65" spans="1:24" x14ac:dyDescent="0.2">
      <c r="A65" s="214"/>
      <c r="B65" s="214"/>
      <c r="C65" s="214"/>
      <c r="D65" s="214"/>
      <c r="E65" s="214"/>
      <c r="F65" s="217"/>
      <c r="G65" s="217"/>
      <c r="S65" s="358" t="s">
        <v>296</v>
      </c>
      <c r="T65" s="213" t="s">
        <v>299</v>
      </c>
    </row>
    <row r="66" spans="1:24" x14ac:dyDescent="0.2">
      <c r="A66" s="218"/>
      <c r="B66" s="218"/>
      <c r="C66" s="218"/>
      <c r="D66" s="218"/>
      <c r="E66" s="218"/>
      <c r="F66" s="217"/>
      <c r="G66" s="217"/>
      <c r="H66" s="217"/>
      <c r="I66" s="217"/>
      <c r="S66" s="355"/>
      <c r="T66" s="65"/>
      <c r="U66" s="65"/>
    </row>
    <row r="67" spans="1:24" x14ac:dyDescent="0.2">
      <c r="A67" s="218" t="s">
        <v>193</v>
      </c>
      <c r="B67" s="219"/>
      <c r="C67" s="219"/>
      <c r="D67" s="219"/>
      <c r="E67" s="219"/>
      <c r="F67" s="219"/>
      <c r="G67" s="219"/>
      <c r="H67" s="219"/>
      <c r="I67" s="219"/>
      <c r="J67" s="219"/>
      <c r="K67" s="219"/>
      <c r="L67" s="219"/>
      <c r="M67" s="219"/>
      <c r="N67" s="219"/>
      <c r="O67" s="219"/>
      <c r="P67" s="219"/>
      <c r="Q67" s="219"/>
      <c r="R67" s="219"/>
      <c r="S67" s="356"/>
      <c r="X67" s="65"/>
    </row>
    <row r="68" spans="1:24" x14ac:dyDescent="0.2">
      <c r="A68" s="218" t="s">
        <v>194</v>
      </c>
      <c r="B68" s="219"/>
      <c r="C68" s="219"/>
      <c r="D68" s="219"/>
      <c r="E68" s="219"/>
      <c r="F68" s="219"/>
      <c r="G68" s="219"/>
      <c r="H68" s="219"/>
      <c r="I68" s="219"/>
      <c r="J68" s="219"/>
      <c r="K68" s="219"/>
      <c r="L68" s="219"/>
      <c r="M68" s="219"/>
      <c r="N68" s="219"/>
      <c r="O68" s="219"/>
      <c r="P68" s="219"/>
      <c r="Q68" s="219"/>
      <c r="R68" s="219"/>
      <c r="S68" s="356"/>
      <c r="X68" s="65"/>
    </row>
    <row r="69" spans="1:24" x14ac:dyDescent="0.2">
      <c r="A69" s="218" t="s">
        <v>195</v>
      </c>
      <c r="B69" s="219"/>
      <c r="C69" s="219"/>
      <c r="D69" s="219"/>
      <c r="E69" s="219"/>
      <c r="F69" s="219"/>
      <c r="G69" s="219"/>
      <c r="H69" s="219"/>
      <c r="I69" s="219"/>
      <c r="J69" s="219"/>
      <c r="K69" s="219"/>
      <c r="L69" s="219"/>
      <c r="M69" s="219"/>
      <c r="N69" s="274">
        <v>1256</v>
      </c>
      <c r="O69" s="274">
        <v>1246</v>
      </c>
      <c r="P69" s="274">
        <v>1220</v>
      </c>
      <c r="Q69" s="274">
        <v>1238</v>
      </c>
      <c r="R69" s="274">
        <f>1149+31+6+1+18+21+10-R199</f>
        <v>1214</v>
      </c>
      <c r="S69" s="357">
        <f>1131+56+6+19+21+1+10-S199</f>
        <v>1222</v>
      </c>
      <c r="T69" s="360">
        <v>1224</v>
      </c>
      <c r="U69" s="360">
        <v>1227</v>
      </c>
      <c r="V69" s="360">
        <v>1264</v>
      </c>
      <c r="W69" s="65"/>
      <c r="X69" s="65"/>
    </row>
    <row r="70" spans="1:24" x14ac:dyDescent="0.2">
      <c r="A70" s="218" t="s">
        <v>196</v>
      </c>
      <c r="B70" s="219"/>
      <c r="C70" s="219"/>
      <c r="D70" s="219"/>
      <c r="E70" s="219"/>
      <c r="F70" s="219"/>
      <c r="G70" s="219"/>
      <c r="H70" s="219"/>
      <c r="I70" s="219"/>
      <c r="J70" s="219"/>
      <c r="K70" s="219"/>
      <c r="L70" s="219"/>
      <c r="M70" s="219"/>
      <c r="N70" s="219"/>
      <c r="O70" s="219"/>
      <c r="P70" s="219"/>
      <c r="Q70" s="219"/>
      <c r="R70" s="219"/>
      <c r="S70" s="355"/>
      <c r="W70" s="65"/>
      <c r="X70" s="65"/>
    </row>
    <row r="71" spans="1:24" x14ac:dyDescent="0.2">
      <c r="A71" s="218" t="s">
        <v>86</v>
      </c>
      <c r="B71" s="219"/>
      <c r="C71" s="219"/>
      <c r="D71" s="219"/>
      <c r="E71" s="219"/>
      <c r="F71" s="219"/>
      <c r="G71" s="219"/>
      <c r="H71" s="219"/>
      <c r="I71" s="219"/>
      <c r="J71" s="219"/>
      <c r="K71" s="219"/>
      <c r="L71" s="219"/>
      <c r="M71" s="219"/>
      <c r="N71" s="219"/>
      <c r="O71" s="219"/>
      <c r="P71" s="219"/>
      <c r="Q71" s="219"/>
      <c r="R71" s="219"/>
      <c r="S71" s="355"/>
      <c r="W71" s="65"/>
      <c r="X71" s="65"/>
    </row>
    <row r="72" spans="1:24" x14ac:dyDescent="0.2">
      <c r="A72" s="218" t="s">
        <v>197</v>
      </c>
      <c r="B72" s="219"/>
      <c r="C72" s="219"/>
      <c r="D72" s="219"/>
      <c r="E72" s="219"/>
      <c r="F72" s="219"/>
      <c r="G72" s="219"/>
      <c r="H72" s="219"/>
      <c r="I72" s="219"/>
      <c r="J72" s="219"/>
      <c r="K72" s="219"/>
      <c r="L72" s="219"/>
      <c r="M72" s="274">
        <v>1259</v>
      </c>
      <c r="N72" s="274">
        <v>1252</v>
      </c>
      <c r="O72" s="274">
        <v>1244</v>
      </c>
      <c r="P72" s="274">
        <v>1229</v>
      </c>
      <c r="Q72" s="274">
        <v>1231</v>
      </c>
      <c r="R72" s="274">
        <f>1151+32+1+18+20+10-R199</f>
        <v>1210</v>
      </c>
      <c r="S72" s="357">
        <f>1128+56+7+19+21+9-S199</f>
        <v>1218</v>
      </c>
      <c r="T72" s="360">
        <v>1224</v>
      </c>
      <c r="U72" s="360">
        <v>1230</v>
      </c>
      <c r="V72" s="360">
        <v>1278</v>
      </c>
      <c r="W72" s="65"/>
      <c r="X72" s="65"/>
    </row>
    <row r="73" spans="1:24" x14ac:dyDescent="0.2">
      <c r="A73" s="218" t="s">
        <v>198</v>
      </c>
      <c r="B73" s="219"/>
      <c r="C73" s="219"/>
      <c r="D73" s="219"/>
      <c r="E73" s="219"/>
      <c r="F73" s="219"/>
      <c r="G73" s="219"/>
      <c r="H73" s="219"/>
      <c r="I73" s="219"/>
      <c r="J73" s="219"/>
      <c r="K73" s="219"/>
      <c r="L73" s="219"/>
      <c r="M73" s="219"/>
      <c r="N73" s="219"/>
      <c r="O73" s="219"/>
      <c r="P73" s="219"/>
      <c r="Q73" s="219"/>
      <c r="R73" s="219"/>
      <c r="S73" s="355"/>
      <c r="X73" s="65"/>
    </row>
    <row r="74" spans="1:24" x14ac:dyDescent="0.2">
      <c r="A74" s="218" t="s">
        <v>199</v>
      </c>
      <c r="B74" s="219"/>
      <c r="C74" s="219"/>
      <c r="D74" s="219"/>
      <c r="E74" s="219"/>
      <c r="F74" s="219"/>
      <c r="G74" s="219"/>
      <c r="H74" s="219"/>
      <c r="I74" s="219"/>
      <c r="J74" s="219"/>
      <c r="K74" s="219"/>
      <c r="L74" s="219"/>
      <c r="M74" s="219"/>
      <c r="N74" s="219"/>
      <c r="O74" s="219"/>
      <c r="P74" s="219"/>
      <c r="Q74" s="219"/>
      <c r="R74" s="219"/>
      <c r="S74" s="355"/>
      <c r="X74" s="65"/>
    </row>
    <row r="75" spans="1:24" x14ac:dyDescent="0.2">
      <c r="A75" s="218" t="s">
        <v>200</v>
      </c>
      <c r="B75" s="219"/>
      <c r="C75" s="219"/>
      <c r="D75" s="219"/>
      <c r="E75" s="219"/>
      <c r="F75" s="219"/>
      <c r="G75" s="219"/>
      <c r="H75" s="219"/>
      <c r="I75" s="219"/>
      <c r="J75" s="219"/>
      <c r="K75" s="219"/>
      <c r="L75" s="219"/>
      <c r="M75" s="274">
        <v>1253</v>
      </c>
      <c r="N75" s="274">
        <v>1250</v>
      </c>
      <c r="O75" s="274">
        <v>1240</v>
      </c>
      <c r="P75" s="274">
        <v>1240</v>
      </c>
      <c r="Q75" s="274">
        <v>1239</v>
      </c>
      <c r="R75" s="274">
        <f>1148+32+6+19+19+1+10-R199</f>
        <v>1213</v>
      </c>
      <c r="S75" s="357">
        <f>1134+56+19+21+9+7-S199</f>
        <v>1224</v>
      </c>
      <c r="T75" s="360">
        <f>1223+1</f>
        <v>1224</v>
      </c>
      <c r="U75" s="360">
        <v>1246</v>
      </c>
      <c r="V75" s="360">
        <v>1274</v>
      </c>
      <c r="W75" s="65"/>
      <c r="X75" s="65"/>
    </row>
    <row r="76" spans="1:24" x14ac:dyDescent="0.2">
      <c r="A76" s="218" t="s">
        <v>201</v>
      </c>
      <c r="B76" s="219"/>
      <c r="C76" s="219"/>
      <c r="D76" s="219"/>
      <c r="E76" s="219"/>
      <c r="F76" s="219"/>
      <c r="G76" s="219"/>
      <c r="H76" s="219"/>
      <c r="I76" s="219"/>
      <c r="J76" s="219"/>
      <c r="K76" s="219"/>
      <c r="L76" s="219"/>
      <c r="M76" s="219"/>
      <c r="N76" s="219"/>
      <c r="O76" s="219"/>
      <c r="P76" s="219"/>
      <c r="Q76" s="219"/>
      <c r="R76" s="219"/>
      <c r="S76" s="355"/>
      <c r="W76" s="65"/>
      <c r="X76" s="65"/>
    </row>
    <row r="77" spans="1:24" x14ac:dyDescent="0.2">
      <c r="A77" s="218" t="s">
        <v>202</v>
      </c>
      <c r="B77" s="219"/>
      <c r="C77" s="219"/>
      <c r="D77" s="219"/>
      <c r="E77" s="219"/>
      <c r="F77" s="219"/>
      <c r="G77" s="219"/>
      <c r="H77" s="219"/>
      <c r="I77" s="219"/>
      <c r="J77" s="219"/>
      <c r="K77" s="219"/>
      <c r="L77" s="219"/>
      <c r="M77" s="219"/>
      <c r="N77" s="219"/>
      <c r="O77" s="219"/>
      <c r="P77" s="219"/>
      <c r="Q77" s="219"/>
      <c r="R77" s="219"/>
      <c r="S77" s="355"/>
      <c r="W77" s="65"/>
      <c r="X77" s="65"/>
    </row>
    <row r="78" spans="1:24" x14ac:dyDescent="0.2">
      <c r="A78" s="218" t="s">
        <v>203</v>
      </c>
      <c r="B78" s="219"/>
      <c r="C78" s="219"/>
      <c r="D78" s="219"/>
      <c r="E78" s="219"/>
      <c r="F78" s="219"/>
      <c r="G78" s="219"/>
      <c r="H78" s="219"/>
      <c r="I78" s="351">
        <f>1283-I199</f>
        <v>1259</v>
      </c>
      <c r="J78" s="219"/>
      <c r="K78" s="351">
        <f>1369-K199</f>
        <v>1345</v>
      </c>
      <c r="L78" s="351">
        <f>1258-L199</f>
        <v>1234</v>
      </c>
      <c r="M78" s="351">
        <f>1254-M199</f>
        <v>1230</v>
      </c>
      <c r="N78" s="351">
        <f>1251-N199</f>
        <v>1227</v>
      </c>
      <c r="O78" s="351">
        <f>1234-O199</f>
        <v>1210</v>
      </c>
      <c r="P78" s="351">
        <f>1233-P199</f>
        <v>1209</v>
      </c>
      <c r="Q78" s="351">
        <f>1239-Q199</f>
        <v>1216</v>
      </c>
      <c r="R78" s="274">
        <f>[16]Sheet1!$D$5</f>
        <v>1225</v>
      </c>
      <c r="S78" s="357">
        <f>[17]Sheet1!$E$5</f>
        <v>1230</v>
      </c>
      <c r="T78" s="360">
        <f>1224+1</f>
        <v>1225</v>
      </c>
      <c r="U78" s="360">
        <v>1253</v>
      </c>
      <c r="V78" s="360">
        <v>1252</v>
      </c>
      <c r="W78" s="369">
        <f>'Rate Class Customer Model'!C20</f>
        <v>1253.8143780836497</v>
      </c>
      <c r="X78" s="369">
        <f>'Rate Class Customer Model'!C21</f>
        <v>1255.6313855345761</v>
      </c>
    </row>
    <row r="79" spans="1:24" x14ac:dyDescent="0.2">
      <c r="A79" s="218"/>
      <c r="B79" s="218"/>
      <c r="C79" s="218"/>
      <c r="D79" s="218"/>
      <c r="E79" s="218"/>
      <c r="F79" s="265"/>
      <c r="G79" s="212"/>
      <c r="I79" s="65"/>
      <c r="R79" s="219"/>
      <c r="W79" s="65"/>
      <c r="X79" s="65"/>
    </row>
    <row r="80" spans="1:24" ht="13.5" thickBot="1" x14ac:dyDescent="0.25">
      <c r="A80" s="218" t="s">
        <v>9</v>
      </c>
      <c r="B80" s="220">
        <f t="shared" ref="B80:X80" si="21">SUM(B67:B79)</f>
        <v>0</v>
      </c>
      <c r="C80" s="220">
        <f t="shared" si="21"/>
        <v>0</v>
      </c>
      <c r="D80" s="220">
        <f t="shared" si="21"/>
        <v>0</v>
      </c>
      <c r="E80" s="220">
        <f t="shared" si="21"/>
        <v>0</v>
      </c>
      <c r="F80" s="220">
        <f t="shared" si="21"/>
        <v>0</v>
      </c>
      <c r="G80" s="220">
        <f t="shared" si="21"/>
        <v>0</v>
      </c>
      <c r="H80" s="220">
        <f t="shared" si="21"/>
        <v>0</v>
      </c>
      <c r="I80" s="220">
        <f t="shared" si="21"/>
        <v>1259</v>
      </c>
      <c r="J80" s="220">
        <f t="shared" si="21"/>
        <v>0</v>
      </c>
      <c r="K80" s="220">
        <f t="shared" si="21"/>
        <v>1345</v>
      </c>
      <c r="L80" s="220">
        <f t="shared" si="21"/>
        <v>1234</v>
      </c>
      <c r="M80" s="220">
        <f t="shared" si="21"/>
        <v>3742</v>
      </c>
      <c r="N80" s="220">
        <f t="shared" si="21"/>
        <v>4985</v>
      </c>
      <c r="O80" s="220">
        <f t="shared" si="21"/>
        <v>4940</v>
      </c>
      <c r="P80" s="220">
        <f t="shared" si="21"/>
        <v>4898</v>
      </c>
      <c r="Q80" s="220">
        <f t="shared" si="21"/>
        <v>4924</v>
      </c>
      <c r="R80" s="220">
        <f t="shared" si="21"/>
        <v>4862</v>
      </c>
      <c r="S80" s="220">
        <f t="shared" si="21"/>
        <v>4894</v>
      </c>
      <c r="T80" s="220">
        <f t="shared" si="21"/>
        <v>4897</v>
      </c>
      <c r="U80" s="220">
        <f t="shared" si="21"/>
        <v>4956</v>
      </c>
      <c r="V80" s="220">
        <f t="shared" si="21"/>
        <v>5068</v>
      </c>
      <c r="W80" s="220">
        <f t="shared" si="21"/>
        <v>1253.8143780836497</v>
      </c>
      <c r="X80" s="220">
        <f t="shared" si="21"/>
        <v>1255.6313855345761</v>
      </c>
    </row>
    <row r="81" spans="1:24" ht="13.5" thickTop="1" x14ac:dyDescent="0.2">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row>
    <row r="82" spans="1:24" x14ac:dyDescent="0.2">
      <c r="A82" s="223" t="s">
        <v>241</v>
      </c>
      <c r="B82" s="223"/>
      <c r="C82" s="223"/>
      <c r="D82" s="223"/>
      <c r="E82" s="223"/>
      <c r="F82" s="217"/>
      <c r="G82" s="217"/>
    </row>
    <row r="83" spans="1:24" x14ac:dyDescent="0.2">
      <c r="A83" s="264"/>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c r="S85" s="358" t="s">
        <v>296</v>
      </c>
      <c r="T85" s="213" t="s">
        <v>299</v>
      </c>
    </row>
    <row r="86" spans="1:24" x14ac:dyDescent="0.2">
      <c r="A86" s="218"/>
      <c r="B86" s="218"/>
      <c r="C86" s="218"/>
      <c r="D86" s="218"/>
      <c r="E86" s="218"/>
      <c r="F86" s="217"/>
      <c r="G86" s="217"/>
      <c r="H86" s="217"/>
      <c r="I86" s="217"/>
      <c r="S86" s="355"/>
    </row>
    <row r="87" spans="1:24" x14ac:dyDescent="0.2">
      <c r="A87" s="218" t="s">
        <v>193</v>
      </c>
      <c r="B87" s="219"/>
      <c r="C87" s="219"/>
      <c r="D87" s="219"/>
      <c r="E87" s="219"/>
      <c r="F87" s="219"/>
      <c r="G87" s="219"/>
      <c r="H87" s="219"/>
      <c r="I87" s="219"/>
      <c r="J87" s="219"/>
      <c r="K87" s="219"/>
      <c r="L87" s="219"/>
      <c r="M87" s="219"/>
      <c r="N87" s="219"/>
      <c r="O87" s="219"/>
      <c r="P87" s="219"/>
      <c r="Q87" s="219"/>
      <c r="R87" s="219"/>
      <c r="S87" s="356"/>
      <c r="W87" s="65"/>
      <c r="X87" s="65"/>
    </row>
    <row r="88" spans="1:24" x14ac:dyDescent="0.2">
      <c r="A88" s="218" t="s">
        <v>194</v>
      </c>
      <c r="B88" s="219"/>
      <c r="C88" s="219"/>
      <c r="D88" s="219"/>
      <c r="E88" s="219"/>
      <c r="F88" s="219"/>
      <c r="G88" s="219"/>
      <c r="H88" s="219"/>
      <c r="I88" s="219"/>
      <c r="J88" s="219"/>
      <c r="K88" s="219"/>
      <c r="L88" s="219"/>
      <c r="M88" s="219"/>
      <c r="N88" s="219"/>
      <c r="O88" s="219"/>
      <c r="P88" s="219"/>
      <c r="Q88" s="219"/>
      <c r="R88" s="219"/>
      <c r="S88" s="356"/>
      <c r="W88" s="65"/>
      <c r="X88" s="65"/>
    </row>
    <row r="89" spans="1:24" x14ac:dyDescent="0.2">
      <c r="A89" s="218" t="s">
        <v>195</v>
      </c>
      <c r="B89" s="219"/>
      <c r="C89" s="219"/>
      <c r="D89" s="219"/>
      <c r="E89" s="219"/>
      <c r="F89" s="219"/>
      <c r="G89" s="219"/>
      <c r="H89" s="219"/>
      <c r="I89" s="219"/>
      <c r="J89" s="219"/>
      <c r="K89" s="219"/>
      <c r="L89" s="219"/>
      <c r="M89" s="219"/>
      <c r="N89" s="274">
        <v>97</v>
      </c>
      <c r="O89" s="274">
        <v>98</v>
      </c>
      <c r="P89" s="274">
        <v>110</v>
      </c>
      <c r="Q89" s="274">
        <v>118</v>
      </c>
      <c r="R89" s="274">
        <f>93+5+6+1+6+4</f>
        <v>115</v>
      </c>
      <c r="S89" s="357">
        <f>94+9+3+2+6+1</f>
        <v>115</v>
      </c>
      <c r="T89" s="360">
        <f>32+5+10+76</f>
        <v>123</v>
      </c>
      <c r="U89" s="360">
        <f>31+5+8+77</f>
        <v>121</v>
      </c>
      <c r="V89" s="360">
        <f>30+5+9+74</f>
        <v>118</v>
      </c>
      <c r="W89" s="65"/>
      <c r="X89" s="65"/>
    </row>
    <row r="90" spans="1:24" x14ac:dyDescent="0.2">
      <c r="A90" s="218" t="s">
        <v>196</v>
      </c>
      <c r="B90" s="219"/>
      <c r="C90" s="219"/>
      <c r="D90" s="219"/>
      <c r="E90" s="219"/>
      <c r="F90" s="219"/>
      <c r="G90" s="219"/>
      <c r="H90" s="219"/>
      <c r="I90" s="219"/>
      <c r="J90" s="219"/>
      <c r="K90" s="219"/>
      <c r="L90" s="219"/>
      <c r="M90" s="219"/>
      <c r="N90" s="219"/>
      <c r="O90" s="219"/>
      <c r="P90" s="219"/>
      <c r="Q90" s="219"/>
      <c r="R90" s="219"/>
      <c r="S90" s="355"/>
      <c r="W90" s="65"/>
      <c r="X90" s="65"/>
    </row>
    <row r="91" spans="1:24" x14ac:dyDescent="0.2">
      <c r="A91" s="218" t="s">
        <v>86</v>
      </c>
      <c r="B91" s="219"/>
      <c r="C91" s="219"/>
      <c r="D91" s="219"/>
      <c r="E91" s="219"/>
      <c r="F91" s="219"/>
      <c r="G91" s="219"/>
      <c r="H91" s="219"/>
      <c r="I91" s="219"/>
      <c r="J91" s="219"/>
      <c r="K91" s="219"/>
      <c r="L91" s="219"/>
      <c r="M91" s="219"/>
      <c r="N91" s="219"/>
      <c r="O91" s="219"/>
      <c r="P91" s="219"/>
      <c r="Q91" s="219"/>
      <c r="R91" s="219"/>
      <c r="S91" s="355"/>
      <c r="W91" s="65"/>
      <c r="X91" s="65"/>
    </row>
    <row r="92" spans="1:24" x14ac:dyDescent="0.2">
      <c r="A92" s="218" t="s">
        <v>197</v>
      </c>
      <c r="B92" s="219"/>
      <c r="C92" s="219"/>
      <c r="D92" s="219"/>
      <c r="E92" s="219"/>
      <c r="F92" s="219"/>
      <c r="G92" s="219"/>
      <c r="H92" s="219"/>
      <c r="I92" s="219"/>
      <c r="J92" s="219"/>
      <c r="K92" s="219"/>
      <c r="L92" s="219"/>
      <c r="M92" s="274">
        <v>92</v>
      </c>
      <c r="N92" s="274">
        <v>96</v>
      </c>
      <c r="O92" s="274">
        <v>102</v>
      </c>
      <c r="P92" s="274">
        <v>109</v>
      </c>
      <c r="Q92" s="274">
        <v>115</v>
      </c>
      <c r="R92" s="351">
        <f>(115+5+6+1+6+4)-(115+5+6+1+6+4)+115</f>
        <v>115</v>
      </c>
      <c r="S92" s="357">
        <f>95+2+9+3+2+6+1</f>
        <v>118</v>
      </c>
      <c r="T92" s="360">
        <f>32+5+10+75</f>
        <v>122</v>
      </c>
      <c r="U92" s="360">
        <f>6+30+10+75</f>
        <v>121</v>
      </c>
      <c r="V92" s="360">
        <f>9+30+5+73</f>
        <v>117</v>
      </c>
      <c r="W92" s="65"/>
      <c r="X92" s="65"/>
    </row>
    <row r="93" spans="1:24" x14ac:dyDescent="0.2">
      <c r="A93" s="218" t="s">
        <v>198</v>
      </c>
      <c r="B93" s="219"/>
      <c r="C93" s="219"/>
      <c r="D93" s="219"/>
      <c r="E93" s="219"/>
      <c r="F93" s="219"/>
      <c r="G93" s="219"/>
      <c r="H93" s="219"/>
      <c r="I93" s="219"/>
      <c r="J93" s="219"/>
      <c r="K93" s="219"/>
      <c r="L93" s="219"/>
      <c r="M93" s="219"/>
      <c r="N93" s="219"/>
      <c r="O93" s="219"/>
      <c r="P93" s="219"/>
      <c r="Q93" s="219"/>
      <c r="R93" s="219"/>
      <c r="S93" s="355"/>
      <c r="W93" s="65"/>
      <c r="X93" s="65"/>
    </row>
    <row r="94" spans="1:24" x14ac:dyDescent="0.2">
      <c r="A94" s="218" t="s">
        <v>199</v>
      </c>
      <c r="B94" s="219"/>
      <c r="C94" s="219"/>
      <c r="D94" s="219"/>
      <c r="E94" s="219"/>
      <c r="F94" s="219"/>
      <c r="G94" s="219"/>
      <c r="H94" s="219"/>
      <c r="I94" s="219"/>
      <c r="J94" s="219"/>
      <c r="K94" s="219"/>
      <c r="L94" s="219"/>
      <c r="M94" s="219"/>
      <c r="N94" s="219"/>
      <c r="O94" s="219"/>
      <c r="P94" s="219"/>
      <c r="Q94" s="219"/>
      <c r="R94" s="219"/>
      <c r="S94" s="355"/>
      <c r="W94" s="65"/>
      <c r="X94" s="65"/>
    </row>
    <row r="95" spans="1:24" x14ac:dyDescent="0.2">
      <c r="A95" s="218" t="s">
        <v>200</v>
      </c>
      <c r="B95" s="219"/>
      <c r="C95" s="219"/>
      <c r="D95" s="219"/>
      <c r="E95" s="219"/>
      <c r="F95" s="219"/>
      <c r="G95" s="219"/>
      <c r="H95" s="219"/>
      <c r="I95" s="219"/>
      <c r="J95" s="219"/>
      <c r="K95" s="219"/>
      <c r="L95" s="219"/>
      <c r="M95" s="274">
        <v>94</v>
      </c>
      <c r="N95" s="274">
        <v>96</v>
      </c>
      <c r="O95" s="274">
        <v>102</v>
      </c>
      <c r="P95" s="274">
        <v>112</v>
      </c>
      <c r="Q95" s="274">
        <v>114</v>
      </c>
      <c r="R95" s="274">
        <f>93+5+6+2+6+4</f>
        <v>116</v>
      </c>
      <c r="S95" s="357">
        <f>98+8+2+2+6+1</f>
        <v>117</v>
      </c>
      <c r="T95" s="360">
        <f>32+5+10+75</f>
        <v>122</v>
      </c>
      <c r="U95" s="360">
        <f>74+30+5+9</f>
        <v>118</v>
      </c>
      <c r="V95" s="360">
        <f>31+5+8+74</f>
        <v>118</v>
      </c>
      <c r="W95" s="65"/>
      <c r="X95" s="65"/>
    </row>
    <row r="96" spans="1:24" x14ac:dyDescent="0.2">
      <c r="A96" s="218" t="s">
        <v>201</v>
      </c>
      <c r="B96" s="219"/>
      <c r="C96" s="219"/>
      <c r="D96" s="219"/>
      <c r="E96" s="219"/>
      <c r="F96" s="219"/>
      <c r="G96" s="219"/>
      <c r="H96" s="219"/>
      <c r="I96" s="219"/>
      <c r="J96" s="219"/>
      <c r="K96" s="219"/>
      <c r="L96" s="219"/>
      <c r="M96" s="219"/>
      <c r="N96" s="219"/>
      <c r="O96" s="219"/>
      <c r="P96" s="219"/>
      <c r="Q96" s="219"/>
      <c r="R96" s="219"/>
      <c r="S96" s="355"/>
      <c r="X96" s="65"/>
    </row>
    <row r="97" spans="1:24" x14ac:dyDescent="0.2">
      <c r="A97" s="218" t="s">
        <v>202</v>
      </c>
      <c r="B97" s="219"/>
      <c r="C97" s="219"/>
      <c r="D97" s="219"/>
      <c r="E97" s="219"/>
      <c r="F97" s="219"/>
      <c r="G97" s="219"/>
      <c r="H97" s="219"/>
      <c r="I97" s="219"/>
      <c r="J97" s="219"/>
      <c r="K97" s="219"/>
      <c r="L97" s="219"/>
      <c r="M97" s="219"/>
      <c r="N97" s="219"/>
      <c r="O97" s="219"/>
      <c r="P97" s="219"/>
      <c r="Q97" s="219"/>
      <c r="R97" s="219"/>
      <c r="S97" s="355"/>
      <c r="X97" s="65"/>
    </row>
    <row r="98" spans="1:24" x14ac:dyDescent="0.2">
      <c r="A98" s="218" t="s">
        <v>203</v>
      </c>
      <c r="B98" s="219"/>
      <c r="C98" s="219"/>
      <c r="D98" s="219"/>
      <c r="E98" s="219"/>
      <c r="F98" s="219"/>
      <c r="G98" s="219"/>
      <c r="H98" s="219"/>
      <c r="I98" s="274">
        <v>81</v>
      </c>
      <c r="J98" s="219"/>
      <c r="K98" s="274">
        <v>91</v>
      </c>
      <c r="L98" s="274">
        <v>89</v>
      </c>
      <c r="M98" s="274">
        <v>95</v>
      </c>
      <c r="N98" s="274">
        <v>98</v>
      </c>
      <c r="O98" s="274">
        <v>108</v>
      </c>
      <c r="P98" s="274">
        <v>117</v>
      </c>
      <c r="Q98" s="274">
        <v>115</v>
      </c>
      <c r="R98" s="274">
        <f>[16]Sheet1!$D$6</f>
        <v>115</v>
      </c>
      <c r="S98" s="357">
        <f>[17]Sheet1!$E$6+[17]Sheet1!$E$7</f>
        <v>121</v>
      </c>
      <c r="T98" s="360">
        <f>31+5+8+77</f>
        <v>121</v>
      </c>
      <c r="U98" s="360">
        <f>30+5+9+74</f>
        <v>118</v>
      </c>
      <c r="V98" s="360">
        <f>31+5+8+73</f>
        <v>117</v>
      </c>
      <c r="W98" s="369">
        <f>'Rate Class Customer Model'!D20</f>
        <v>120.24456269672531</v>
      </c>
      <c r="X98" s="369">
        <f>'Rate Class Customer Model'!D21</f>
        <v>123.5791013515103</v>
      </c>
    </row>
    <row r="99" spans="1:24" x14ac:dyDescent="0.2">
      <c r="A99" s="218"/>
      <c r="B99" s="218"/>
      <c r="C99" s="218"/>
      <c r="D99" s="218"/>
      <c r="E99" s="218"/>
      <c r="F99" s="265"/>
      <c r="G99" s="212"/>
      <c r="I99" s="65"/>
      <c r="R99" s="219"/>
      <c r="W99" s="65"/>
      <c r="X99" s="65"/>
    </row>
    <row r="100" spans="1:24" ht="13.5" thickBot="1" x14ac:dyDescent="0.25">
      <c r="A100" s="218" t="s">
        <v>9</v>
      </c>
      <c r="B100" s="220">
        <f t="shared" ref="B100:X100" si="22">SUM(B87:B99)</f>
        <v>0</v>
      </c>
      <c r="C100" s="220">
        <f t="shared" si="22"/>
        <v>0</v>
      </c>
      <c r="D100" s="220">
        <f t="shared" si="22"/>
        <v>0</v>
      </c>
      <c r="E100" s="220">
        <f t="shared" si="22"/>
        <v>0</v>
      </c>
      <c r="F100" s="220">
        <f t="shared" si="22"/>
        <v>0</v>
      </c>
      <c r="G100" s="220">
        <f t="shared" si="22"/>
        <v>0</v>
      </c>
      <c r="H100" s="220">
        <f t="shared" si="22"/>
        <v>0</v>
      </c>
      <c r="I100" s="220">
        <f t="shared" si="22"/>
        <v>81</v>
      </c>
      <c r="J100" s="220">
        <f t="shared" si="22"/>
        <v>0</v>
      </c>
      <c r="K100" s="220">
        <f t="shared" si="22"/>
        <v>91</v>
      </c>
      <c r="L100" s="220">
        <f t="shared" si="22"/>
        <v>89</v>
      </c>
      <c r="M100" s="220">
        <f t="shared" si="22"/>
        <v>281</v>
      </c>
      <c r="N100" s="220">
        <f t="shared" si="22"/>
        <v>387</v>
      </c>
      <c r="O100" s="220">
        <f t="shared" si="22"/>
        <v>410</v>
      </c>
      <c r="P100" s="220">
        <f t="shared" si="22"/>
        <v>448</v>
      </c>
      <c r="Q100" s="220">
        <f t="shared" si="22"/>
        <v>462</v>
      </c>
      <c r="R100" s="220">
        <f t="shared" si="22"/>
        <v>461</v>
      </c>
      <c r="S100" s="220">
        <f t="shared" si="22"/>
        <v>471</v>
      </c>
      <c r="T100" s="220">
        <f t="shared" si="22"/>
        <v>488</v>
      </c>
      <c r="U100" s="220">
        <f t="shared" si="22"/>
        <v>478</v>
      </c>
      <c r="V100" s="220">
        <f t="shared" si="22"/>
        <v>470</v>
      </c>
      <c r="W100" s="220">
        <f t="shared" si="22"/>
        <v>120.24456269672531</v>
      </c>
      <c r="X100" s="220">
        <f t="shared" si="22"/>
        <v>123.5791013515103</v>
      </c>
    </row>
    <row r="101" spans="1:24" ht="13.5" thickTop="1" x14ac:dyDescent="0.2">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row>
    <row r="102" spans="1:24" hidden="1" x14ac:dyDescent="0.2">
      <c r="A102" s="223" t="s">
        <v>242</v>
      </c>
      <c r="B102" s="223"/>
      <c r="C102" s="223"/>
      <c r="D102" s="223"/>
      <c r="E102" s="223"/>
      <c r="F102" s="217"/>
      <c r="G102" s="217"/>
    </row>
    <row r="103" spans="1:24" hidden="1" x14ac:dyDescent="0.2">
      <c r="A103" s="264"/>
      <c r="B103" s="214"/>
      <c r="C103" s="214"/>
      <c r="D103" s="214"/>
      <c r="E103" s="214"/>
      <c r="F103" s="215"/>
      <c r="G103" s="215"/>
    </row>
    <row r="104" spans="1:24" hidden="1" x14ac:dyDescent="0.2">
      <c r="A104" s="216" t="s">
        <v>192</v>
      </c>
      <c r="B104" s="216">
        <v>1992</v>
      </c>
      <c r="C104" s="216">
        <v>1993</v>
      </c>
      <c r="D104" s="216">
        <v>1994</v>
      </c>
      <c r="E104" s="216">
        <v>1995</v>
      </c>
      <c r="F104" s="216">
        <v>1996</v>
      </c>
      <c r="G104" s="216">
        <v>1997</v>
      </c>
      <c r="H104" s="216">
        <v>1998</v>
      </c>
      <c r="I104" s="216">
        <v>1999</v>
      </c>
      <c r="J104" s="216">
        <v>2000</v>
      </c>
      <c r="K104" s="216">
        <v>2001</v>
      </c>
      <c r="L104" s="216">
        <v>2002</v>
      </c>
      <c r="M104" s="216">
        <v>2003</v>
      </c>
      <c r="N104" s="216">
        <v>2004</v>
      </c>
      <c r="O104" s="216">
        <v>2005</v>
      </c>
      <c r="P104" s="216">
        <v>2006</v>
      </c>
      <c r="Q104" s="216">
        <v>2007</v>
      </c>
      <c r="R104" s="216">
        <v>2008</v>
      </c>
      <c r="S104" s="216">
        <v>2009</v>
      </c>
      <c r="T104" s="216">
        <v>2010</v>
      </c>
      <c r="U104" s="216">
        <v>2011</v>
      </c>
      <c r="V104" s="216">
        <v>2012</v>
      </c>
      <c r="W104" s="216">
        <v>2013</v>
      </c>
      <c r="X104" s="216">
        <v>2014</v>
      </c>
    </row>
    <row r="105" spans="1:24" hidden="1" x14ac:dyDescent="0.2">
      <c r="A105" s="214"/>
      <c r="B105" s="214"/>
      <c r="C105" s="214"/>
      <c r="D105" s="214"/>
      <c r="E105" s="214"/>
      <c r="F105" s="217"/>
      <c r="G105" s="217"/>
    </row>
    <row r="106" spans="1:24" hidden="1" x14ac:dyDescent="0.2">
      <c r="A106" s="218"/>
      <c r="B106" s="218"/>
      <c r="C106" s="218"/>
      <c r="D106" s="218"/>
      <c r="E106" s="218"/>
      <c r="F106" s="217"/>
      <c r="G106" s="217"/>
      <c r="H106" s="217"/>
      <c r="I106" s="217"/>
    </row>
    <row r="107" spans="1:24" hidden="1" x14ac:dyDescent="0.2">
      <c r="A107" s="218" t="s">
        <v>193</v>
      </c>
      <c r="B107" s="219"/>
      <c r="C107" s="219"/>
      <c r="D107" s="219"/>
      <c r="E107" s="219"/>
      <c r="F107" s="219"/>
      <c r="G107" s="219"/>
      <c r="H107" s="219"/>
      <c r="I107" s="219"/>
      <c r="J107" s="219"/>
      <c r="K107" s="219"/>
      <c r="L107" s="219"/>
      <c r="M107" s="219"/>
      <c r="N107" s="219"/>
      <c r="O107" s="219"/>
      <c r="P107" s="219"/>
      <c r="Q107" s="219"/>
      <c r="R107" s="219"/>
      <c r="S107" s="219"/>
      <c r="T107" s="219">
        <f>20+2</f>
        <v>22</v>
      </c>
      <c r="U107" s="219">
        <v>20</v>
      </c>
      <c r="V107" s="65">
        <v>22</v>
      </c>
      <c r="W107" s="65"/>
      <c r="X107" s="65"/>
    </row>
    <row r="108" spans="1:24" hidden="1" x14ac:dyDescent="0.2">
      <c r="A108" s="218" t="s">
        <v>194</v>
      </c>
      <c r="B108" s="219"/>
      <c r="C108" s="219"/>
      <c r="D108" s="219"/>
      <c r="E108" s="219"/>
      <c r="F108" s="219"/>
      <c r="G108" s="219"/>
      <c r="H108" s="219"/>
      <c r="I108" s="219"/>
      <c r="J108" s="219"/>
      <c r="K108" s="219"/>
      <c r="L108" s="219"/>
      <c r="M108" s="219"/>
      <c r="N108" s="219"/>
      <c r="O108" s="219"/>
      <c r="P108" s="219"/>
      <c r="Q108" s="219"/>
      <c r="R108" s="219"/>
      <c r="S108" s="219"/>
      <c r="T108" s="219">
        <v>22</v>
      </c>
      <c r="U108" s="219">
        <v>21</v>
      </c>
      <c r="V108" s="65">
        <v>22</v>
      </c>
      <c r="W108" s="65"/>
      <c r="X108" s="65"/>
    </row>
    <row r="109" spans="1:24" hidden="1" x14ac:dyDescent="0.2">
      <c r="A109" s="218" t="s">
        <v>195</v>
      </c>
      <c r="B109" s="219"/>
      <c r="C109" s="219"/>
      <c r="D109" s="219"/>
      <c r="E109" s="219"/>
      <c r="F109" s="219"/>
      <c r="G109" s="219"/>
      <c r="H109" s="219"/>
      <c r="I109" s="219"/>
      <c r="J109" s="219"/>
      <c r="K109" s="219"/>
      <c r="L109" s="219"/>
      <c r="M109" s="219"/>
      <c r="N109" s="219"/>
      <c r="O109" s="219"/>
      <c r="P109" s="219"/>
      <c r="Q109" s="219"/>
      <c r="R109" s="219"/>
      <c r="S109" s="219"/>
      <c r="T109" s="274">
        <v>21</v>
      </c>
      <c r="U109" s="274">
        <v>20</v>
      </c>
      <c r="V109" s="274">
        <v>22</v>
      </c>
      <c r="W109" s="65"/>
      <c r="X109" s="65"/>
    </row>
    <row r="110" spans="1:24" hidden="1" x14ac:dyDescent="0.2">
      <c r="A110" s="218" t="s">
        <v>196</v>
      </c>
      <c r="B110" s="219"/>
      <c r="C110" s="219"/>
      <c r="D110" s="219"/>
      <c r="E110" s="219"/>
      <c r="F110" s="219"/>
      <c r="G110" s="219"/>
      <c r="H110" s="219"/>
      <c r="I110" s="219"/>
      <c r="J110" s="219"/>
      <c r="K110" s="219"/>
      <c r="L110" s="219"/>
      <c r="M110" s="219"/>
      <c r="N110" s="219"/>
      <c r="O110" s="219"/>
      <c r="P110" s="219"/>
      <c r="Q110" s="219"/>
      <c r="R110" s="219"/>
      <c r="S110" s="219"/>
      <c r="T110" s="219">
        <v>23</v>
      </c>
      <c r="U110" s="219">
        <v>22</v>
      </c>
      <c r="V110" s="65">
        <v>22</v>
      </c>
      <c r="W110" s="65"/>
      <c r="X110" s="65"/>
    </row>
    <row r="111" spans="1:24" hidden="1" x14ac:dyDescent="0.2">
      <c r="A111" s="218" t="s">
        <v>86</v>
      </c>
      <c r="B111" s="219"/>
      <c r="C111" s="219"/>
      <c r="D111" s="219"/>
      <c r="E111" s="219"/>
      <c r="F111" s="219"/>
      <c r="G111" s="219"/>
      <c r="H111" s="219"/>
      <c r="I111" s="219"/>
      <c r="J111" s="219"/>
      <c r="K111" s="219"/>
      <c r="L111" s="219"/>
      <c r="M111" s="219"/>
      <c r="N111" s="219"/>
      <c r="O111" s="219"/>
      <c r="P111" s="219"/>
      <c r="Q111" s="219"/>
      <c r="R111" s="219"/>
      <c r="S111" s="219"/>
      <c r="T111" s="219">
        <v>22</v>
      </c>
      <c r="U111" s="219">
        <v>22</v>
      </c>
      <c r="V111" s="65">
        <v>22</v>
      </c>
      <c r="W111" s="65"/>
      <c r="X111" s="65"/>
    </row>
    <row r="112" spans="1:24" hidden="1" x14ac:dyDescent="0.2">
      <c r="A112" s="218" t="s">
        <v>197</v>
      </c>
      <c r="B112" s="219"/>
      <c r="C112" s="219"/>
      <c r="D112" s="219"/>
      <c r="E112" s="219"/>
      <c r="F112" s="219"/>
      <c r="G112" s="219"/>
      <c r="H112" s="219"/>
      <c r="I112" s="219"/>
      <c r="J112" s="219"/>
      <c r="K112" s="219"/>
      <c r="L112" s="219"/>
      <c r="M112" s="219"/>
      <c r="N112" s="219"/>
      <c r="O112" s="219"/>
      <c r="P112" s="219"/>
      <c r="Q112" s="219"/>
      <c r="R112" s="219"/>
      <c r="S112" s="219"/>
      <c r="T112" s="274">
        <v>18</v>
      </c>
      <c r="U112" s="274">
        <v>21</v>
      </c>
      <c r="V112" s="274">
        <v>22</v>
      </c>
      <c r="W112" s="65"/>
      <c r="X112" s="65"/>
    </row>
    <row r="113" spans="1:24" hidden="1" x14ac:dyDescent="0.2">
      <c r="A113" s="218" t="s">
        <v>198</v>
      </c>
      <c r="B113" s="219"/>
      <c r="C113" s="219"/>
      <c r="D113" s="219"/>
      <c r="E113" s="219"/>
      <c r="F113" s="219"/>
      <c r="G113" s="219"/>
      <c r="H113" s="219"/>
      <c r="I113" s="219"/>
      <c r="J113" s="219"/>
      <c r="K113" s="219"/>
      <c r="L113" s="219"/>
      <c r="M113" s="219"/>
      <c r="N113" s="219"/>
      <c r="O113" s="219"/>
      <c r="P113" s="219"/>
      <c r="Q113" s="219"/>
      <c r="R113" s="219"/>
      <c r="S113" s="219"/>
      <c r="T113" s="219">
        <v>20</v>
      </c>
      <c r="U113" s="219">
        <v>22</v>
      </c>
      <c r="V113" s="65">
        <v>22</v>
      </c>
      <c r="W113" s="65"/>
      <c r="X113" s="65"/>
    </row>
    <row r="114" spans="1:24" hidden="1" x14ac:dyDescent="0.2">
      <c r="A114" s="218" t="s">
        <v>199</v>
      </c>
      <c r="B114" s="219"/>
      <c r="C114" s="219"/>
      <c r="D114" s="219"/>
      <c r="E114" s="219"/>
      <c r="F114" s="219"/>
      <c r="G114" s="219"/>
      <c r="H114" s="219"/>
      <c r="I114" s="219"/>
      <c r="J114" s="219"/>
      <c r="K114" s="219"/>
      <c r="L114" s="219"/>
      <c r="M114" s="219"/>
      <c r="N114" s="219"/>
      <c r="O114" s="219"/>
      <c r="P114" s="219"/>
      <c r="Q114" s="219"/>
      <c r="R114" s="219"/>
      <c r="S114" s="219"/>
      <c r="T114" s="219">
        <v>20</v>
      </c>
      <c r="U114" s="219">
        <v>23</v>
      </c>
      <c r="V114" s="65">
        <v>22</v>
      </c>
      <c r="W114" s="65"/>
      <c r="X114" s="65"/>
    </row>
    <row r="115" spans="1:24" hidden="1" x14ac:dyDescent="0.2">
      <c r="A115" s="218" t="s">
        <v>200</v>
      </c>
      <c r="B115" s="219"/>
      <c r="C115" s="219"/>
      <c r="D115" s="219"/>
      <c r="E115" s="219"/>
      <c r="F115" s="219"/>
      <c r="G115" s="219"/>
      <c r="H115" s="219"/>
      <c r="I115" s="219"/>
      <c r="J115" s="219"/>
      <c r="K115" s="219"/>
      <c r="L115" s="219"/>
      <c r="M115" s="219"/>
      <c r="N115" s="219"/>
      <c r="O115" s="219"/>
      <c r="P115" s="219"/>
      <c r="Q115" s="219"/>
      <c r="R115" s="219"/>
      <c r="S115" s="219"/>
      <c r="T115" s="274">
        <v>18</v>
      </c>
      <c r="U115" s="274">
        <v>22</v>
      </c>
      <c r="V115" s="274">
        <v>22</v>
      </c>
      <c r="W115" s="65"/>
      <c r="X115" s="65"/>
    </row>
    <row r="116" spans="1:24" hidden="1" x14ac:dyDescent="0.2">
      <c r="A116" s="218" t="s">
        <v>201</v>
      </c>
      <c r="B116" s="219"/>
      <c r="C116" s="219"/>
      <c r="D116" s="219"/>
      <c r="E116" s="219"/>
      <c r="F116" s="219"/>
      <c r="G116" s="219"/>
      <c r="H116" s="219"/>
      <c r="I116" s="219"/>
      <c r="J116" s="219"/>
      <c r="K116" s="219"/>
      <c r="L116" s="219"/>
      <c r="M116" s="219"/>
      <c r="N116" s="219"/>
      <c r="O116" s="219"/>
      <c r="P116" s="219"/>
      <c r="Q116" s="219"/>
      <c r="R116" s="219"/>
      <c r="S116" s="219"/>
      <c r="T116" s="219">
        <v>20</v>
      </c>
      <c r="U116" s="219">
        <v>23</v>
      </c>
      <c r="V116" s="65">
        <v>22</v>
      </c>
      <c r="W116" s="65"/>
      <c r="X116" s="65"/>
    </row>
    <row r="117" spans="1:24" hidden="1" x14ac:dyDescent="0.2">
      <c r="A117" s="218" t="s">
        <v>202</v>
      </c>
      <c r="B117" s="219"/>
      <c r="C117" s="219"/>
      <c r="D117" s="219"/>
      <c r="E117" s="219"/>
      <c r="F117" s="219"/>
      <c r="G117" s="219"/>
      <c r="H117" s="219"/>
      <c r="I117" s="219"/>
      <c r="J117" s="219"/>
      <c r="K117" s="219"/>
      <c r="L117" s="219"/>
      <c r="M117" s="219"/>
      <c r="N117" s="219"/>
      <c r="O117" s="219"/>
      <c r="P117" s="219"/>
      <c r="Q117" s="219"/>
      <c r="R117" s="219"/>
      <c r="S117" s="219"/>
      <c r="T117" s="219">
        <v>20</v>
      </c>
      <c r="U117" s="219">
        <v>23</v>
      </c>
      <c r="V117" s="65"/>
      <c r="W117" s="65"/>
      <c r="X117" s="65"/>
    </row>
    <row r="118" spans="1:24" hidden="1" x14ac:dyDescent="0.2">
      <c r="A118" s="218" t="s">
        <v>203</v>
      </c>
      <c r="B118" s="219"/>
      <c r="C118" s="219"/>
      <c r="D118" s="219"/>
      <c r="E118" s="219"/>
      <c r="F118" s="219"/>
      <c r="G118" s="219"/>
      <c r="H118" s="219"/>
      <c r="I118" s="219"/>
      <c r="J118" s="219"/>
      <c r="K118" s="219"/>
      <c r="L118" s="219"/>
      <c r="M118" s="219"/>
      <c r="N118" s="219"/>
      <c r="O118" s="219"/>
      <c r="P118" s="219"/>
      <c r="Q118" s="219"/>
      <c r="R118" s="219"/>
      <c r="S118" s="219"/>
      <c r="T118" s="274">
        <v>22</v>
      </c>
      <c r="U118" s="274">
        <v>20</v>
      </c>
      <c r="V118" s="65"/>
      <c r="W118" s="65"/>
      <c r="X118" s="65"/>
    </row>
    <row r="119" spans="1:24" hidden="1" x14ac:dyDescent="0.2">
      <c r="A119" s="218"/>
      <c r="B119" s="218"/>
      <c r="C119" s="218"/>
      <c r="D119" s="218"/>
      <c r="E119" s="218"/>
      <c r="F119" s="265"/>
      <c r="G119" s="212"/>
      <c r="I119" s="65"/>
      <c r="R119" s="219"/>
      <c r="W119" s="65"/>
      <c r="X119" s="65"/>
    </row>
    <row r="120" spans="1:24" ht="13.5" hidden="1" thickBot="1" x14ac:dyDescent="0.25">
      <c r="A120" s="218" t="s">
        <v>9</v>
      </c>
      <c r="B120" s="220">
        <f t="shared" ref="B120:X120" si="23">SUM(B107:B119)</f>
        <v>0</v>
      </c>
      <c r="C120" s="220">
        <f t="shared" si="23"/>
        <v>0</v>
      </c>
      <c r="D120" s="220">
        <f t="shared" si="23"/>
        <v>0</v>
      </c>
      <c r="E120" s="220">
        <f t="shared" si="23"/>
        <v>0</v>
      </c>
      <c r="F120" s="220">
        <f t="shared" si="23"/>
        <v>0</v>
      </c>
      <c r="G120" s="220">
        <f t="shared" si="23"/>
        <v>0</v>
      </c>
      <c r="H120" s="220">
        <f t="shared" si="23"/>
        <v>0</v>
      </c>
      <c r="I120" s="220">
        <f t="shared" si="23"/>
        <v>0</v>
      </c>
      <c r="J120" s="220">
        <f t="shared" si="23"/>
        <v>0</v>
      </c>
      <c r="K120" s="220">
        <f t="shared" si="23"/>
        <v>0</v>
      </c>
      <c r="L120" s="220">
        <f t="shared" si="23"/>
        <v>0</v>
      </c>
      <c r="M120" s="220">
        <f t="shared" si="23"/>
        <v>0</v>
      </c>
      <c r="N120" s="220">
        <f t="shared" si="23"/>
        <v>0</v>
      </c>
      <c r="O120" s="220">
        <f t="shared" si="23"/>
        <v>0</v>
      </c>
      <c r="P120" s="220">
        <f t="shared" si="23"/>
        <v>0</v>
      </c>
      <c r="Q120" s="220">
        <f t="shared" si="23"/>
        <v>0</v>
      </c>
      <c r="R120" s="220">
        <f t="shared" si="23"/>
        <v>0</v>
      </c>
      <c r="S120" s="220">
        <f t="shared" si="23"/>
        <v>0</v>
      </c>
      <c r="T120" s="220">
        <f t="shared" si="23"/>
        <v>248</v>
      </c>
      <c r="U120" s="220">
        <f t="shared" si="23"/>
        <v>259</v>
      </c>
      <c r="V120" s="220">
        <f t="shared" si="23"/>
        <v>220</v>
      </c>
      <c r="W120" s="220">
        <f t="shared" si="23"/>
        <v>0</v>
      </c>
      <c r="X120" s="220">
        <f t="shared" si="23"/>
        <v>0</v>
      </c>
    </row>
    <row r="121" spans="1:24" hidden="1" x14ac:dyDescent="0.2">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row>
    <row r="122" spans="1:24" hidden="1" x14ac:dyDescent="0.2">
      <c r="A122" s="223" t="s">
        <v>243</v>
      </c>
      <c r="B122" s="223"/>
      <c r="C122" s="223"/>
      <c r="D122" s="223"/>
      <c r="E122" s="223"/>
      <c r="F122" s="217"/>
      <c r="G122" s="217"/>
    </row>
    <row r="123" spans="1:24" hidden="1" x14ac:dyDescent="0.2">
      <c r="A123" s="264"/>
      <c r="B123" s="214"/>
      <c r="C123" s="214"/>
      <c r="D123" s="214"/>
      <c r="E123" s="214"/>
      <c r="F123" s="215"/>
      <c r="G123" s="215"/>
    </row>
    <row r="124" spans="1:24" hidden="1" x14ac:dyDescent="0.2">
      <c r="A124" s="216" t="s">
        <v>192</v>
      </c>
      <c r="B124" s="216">
        <v>1992</v>
      </c>
      <c r="C124" s="216">
        <v>1993</v>
      </c>
      <c r="D124" s="216">
        <v>1994</v>
      </c>
      <c r="E124" s="216">
        <v>1995</v>
      </c>
      <c r="F124" s="216">
        <v>1996</v>
      </c>
      <c r="G124" s="216">
        <v>1997</v>
      </c>
      <c r="H124" s="216">
        <v>1998</v>
      </c>
      <c r="I124" s="216">
        <v>1999</v>
      </c>
      <c r="J124" s="216">
        <v>2000</v>
      </c>
      <c r="K124" s="216">
        <v>2001</v>
      </c>
      <c r="L124" s="216">
        <v>2002</v>
      </c>
      <c r="M124" s="216">
        <v>2003</v>
      </c>
      <c r="N124" s="216">
        <v>2004</v>
      </c>
      <c r="O124" s="216">
        <v>2005</v>
      </c>
      <c r="P124" s="216">
        <v>2006</v>
      </c>
      <c r="Q124" s="216">
        <v>2007</v>
      </c>
      <c r="R124" s="216">
        <v>2008</v>
      </c>
      <c r="S124" s="216">
        <v>2009</v>
      </c>
      <c r="T124" s="216">
        <v>2010</v>
      </c>
      <c r="U124" s="216">
        <v>2011</v>
      </c>
      <c r="V124" s="216">
        <v>2012</v>
      </c>
      <c r="W124" s="216">
        <v>2013</v>
      </c>
      <c r="X124" s="216">
        <v>2014</v>
      </c>
    </row>
    <row r="125" spans="1:24" hidden="1" x14ac:dyDescent="0.2">
      <c r="A125" s="214"/>
      <c r="B125" s="214"/>
      <c r="C125" s="214"/>
      <c r="D125" s="214"/>
      <c r="E125" s="214"/>
      <c r="F125" s="217"/>
      <c r="G125" s="217"/>
    </row>
    <row r="126" spans="1:24" hidden="1" x14ac:dyDescent="0.2">
      <c r="A126" s="218"/>
      <c r="B126" s="218"/>
      <c r="C126" s="218"/>
      <c r="D126" s="218"/>
      <c r="E126" s="218"/>
      <c r="F126" s="217"/>
      <c r="G126" s="217"/>
      <c r="H126" s="217"/>
      <c r="I126" s="217"/>
    </row>
    <row r="127" spans="1:24" hidden="1" x14ac:dyDescent="0.2">
      <c r="A127" s="218" t="s">
        <v>193</v>
      </c>
      <c r="B127" s="219"/>
      <c r="C127" s="219"/>
      <c r="D127" s="219"/>
      <c r="E127" s="219"/>
      <c r="F127" s="219"/>
      <c r="G127" s="219"/>
      <c r="H127" s="219"/>
      <c r="I127" s="219"/>
      <c r="J127" s="219"/>
      <c r="K127" s="219"/>
      <c r="L127" s="219"/>
      <c r="M127" s="219"/>
      <c r="N127" s="219"/>
      <c r="O127" s="219">
        <v>5</v>
      </c>
      <c r="P127" s="219"/>
      <c r="Q127" s="219"/>
      <c r="R127" s="219"/>
      <c r="S127" s="219"/>
      <c r="T127" s="219">
        <v>5</v>
      </c>
      <c r="U127" s="219">
        <v>5</v>
      </c>
      <c r="V127" s="65">
        <v>5</v>
      </c>
      <c r="W127" s="65"/>
      <c r="X127" s="65"/>
    </row>
    <row r="128" spans="1:24" hidden="1" x14ac:dyDescent="0.2">
      <c r="A128" s="218" t="s">
        <v>194</v>
      </c>
      <c r="B128" s="219"/>
      <c r="C128" s="219"/>
      <c r="D128" s="219"/>
      <c r="E128" s="219"/>
      <c r="F128" s="219"/>
      <c r="G128" s="219"/>
      <c r="H128" s="219"/>
      <c r="I128" s="219"/>
      <c r="J128" s="219"/>
      <c r="K128" s="219"/>
      <c r="L128" s="219"/>
      <c r="M128" s="219"/>
      <c r="N128" s="219"/>
      <c r="O128" s="219">
        <v>5</v>
      </c>
      <c r="P128" s="219"/>
      <c r="Q128" s="219"/>
      <c r="R128" s="219"/>
      <c r="S128" s="219"/>
      <c r="T128" s="219">
        <v>5</v>
      </c>
      <c r="U128" s="219">
        <v>5</v>
      </c>
      <c r="V128" s="65">
        <v>5</v>
      </c>
      <c r="W128" s="65"/>
      <c r="X128" s="65"/>
    </row>
    <row r="129" spans="1:24" hidden="1" x14ac:dyDescent="0.2">
      <c r="A129" s="218" t="s">
        <v>195</v>
      </c>
      <c r="B129" s="219"/>
      <c r="C129" s="219"/>
      <c r="D129" s="219"/>
      <c r="E129" s="219"/>
      <c r="F129" s="219"/>
      <c r="G129" s="219"/>
      <c r="H129" s="219"/>
      <c r="I129" s="219"/>
      <c r="J129" s="219"/>
      <c r="K129" s="219"/>
      <c r="L129" s="219"/>
      <c r="M129" s="219"/>
      <c r="N129" s="219"/>
      <c r="O129" s="219">
        <v>5</v>
      </c>
      <c r="P129" s="219"/>
      <c r="Q129" s="219"/>
      <c r="R129" s="219"/>
      <c r="S129" s="219"/>
      <c r="T129" s="219">
        <v>5</v>
      </c>
      <c r="U129" s="219">
        <v>5</v>
      </c>
      <c r="V129" s="65">
        <v>5</v>
      </c>
      <c r="W129" s="65"/>
      <c r="X129" s="65"/>
    </row>
    <row r="130" spans="1:24" hidden="1" x14ac:dyDescent="0.2">
      <c r="A130" s="218" t="s">
        <v>196</v>
      </c>
      <c r="B130" s="219"/>
      <c r="C130" s="219"/>
      <c r="D130" s="219"/>
      <c r="E130" s="219"/>
      <c r="F130" s="219"/>
      <c r="G130" s="219"/>
      <c r="H130" s="219"/>
      <c r="I130" s="219"/>
      <c r="J130" s="219"/>
      <c r="K130" s="219"/>
      <c r="L130" s="219"/>
      <c r="M130" s="219"/>
      <c r="N130" s="219"/>
      <c r="O130" s="219">
        <v>5</v>
      </c>
      <c r="P130" s="219"/>
      <c r="Q130" s="219"/>
      <c r="R130" s="219"/>
      <c r="S130" s="219"/>
      <c r="T130" s="219">
        <v>5</v>
      </c>
      <c r="U130" s="219">
        <v>5</v>
      </c>
      <c r="V130" s="65">
        <v>5</v>
      </c>
      <c r="W130" s="65"/>
      <c r="X130" s="65"/>
    </row>
    <row r="131" spans="1:24" hidden="1" x14ac:dyDescent="0.2">
      <c r="A131" s="218" t="s">
        <v>86</v>
      </c>
      <c r="B131" s="219"/>
      <c r="C131" s="219"/>
      <c r="D131" s="219"/>
      <c r="E131" s="219"/>
      <c r="F131" s="219"/>
      <c r="G131" s="219"/>
      <c r="H131" s="219"/>
      <c r="I131" s="219"/>
      <c r="J131" s="219"/>
      <c r="K131" s="219"/>
      <c r="L131" s="219"/>
      <c r="M131" s="219"/>
      <c r="N131" s="219"/>
      <c r="O131" s="219">
        <v>5</v>
      </c>
      <c r="P131" s="219"/>
      <c r="Q131" s="219"/>
      <c r="R131" s="219"/>
      <c r="S131" s="219"/>
      <c r="T131" s="219">
        <v>5</v>
      </c>
      <c r="U131" s="219">
        <v>5</v>
      </c>
      <c r="V131" s="65">
        <v>5</v>
      </c>
      <c r="W131" s="65"/>
      <c r="X131" s="65"/>
    </row>
    <row r="132" spans="1:24" hidden="1" x14ac:dyDescent="0.2">
      <c r="A132" s="218" t="s">
        <v>197</v>
      </c>
      <c r="B132" s="219"/>
      <c r="C132" s="219"/>
      <c r="D132" s="219"/>
      <c r="E132" s="219"/>
      <c r="F132" s="219"/>
      <c r="G132" s="219"/>
      <c r="H132" s="219"/>
      <c r="I132" s="219"/>
      <c r="J132" s="219"/>
      <c r="K132" s="219"/>
      <c r="L132" s="219"/>
      <c r="M132" s="219"/>
      <c r="N132" s="219"/>
      <c r="O132" s="219">
        <v>5</v>
      </c>
      <c r="P132" s="219"/>
      <c r="Q132" s="219"/>
      <c r="R132" s="219"/>
      <c r="S132" s="219"/>
      <c r="T132" s="219">
        <v>7</v>
      </c>
      <c r="U132" s="219">
        <v>5</v>
      </c>
      <c r="V132" s="65">
        <v>5</v>
      </c>
      <c r="W132" s="65"/>
      <c r="X132" s="65"/>
    </row>
    <row r="133" spans="1:24" hidden="1" x14ac:dyDescent="0.2">
      <c r="A133" s="218" t="s">
        <v>198</v>
      </c>
      <c r="B133" s="219"/>
      <c r="C133" s="219"/>
      <c r="D133" s="219"/>
      <c r="E133" s="219"/>
      <c r="F133" s="219"/>
      <c r="G133" s="219"/>
      <c r="H133" s="219"/>
      <c r="I133" s="219"/>
      <c r="J133" s="219"/>
      <c r="K133" s="219"/>
      <c r="L133" s="219"/>
      <c r="M133" s="219"/>
      <c r="N133" s="219"/>
      <c r="O133" s="219">
        <v>5</v>
      </c>
      <c r="P133" s="219"/>
      <c r="Q133" s="219"/>
      <c r="R133" s="219"/>
      <c r="S133" s="219"/>
      <c r="T133" s="219">
        <v>5</v>
      </c>
      <c r="U133" s="219">
        <v>5</v>
      </c>
      <c r="V133" s="65">
        <v>5</v>
      </c>
      <c r="W133" s="65"/>
      <c r="X133" s="65"/>
    </row>
    <row r="134" spans="1:24" hidden="1" x14ac:dyDescent="0.2">
      <c r="A134" s="218" t="s">
        <v>199</v>
      </c>
      <c r="B134" s="219"/>
      <c r="C134" s="219"/>
      <c r="D134" s="219"/>
      <c r="E134" s="219"/>
      <c r="F134" s="219"/>
      <c r="G134" s="219"/>
      <c r="H134" s="219"/>
      <c r="I134" s="219"/>
      <c r="J134" s="219"/>
      <c r="K134" s="219"/>
      <c r="L134" s="219"/>
      <c r="M134" s="219"/>
      <c r="N134" s="219"/>
      <c r="O134" s="219">
        <v>5</v>
      </c>
      <c r="P134" s="219"/>
      <c r="Q134" s="219"/>
      <c r="R134" s="219"/>
      <c r="S134" s="219"/>
      <c r="T134" s="219">
        <v>5</v>
      </c>
      <c r="U134" s="219">
        <v>5</v>
      </c>
      <c r="V134" s="65">
        <v>5</v>
      </c>
      <c r="W134" s="65"/>
      <c r="X134" s="65"/>
    </row>
    <row r="135" spans="1:24" hidden="1" x14ac:dyDescent="0.2">
      <c r="A135" s="218" t="s">
        <v>200</v>
      </c>
      <c r="B135" s="219"/>
      <c r="C135" s="219"/>
      <c r="D135" s="219"/>
      <c r="E135" s="219"/>
      <c r="F135" s="219"/>
      <c r="G135" s="219"/>
      <c r="H135" s="219"/>
      <c r="I135" s="219"/>
      <c r="J135" s="219"/>
      <c r="K135" s="219"/>
      <c r="L135" s="219"/>
      <c r="M135" s="219"/>
      <c r="N135" s="219"/>
      <c r="O135" s="219">
        <v>5</v>
      </c>
      <c r="P135" s="219"/>
      <c r="Q135" s="219"/>
      <c r="R135" s="219"/>
      <c r="S135" s="219"/>
      <c r="T135" s="219">
        <v>5</v>
      </c>
      <c r="U135" s="219">
        <v>5</v>
      </c>
      <c r="V135" s="65">
        <v>5</v>
      </c>
      <c r="W135" s="65"/>
      <c r="X135" s="65"/>
    </row>
    <row r="136" spans="1:24" hidden="1" x14ac:dyDescent="0.2">
      <c r="A136" s="218" t="s">
        <v>201</v>
      </c>
      <c r="B136" s="219"/>
      <c r="C136" s="219"/>
      <c r="D136" s="219"/>
      <c r="E136" s="219"/>
      <c r="F136" s="219"/>
      <c r="G136" s="219"/>
      <c r="H136" s="219"/>
      <c r="I136" s="219"/>
      <c r="J136" s="219"/>
      <c r="K136" s="219"/>
      <c r="L136" s="219"/>
      <c r="M136" s="219"/>
      <c r="N136" s="219"/>
      <c r="O136" s="219">
        <v>5</v>
      </c>
      <c r="P136" s="219"/>
      <c r="Q136" s="219"/>
      <c r="R136" s="219"/>
      <c r="S136" s="219"/>
      <c r="T136" s="219">
        <v>5</v>
      </c>
      <c r="U136" s="219">
        <v>5</v>
      </c>
      <c r="V136" s="65">
        <v>5</v>
      </c>
      <c r="W136" s="65"/>
      <c r="X136" s="65"/>
    </row>
    <row r="137" spans="1:24" hidden="1" x14ac:dyDescent="0.2">
      <c r="A137" s="218" t="s">
        <v>202</v>
      </c>
      <c r="B137" s="219"/>
      <c r="C137" s="219"/>
      <c r="D137" s="219"/>
      <c r="E137" s="219"/>
      <c r="F137" s="219"/>
      <c r="G137" s="219"/>
      <c r="H137" s="219"/>
      <c r="I137" s="219"/>
      <c r="J137" s="219"/>
      <c r="K137" s="219"/>
      <c r="L137" s="219"/>
      <c r="M137" s="219"/>
      <c r="N137" s="219"/>
      <c r="O137" s="219">
        <v>5</v>
      </c>
      <c r="P137" s="219"/>
      <c r="Q137" s="219"/>
      <c r="R137" s="219"/>
      <c r="S137" s="219"/>
      <c r="T137" s="219">
        <v>5</v>
      </c>
      <c r="U137" s="219">
        <v>5</v>
      </c>
      <c r="V137" s="65"/>
      <c r="W137" s="65"/>
      <c r="X137" s="65"/>
    </row>
    <row r="138" spans="1:24" hidden="1" x14ac:dyDescent="0.2">
      <c r="A138" s="218" t="s">
        <v>203</v>
      </c>
      <c r="B138" s="219"/>
      <c r="C138" s="219"/>
      <c r="D138" s="219"/>
      <c r="E138" s="219"/>
      <c r="F138" s="219"/>
      <c r="G138" s="219"/>
      <c r="H138" s="219"/>
      <c r="I138" s="219"/>
      <c r="J138" s="219"/>
      <c r="K138" s="219"/>
      <c r="O138" s="219">
        <v>5</v>
      </c>
      <c r="P138" s="219"/>
      <c r="Q138" s="219"/>
      <c r="R138" s="219"/>
      <c r="S138" s="219"/>
      <c r="T138" s="219">
        <v>5</v>
      </c>
      <c r="U138" s="219">
        <v>5</v>
      </c>
      <c r="V138" s="65"/>
      <c r="W138" s="65"/>
      <c r="X138" s="65"/>
    </row>
    <row r="139" spans="1:24" hidden="1" x14ac:dyDescent="0.2">
      <c r="A139" s="218"/>
      <c r="B139" s="218"/>
      <c r="C139" s="218"/>
      <c r="D139" s="218"/>
      <c r="E139" s="218"/>
      <c r="F139" s="265"/>
      <c r="G139" s="212"/>
      <c r="I139" s="65"/>
      <c r="R139" s="219"/>
      <c r="W139" s="65"/>
      <c r="X139" s="65"/>
    </row>
    <row r="140" spans="1:24" ht="13.5" hidden="1" thickBot="1" x14ac:dyDescent="0.25">
      <c r="A140" s="218" t="s">
        <v>9</v>
      </c>
      <c r="B140" s="220">
        <f t="shared" ref="B140:X140" si="24">SUM(B127:B139)</f>
        <v>0</v>
      </c>
      <c r="C140" s="220">
        <f t="shared" si="24"/>
        <v>0</v>
      </c>
      <c r="D140" s="220">
        <f t="shared" si="24"/>
        <v>0</v>
      </c>
      <c r="E140" s="220">
        <f t="shared" si="24"/>
        <v>0</v>
      </c>
      <c r="F140" s="220">
        <f t="shared" si="24"/>
        <v>0</v>
      </c>
      <c r="G140" s="220">
        <f t="shared" si="24"/>
        <v>0</v>
      </c>
      <c r="H140" s="220">
        <f t="shared" si="24"/>
        <v>0</v>
      </c>
      <c r="I140" s="220">
        <f t="shared" si="24"/>
        <v>0</v>
      </c>
      <c r="J140" s="220">
        <f t="shared" si="24"/>
        <v>0</v>
      </c>
      <c r="K140" s="220">
        <f t="shared" si="24"/>
        <v>0</v>
      </c>
      <c r="L140" s="220">
        <f t="shared" si="24"/>
        <v>0</v>
      </c>
      <c r="M140" s="220">
        <f t="shared" si="24"/>
        <v>0</v>
      </c>
      <c r="N140" s="220">
        <f t="shared" si="24"/>
        <v>0</v>
      </c>
      <c r="O140" s="220">
        <f t="shared" si="24"/>
        <v>60</v>
      </c>
      <c r="P140" s="220">
        <f t="shared" si="24"/>
        <v>0</v>
      </c>
      <c r="Q140" s="220">
        <f t="shared" si="24"/>
        <v>0</v>
      </c>
      <c r="R140" s="220">
        <f t="shared" si="24"/>
        <v>0</v>
      </c>
      <c r="S140" s="220">
        <f t="shared" si="24"/>
        <v>0</v>
      </c>
      <c r="T140" s="220">
        <f t="shared" si="24"/>
        <v>62</v>
      </c>
      <c r="U140" s="220">
        <f t="shared" si="24"/>
        <v>60</v>
      </c>
      <c r="V140" s="220">
        <f t="shared" si="24"/>
        <v>50</v>
      </c>
      <c r="W140" s="220">
        <f t="shared" si="24"/>
        <v>0</v>
      </c>
      <c r="X140" s="220">
        <f t="shared" si="24"/>
        <v>0</v>
      </c>
    </row>
    <row r="141" spans="1:24" hidden="1" x14ac:dyDescent="0.2">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row>
    <row r="142" spans="1:24" hidden="1" x14ac:dyDescent="0.2">
      <c r="A142" s="223" t="s">
        <v>244</v>
      </c>
      <c r="B142" s="223"/>
      <c r="C142" s="223"/>
      <c r="D142" s="223"/>
      <c r="E142" s="223"/>
      <c r="F142" s="217"/>
      <c r="G142" s="217"/>
    </row>
    <row r="143" spans="1:24" hidden="1" x14ac:dyDescent="0.2">
      <c r="A143" s="264"/>
      <c r="B143" s="214"/>
      <c r="C143" s="214"/>
      <c r="D143" s="214"/>
      <c r="E143" s="214"/>
      <c r="F143" s="215"/>
      <c r="G143" s="215"/>
    </row>
    <row r="144" spans="1:24" hidden="1" x14ac:dyDescent="0.2">
      <c r="A144" s="216" t="s">
        <v>192</v>
      </c>
      <c r="B144" s="216">
        <v>1992</v>
      </c>
      <c r="C144" s="216">
        <v>1993</v>
      </c>
      <c r="D144" s="216">
        <v>1994</v>
      </c>
      <c r="E144" s="216">
        <v>1995</v>
      </c>
      <c r="F144" s="216">
        <v>1996</v>
      </c>
      <c r="G144" s="216">
        <v>1997</v>
      </c>
      <c r="H144" s="216">
        <v>1998</v>
      </c>
      <c r="I144" s="216">
        <v>1999</v>
      </c>
      <c r="J144" s="216">
        <v>2000</v>
      </c>
      <c r="K144" s="216">
        <v>2001</v>
      </c>
      <c r="L144" s="216">
        <v>2002</v>
      </c>
      <c r="M144" s="216">
        <v>2003</v>
      </c>
      <c r="N144" s="216">
        <v>2004</v>
      </c>
      <c r="O144" s="216">
        <v>2005</v>
      </c>
      <c r="P144" s="216">
        <v>2006</v>
      </c>
      <c r="Q144" s="216">
        <v>2007</v>
      </c>
      <c r="R144" s="216">
        <v>2008</v>
      </c>
      <c r="S144" s="216">
        <v>2009</v>
      </c>
      <c r="T144" s="216">
        <v>2010</v>
      </c>
      <c r="U144" s="216">
        <v>2011</v>
      </c>
      <c r="V144" s="216">
        <v>2012</v>
      </c>
      <c r="W144" s="216">
        <v>2013</v>
      </c>
      <c r="X144" s="216">
        <v>2014</v>
      </c>
    </row>
    <row r="145" spans="1:24" hidden="1" x14ac:dyDescent="0.2">
      <c r="A145" s="214"/>
      <c r="B145" s="214"/>
      <c r="C145" s="214"/>
      <c r="D145" s="214"/>
      <c r="E145" s="214"/>
      <c r="F145" s="217"/>
      <c r="G145" s="217"/>
    </row>
    <row r="146" spans="1:24" hidden="1" x14ac:dyDescent="0.2">
      <c r="A146" s="218"/>
      <c r="B146" s="218"/>
      <c r="C146" s="218"/>
      <c r="D146" s="218"/>
      <c r="E146" s="218"/>
      <c r="F146" s="217"/>
      <c r="G146" s="217"/>
      <c r="H146" s="217"/>
      <c r="I146" s="217"/>
      <c r="U146" s="65"/>
    </row>
    <row r="147" spans="1:24" hidden="1" x14ac:dyDescent="0.2">
      <c r="A147" s="218" t="s">
        <v>193</v>
      </c>
      <c r="B147" s="219"/>
      <c r="C147" s="219"/>
      <c r="D147" s="219"/>
      <c r="E147" s="219"/>
      <c r="F147" s="219"/>
      <c r="G147" s="219"/>
      <c r="H147" s="219"/>
      <c r="I147" s="219"/>
      <c r="J147" s="219"/>
      <c r="K147" s="219"/>
      <c r="L147" s="219"/>
      <c r="M147" s="219"/>
      <c r="N147" s="219"/>
      <c r="O147" s="219"/>
      <c r="P147" s="219"/>
      <c r="Q147" s="219"/>
      <c r="R147" s="219"/>
      <c r="S147" s="219"/>
      <c r="T147" s="219"/>
      <c r="U147" s="65"/>
      <c r="V147" s="65"/>
      <c r="W147" s="65"/>
      <c r="X147" s="65"/>
    </row>
    <row r="148" spans="1:24" hidden="1" x14ac:dyDescent="0.2">
      <c r="A148" s="218" t="s">
        <v>194</v>
      </c>
      <c r="B148" s="219"/>
      <c r="C148" s="219"/>
      <c r="D148" s="219"/>
      <c r="E148" s="219"/>
      <c r="F148" s="219"/>
      <c r="G148" s="219"/>
      <c r="H148" s="219"/>
      <c r="I148" s="219"/>
      <c r="J148" s="219"/>
      <c r="K148" s="219"/>
      <c r="L148" s="219"/>
      <c r="M148" s="219"/>
      <c r="N148" s="219"/>
      <c r="O148" s="219"/>
      <c r="P148" s="219"/>
      <c r="Q148" s="219"/>
      <c r="R148" s="219"/>
      <c r="S148" s="219"/>
      <c r="T148" s="219"/>
      <c r="U148" s="65"/>
      <c r="V148" s="65"/>
      <c r="W148" s="65"/>
      <c r="X148" s="65"/>
    </row>
    <row r="149" spans="1:24" hidden="1" x14ac:dyDescent="0.2">
      <c r="A149" s="218" t="s">
        <v>195</v>
      </c>
      <c r="B149" s="219"/>
      <c r="C149" s="219"/>
      <c r="D149" s="219"/>
      <c r="E149" s="219"/>
      <c r="F149" s="219"/>
      <c r="G149" s="219"/>
      <c r="H149" s="219"/>
      <c r="I149" s="219"/>
      <c r="J149" s="219"/>
      <c r="K149" s="219"/>
      <c r="L149" s="219"/>
      <c r="M149" s="219"/>
      <c r="N149" s="219"/>
      <c r="O149" s="219"/>
      <c r="P149" s="219"/>
      <c r="Q149" s="219"/>
      <c r="R149" s="219"/>
      <c r="S149" s="219"/>
      <c r="T149" s="219"/>
      <c r="U149" s="65"/>
      <c r="V149" s="274">
        <v>1946</v>
      </c>
      <c r="W149" s="65"/>
      <c r="X149" s="65"/>
    </row>
    <row r="150" spans="1:24" hidden="1" x14ac:dyDescent="0.2">
      <c r="A150" s="218" t="s">
        <v>196</v>
      </c>
      <c r="B150" s="219"/>
      <c r="C150" s="219"/>
      <c r="D150" s="219"/>
      <c r="E150" s="219"/>
      <c r="F150" s="219"/>
      <c r="G150" s="219"/>
      <c r="H150" s="219"/>
      <c r="I150" s="219"/>
      <c r="J150" s="219"/>
      <c r="K150" s="219"/>
      <c r="L150" s="219"/>
      <c r="M150" s="219"/>
      <c r="N150" s="219"/>
      <c r="O150" s="219"/>
      <c r="P150" s="219"/>
      <c r="Q150" s="219"/>
      <c r="R150" s="219"/>
      <c r="S150" s="219"/>
      <c r="T150" s="219"/>
      <c r="U150" s="65"/>
      <c r="V150" s="65"/>
      <c r="W150" s="65"/>
      <c r="X150" s="65"/>
    </row>
    <row r="151" spans="1:24" hidden="1" x14ac:dyDescent="0.2">
      <c r="A151" s="218" t="s">
        <v>86</v>
      </c>
      <c r="B151" s="219"/>
      <c r="C151" s="219"/>
      <c r="D151" s="219"/>
      <c r="E151" s="219"/>
      <c r="F151" s="219"/>
      <c r="G151" s="219"/>
      <c r="H151" s="219"/>
      <c r="I151" s="219"/>
      <c r="J151" s="219"/>
      <c r="K151" s="219"/>
      <c r="L151" s="219"/>
      <c r="M151" s="219"/>
      <c r="N151" s="219"/>
      <c r="O151" s="219"/>
      <c r="P151" s="219"/>
      <c r="Q151" s="219"/>
      <c r="R151" s="219"/>
      <c r="S151" s="219"/>
      <c r="T151" s="219"/>
      <c r="U151" s="65"/>
      <c r="V151" s="65"/>
      <c r="W151" s="65"/>
      <c r="X151" s="65"/>
    </row>
    <row r="152" spans="1:24" hidden="1" x14ac:dyDescent="0.2">
      <c r="A152" s="218" t="s">
        <v>197</v>
      </c>
      <c r="B152" s="219"/>
      <c r="C152" s="219"/>
      <c r="D152" s="219"/>
      <c r="E152" s="219"/>
      <c r="F152" s="219"/>
      <c r="G152" s="219"/>
      <c r="H152" s="219"/>
      <c r="I152" s="219"/>
      <c r="J152" s="219"/>
      <c r="K152" s="219"/>
      <c r="L152" s="219"/>
      <c r="M152" s="219"/>
      <c r="N152" s="219"/>
      <c r="O152" s="219"/>
      <c r="P152" s="219"/>
      <c r="Q152" s="219"/>
      <c r="R152" s="219"/>
      <c r="S152" s="219"/>
      <c r="T152" s="219"/>
      <c r="U152" s="65"/>
      <c r="V152" s="274">
        <v>1946</v>
      </c>
      <c r="W152" s="65"/>
      <c r="X152" s="65"/>
    </row>
    <row r="153" spans="1:24" hidden="1" x14ac:dyDescent="0.2">
      <c r="A153" s="218" t="s">
        <v>198</v>
      </c>
      <c r="B153" s="219"/>
      <c r="C153" s="219"/>
      <c r="D153" s="219"/>
      <c r="E153" s="219"/>
      <c r="F153" s="219"/>
      <c r="G153" s="219"/>
      <c r="H153" s="219"/>
      <c r="I153" s="219"/>
      <c r="J153" s="219"/>
      <c r="K153" s="219"/>
      <c r="L153" s="219"/>
      <c r="M153" s="219"/>
      <c r="N153" s="219"/>
      <c r="O153" s="219"/>
      <c r="P153" s="219"/>
      <c r="Q153" s="219"/>
      <c r="R153" s="219"/>
      <c r="S153" s="219"/>
      <c r="T153" s="219"/>
      <c r="U153" s="65"/>
      <c r="V153" s="65"/>
      <c r="W153" s="65"/>
      <c r="X153" s="65"/>
    </row>
    <row r="154" spans="1:24" hidden="1" x14ac:dyDescent="0.2">
      <c r="A154" s="218" t="s">
        <v>199</v>
      </c>
      <c r="B154" s="219"/>
      <c r="C154" s="219"/>
      <c r="D154" s="219"/>
      <c r="E154" s="219"/>
      <c r="F154" s="219"/>
      <c r="G154" s="219"/>
      <c r="H154" s="219"/>
      <c r="I154" s="219"/>
      <c r="J154" s="219"/>
      <c r="K154" s="219"/>
      <c r="L154" s="219"/>
      <c r="M154" s="219"/>
      <c r="N154" s="219"/>
      <c r="O154" s="219"/>
      <c r="P154" s="219"/>
      <c r="Q154" s="219"/>
      <c r="R154" s="219"/>
      <c r="S154" s="219"/>
      <c r="T154" s="219"/>
      <c r="U154" s="65"/>
      <c r="V154" s="65"/>
      <c r="W154" s="65"/>
      <c r="X154" s="65"/>
    </row>
    <row r="155" spans="1:24" hidden="1" x14ac:dyDescent="0.2">
      <c r="A155" s="218" t="s">
        <v>200</v>
      </c>
      <c r="B155" s="219"/>
      <c r="C155" s="219"/>
      <c r="D155" s="219"/>
      <c r="E155" s="219"/>
      <c r="F155" s="219"/>
      <c r="G155" s="219"/>
      <c r="H155" s="219"/>
      <c r="I155" s="219"/>
      <c r="J155" s="219"/>
      <c r="K155" s="219"/>
      <c r="L155" s="219"/>
      <c r="M155" s="219"/>
      <c r="N155" s="219"/>
      <c r="O155" s="219"/>
      <c r="P155" s="219"/>
      <c r="Q155" s="219"/>
      <c r="R155" s="219"/>
      <c r="S155" s="219"/>
      <c r="T155" s="219"/>
      <c r="U155" s="65"/>
      <c r="V155" s="274">
        <v>1949</v>
      </c>
      <c r="W155" s="65"/>
      <c r="X155" s="65"/>
    </row>
    <row r="156" spans="1:24" hidden="1" x14ac:dyDescent="0.2">
      <c r="A156" s="218" t="s">
        <v>201</v>
      </c>
      <c r="B156" s="219"/>
      <c r="C156" s="219"/>
      <c r="D156" s="219"/>
      <c r="E156" s="219"/>
      <c r="F156" s="219"/>
      <c r="G156" s="219"/>
      <c r="H156" s="219"/>
      <c r="I156" s="219"/>
      <c r="J156" s="219"/>
      <c r="K156" s="219"/>
      <c r="L156" s="219"/>
      <c r="M156" s="219"/>
      <c r="N156" s="219"/>
      <c r="O156" s="219"/>
      <c r="P156" s="219"/>
      <c r="Q156" s="219"/>
      <c r="R156" s="219"/>
      <c r="S156" s="219"/>
      <c r="T156" s="219"/>
      <c r="U156" s="65"/>
      <c r="V156" s="65"/>
      <c r="W156" s="65"/>
      <c r="X156" s="65"/>
    </row>
    <row r="157" spans="1:24" hidden="1" x14ac:dyDescent="0.2">
      <c r="A157" s="218" t="s">
        <v>202</v>
      </c>
      <c r="B157" s="219"/>
      <c r="C157" s="219"/>
      <c r="D157" s="219"/>
      <c r="E157" s="219"/>
      <c r="F157" s="219"/>
      <c r="G157" s="219"/>
      <c r="H157" s="219"/>
      <c r="I157" s="219"/>
      <c r="J157" s="219"/>
      <c r="K157" s="219"/>
      <c r="L157" s="219"/>
      <c r="M157" s="219"/>
      <c r="N157" s="219"/>
      <c r="O157" s="219"/>
      <c r="P157" s="219"/>
      <c r="Q157" s="219"/>
      <c r="R157" s="219"/>
      <c r="S157" s="219"/>
      <c r="T157" s="219"/>
      <c r="U157" s="219"/>
      <c r="V157" s="65"/>
      <c r="W157" s="65"/>
      <c r="X157" s="65"/>
    </row>
    <row r="158" spans="1:24" hidden="1" x14ac:dyDescent="0.2">
      <c r="A158" s="218" t="s">
        <v>203</v>
      </c>
      <c r="B158" s="219"/>
      <c r="C158" s="219"/>
      <c r="D158" s="219"/>
      <c r="E158" s="219"/>
      <c r="F158" s="219"/>
      <c r="G158" s="219"/>
      <c r="H158" s="219"/>
      <c r="I158" s="274">
        <v>1337</v>
      </c>
      <c r="J158" s="219"/>
      <c r="K158" s="274">
        <v>1483</v>
      </c>
      <c r="L158" s="274">
        <v>1483</v>
      </c>
      <c r="M158" s="274">
        <v>1591</v>
      </c>
      <c r="N158" s="274">
        <v>1611</v>
      </c>
      <c r="O158" s="274">
        <v>1658</v>
      </c>
      <c r="P158" s="274">
        <v>1736</v>
      </c>
      <c r="Q158" s="274">
        <v>1796</v>
      </c>
      <c r="R158" s="274">
        <v>1904</v>
      </c>
      <c r="S158" s="274">
        <v>1915</v>
      </c>
      <c r="T158" s="219"/>
      <c r="U158" s="274">
        <v>1946</v>
      </c>
      <c r="V158" s="65"/>
      <c r="W158" s="65"/>
      <c r="X158" s="65"/>
    </row>
    <row r="159" spans="1:24" hidden="1" x14ac:dyDescent="0.2">
      <c r="A159" s="218"/>
      <c r="B159" s="218"/>
      <c r="C159" s="218"/>
      <c r="D159" s="218"/>
      <c r="E159" s="218"/>
      <c r="F159" s="265"/>
      <c r="G159" s="212"/>
      <c r="I159" s="65"/>
      <c r="R159" s="219"/>
      <c r="W159" s="65"/>
      <c r="X159" s="65"/>
    </row>
    <row r="160" spans="1:24" ht="13.5" hidden="1" thickBot="1" x14ac:dyDescent="0.25">
      <c r="A160" s="218" t="s">
        <v>9</v>
      </c>
      <c r="B160" s="220">
        <f t="shared" ref="B160:X160" si="25">SUM(B147:B159)</f>
        <v>0</v>
      </c>
      <c r="C160" s="220">
        <f t="shared" si="25"/>
        <v>0</v>
      </c>
      <c r="D160" s="220">
        <f t="shared" si="25"/>
        <v>0</v>
      </c>
      <c r="E160" s="220">
        <f t="shared" si="25"/>
        <v>0</v>
      </c>
      <c r="F160" s="220">
        <f t="shared" si="25"/>
        <v>0</v>
      </c>
      <c r="G160" s="220">
        <f t="shared" si="25"/>
        <v>0</v>
      </c>
      <c r="H160" s="220">
        <f t="shared" si="25"/>
        <v>0</v>
      </c>
      <c r="I160" s="220">
        <f t="shared" si="25"/>
        <v>1337</v>
      </c>
      <c r="J160" s="220">
        <f t="shared" si="25"/>
        <v>0</v>
      </c>
      <c r="K160" s="220">
        <f t="shared" si="25"/>
        <v>1483</v>
      </c>
      <c r="L160" s="220">
        <f t="shared" si="25"/>
        <v>1483</v>
      </c>
      <c r="M160" s="220">
        <f t="shared" si="25"/>
        <v>1591</v>
      </c>
      <c r="N160" s="220">
        <f t="shared" si="25"/>
        <v>1611</v>
      </c>
      <c r="O160" s="220">
        <f t="shared" si="25"/>
        <v>1658</v>
      </c>
      <c r="P160" s="220">
        <f t="shared" si="25"/>
        <v>1736</v>
      </c>
      <c r="Q160" s="220">
        <f t="shared" si="25"/>
        <v>1796</v>
      </c>
      <c r="R160" s="220">
        <f t="shared" si="25"/>
        <v>1904</v>
      </c>
      <c r="S160" s="220">
        <f t="shared" si="25"/>
        <v>1915</v>
      </c>
      <c r="T160" s="220">
        <f t="shared" si="25"/>
        <v>0</v>
      </c>
      <c r="U160" s="220">
        <f t="shared" si="25"/>
        <v>1946</v>
      </c>
      <c r="V160" s="220">
        <f t="shared" si="25"/>
        <v>5841</v>
      </c>
      <c r="W160" s="220">
        <f t="shared" si="25"/>
        <v>0</v>
      </c>
      <c r="X160" s="220">
        <f t="shared" si="25"/>
        <v>0</v>
      </c>
    </row>
    <row r="161" spans="1:24" hidden="1" x14ac:dyDescent="0.2">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row>
    <row r="162" spans="1:24" hidden="1" x14ac:dyDescent="0.2">
      <c r="A162" s="223" t="s">
        <v>245</v>
      </c>
      <c r="B162" s="223"/>
      <c r="C162" s="223"/>
      <c r="D162" s="223"/>
      <c r="E162" s="223"/>
      <c r="F162" s="217"/>
      <c r="G162" s="217"/>
    </row>
    <row r="163" spans="1:24" hidden="1" x14ac:dyDescent="0.2">
      <c r="A163" s="264"/>
      <c r="B163" s="214"/>
      <c r="C163" s="214"/>
      <c r="D163" s="214"/>
      <c r="E163" s="214"/>
      <c r="F163" s="215"/>
      <c r="G163" s="215"/>
    </row>
    <row r="164" spans="1:24" hidden="1" x14ac:dyDescent="0.2">
      <c r="A164" s="216" t="s">
        <v>192</v>
      </c>
      <c r="B164" s="216">
        <v>1992</v>
      </c>
      <c r="C164" s="216">
        <v>1993</v>
      </c>
      <c r="D164" s="216">
        <v>1994</v>
      </c>
      <c r="E164" s="216">
        <v>1995</v>
      </c>
      <c r="F164" s="216">
        <v>1996</v>
      </c>
      <c r="G164" s="216">
        <v>1997</v>
      </c>
      <c r="H164" s="216">
        <v>1998</v>
      </c>
      <c r="I164" s="216">
        <v>1999</v>
      </c>
      <c r="J164" s="216">
        <v>2000</v>
      </c>
      <c r="K164" s="216">
        <v>2001</v>
      </c>
      <c r="L164" s="216">
        <v>2002</v>
      </c>
      <c r="M164" s="216">
        <v>2003</v>
      </c>
      <c r="N164" s="216">
        <v>2004</v>
      </c>
      <c r="O164" s="216">
        <v>2005</v>
      </c>
      <c r="P164" s="216">
        <v>2006</v>
      </c>
      <c r="Q164" s="216">
        <v>2007</v>
      </c>
      <c r="R164" s="216">
        <v>2008</v>
      </c>
      <c r="S164" s="216">
        <v>2009</v>
      </c>
      <c r="T164" s="216">
        <v>2010</v>
      </c>
      <c r="U164" s="216">
        <v>2011</v>
      </c>
      <c r="V164" s="216">
        <v>2012</v>
      </c>
      <c r="W164" s="216">
        <v>2013</v>
      </c>
      <c r="X164" s="216">
        <v>2014</v>
      </c>
    </row>
    <row r="165" spans="1:24" hidden="1" x14ac:dyDescent="0.2">
      <c r="A165" s="214"/>
      <c r="B165" s="214"/>
      <c r="C165" s="214"/>
      <c r="D165" s="214"/>
      <c r="E165" s="214"/>
      <c r="F165" s="217"/>
      <c r="G165" s="217"/>
    </row>
    <row r="166" spans="1:24" hidden="1" x14ac:dyDescent="0.2">
      <c r="A166" s="218"/>
      <c r="B166" s="218"/>
      <c r="C166" s="218"/>
      <c r="D166" s="218"/>
      <c r="E166" s="218"/>
      <c r="F166" s="217"/>
      <c r="G166" s="217"/>
      <c r="H166" s="217"/>
      <c r="I166" s="217"/>
      <c r="T166" s="275"/>
      <c r="U166" s="275"/>
      <c r="V166" s="275"/>
      <c r="W166" s="275"/>
      <c r="X166" s="275"/>
    </row>
    <row r="167" spans="1:24" hidden="1" x14ac:dyDescent="0.2">
      <c r="A167" s="218" t="s">
        <v>193</v>
      </c>
      <c r="B167" s="219"/>
      <c r="C167" s="219"/>
      <c r="D167" s="219"/>
      <c r="E167" s="219"/>
      <c r="F167" s="219"/>
      <c r="G167" s="219"/>
      <c r="H167" s="219"/>
      <c r="I167" s="219"/>
      <c r="J167" s="219"/>
      <c r="K167" s="219"/>
      <c r="L167" s="219"/>
      <c r="M167" s="219"/>
      <c r="N167" s="219"/>
      <c r="O167" s="219"/>
      <c r="P167" s="219"/>
      <c r="Q167" s="219"/>
      <c r="R167" s="219"/>
      <c r="S167" s="219"/>
      <c r="T167" s="276"/>
      <c r="U167" s="276"/>
      <c r="V167" s="277"/>
      <c r="W167" s="277"/>
      <c r="X167" s="277"/>
    </row>
    <row r="168" spans="1:24" hidden="1" x14ac:dyDescent="0.2">
      <c r="A168" s="218" t="s">
        <v>194</v>
      </c>
      <c r="B168" s="219"/>
      <c r="C168" s="219"/>
      <c r="D168" s="219"/>
      <c r="E168" s="219"/>
      <c r="F168" s="219"/>
      <c r="G168" s="219"/>
      <c r="H168" s="219"/>
      <c r="I168" s="219"/>
      <c r="J168" s="219"/>
      <c r="K168" s="219"/>
      <c r="L168" s="219"/>
      <c r="M168" s="219"/>
      <c r="N168" s="219"/>
      <c r="O168" s="219"/>
      <c r="P168" s="219"/>
      <c r="Q168" s="219"/>
      <c r="R168" s="219"/>
      <c r="S168" s="219"/>
      <c r="T168" s="276"/>
      <c r="U168" s="276"/>
      <c r="V168" s="277"/>
      <c r="W168" s="277"/>
      <c r="X168" s="277"/>
    </row>
    <row r="169" spans="1:24" hidden="1" x14ac:dyDescent="0.2">
      <c r="A169" s="218" t="s">
        <v>195</v>
      </c>
      <c r="B169" s="219"/>
      <c r="C169" s="219"/>
      <c r="D169" s="219"/>
      <c r="E169" s="219"/>
      <c r="F169" s="219"/>
      <c r="G169" s="219"/>
      <c r="H169" s="219" t="s">
        <v>205</v>
      </c>
      <c r="I169" s="219"/>
      <c r="J169" s="219"/>
      <c r="K169" s="219"/>
      <c r="L169" s="219"/>
      <c r="M169" s="219"/>
      <c r="N169" s="219"/>
      <c r="O169" s="219"/>
      <c r="P169" s="219"/>
      <c r="Q169" s="219"/>
      <c r="R169" s="219"/>
      <c r="S169" s="219"/>
      <c r="T169" s="276"/>
      <c r="U169" s="276"/>
      <c r="V169" s="277"/>
      <c r="W169" s="277"/>
      <c r="X169" s="277"/>
    </row>
    <row r="170" spans="1:24" hidden="1" x14ac:dyDescent="0.2">
      <c r="A170" s="218" t="s">
        <v>196</v>
      </c>
      <c r="B170" s="219"/>
      <c r="C170" s="219"/>
      <c r="D170" s="219"/>
      <c r="E170" s="219"/>
      <c r="F170" s="219"/>
      <c r="G170" s="219"/>
      <c r="H170" s="219"/>
      <c r="I170" s="219"/>
      <c r="J170" s="219"/>
      <c r="K170" s="219"/>
      <c r="L170" s="219"/>
      <c r="M170" s="219"/>
      <c r="N170" s="219"/>
      <c r="O170" s="219"/>
      <c r="P170" s="219"/>
      <c r="Q170" s="219"/>
      <c r="R170" s="219"/>
      <c r="S170" s="219"/>
      <c r="T170" s="276"/>
      <c r="U170" s="276"/>
      <c r="V170" s="277"/>
      <c r="W170" s="277"/>
      <c r="X170" s="277"/>
    </row>
    <row r="171" spans="1:24" hidden="1" x14ac:dyDescent="0.2">
      <c r="A171" s="218" t="s">
        <v>86</v>
      </c>
      <c r="B171" s="219"/>
      <c r="C171" s="219"/>
      <c r="D171" s="219"/>
      <c r="E171" s="219"/>
      <c r="F171" s="219"/>
      <c r="G171" s="219"/>
      <c r="H171" s="219"/>
      <c r="I171" s="219"/>
      <c r="J171" s="219"/>
      <c r="K171" s="219"/>
      <c r="L171" s="219"/>
      <c r="M171" s="219"/>
      <c r="N171" s="219"/>
      <c r="O171" s="219"/>
      <c r="P171" s="219"/>
      <c r="Q171" s="219"/>
      <c r="R171" s="219"/>
      <c r="S171" s="219"/>
      <c r="T171" s="276"/>
      <c r="U171" s="276"/>
      <c r="V171" s="277"/>
      <c r="W171" s="277"/>
      <c r="X171" s="277"/>
    </row>
    <row r="172" spans="1:24" hidden="1" x14ac:dyDescent="0.2">
      <c r="A172" s="218" t="s">
        <v>197</v>
      </c>
      <c r="B172" s="219"/>
      <c r="C172" s="219"/>
      <c r="D172" s="219"/>
      <c r="E172" s="219"/>
      <c r="F172" s="219"/>
      <c r="G172" s="219"/>
      <c r="H172" s="219"/>
      <c r="I172" s="219"/>
      <c r="J172" s="219"/>
      <c r="K172" s="219"/>
      <c r="L172" s="219"/>
      <c r="M172" s="219"/>
      <c r="N172" s="219"/>
      <c r="O172" s="219"/>
      <c r="P172" s="219"/>
      <c r="Q172" s="219"/>
      <c r="R172" s="219"/>
      <c r="S172" s="276"/>
      <c r="T172" s="276"/>
      <c r="U172" s="276"/>
      <c r="V172" s="277"/>
      <c r="W172" s="277"/>
      <c r="X172" s="277"/>
    </row>
    <row r="173" spans="1:24" hidden="1" x14ac:dyDescent="0.2">
      <c r="A173" s="218" t="s">
        <v>198</v>
      </c>
      <c r="B173" s="219"/>
      <c r="C173" s="219"/>
      <c r="D173" s="219"/>
      <c r="E173" s="219"/>
      <c r="F173" s="219"/>
      <c r="G173" s="219"/>
      <c r="H173" s="219"/>
      <c r="I173" s="219"/>
      <c r="J173" s="219"/>
      <c r="K173" s="219"/>
      <c r="L173" s="219"/>
      <c r="M173" s="219"/>
      <c r="N173" s="219"/>
      <c r="O173" s="219"/>
      <c r="P173" s="219"/>
      <c r="Q173" s="219"/>
      <c r="R173" s="219"/>
      <c r="S173" s="276"/>
      <c r="T173" s="276"/>
      <c r="U173" s="276"/>
      <c r="V173" s="277"/>
      <c r="W173" s="277"/>
      <c r="X173" s="277"/>
    </row>
    <row r="174" spans="1:24" hidden="1" x14ac:dyDescent="0.2">
      <c r="A174" s="218" t="s">
        <v>199</v>
      </c>
      <c r="B174" s="219"/>
      <c r="C174" s="219"/>
      <c r="D174" s="219"/>
      <c r="E174" s="219"/>
      <c r="F174" s="219"/>
      <c r="G174" s="219"/>
      <c r="H174" s="219"/>
      <c r="I174" s="219"/>
      <c r="J174" s="219"/>
      <c r="K174" s="219"/>
      <c r="L174" s="219"/>
      <c r="M174" s="219"/>
      <c r="N174" s="219"/>
      <c r="O174" s="219"/>
      <c r="P174" s="219"/>
      <c r="Q174" s="219"/>
      <c r="R174" s="219"/>
      <c r="S174" s="276"/>
      <c r="T174" s="276"/>
      <c r="U174" s="276"/>
      <c r="V174" s="277"/>
      <c r="W174" s="277"/>
      <c r="X174" s="277"/>
    </row>
    <row r="175" spans="1:24" hidden="1" x14ac:dyDescent="0.2">
      <c r="A175" s="218" t="s">
        <v>200</v>
      </c>
      <c r="B175" s="219"/>
      <c r="C175" s="219"/>
      <c r="D175" s="219"/>
      <c r="E175" s="219"/>
      <c r="F175" s="219"/>
      <c r="G175" s="219"/>
      <c r="H175" s="219"/>
      <c r="I175" s="219"/>
      <c r="J175" s="219"/>
      <c r="K175" s="219"/>
      <c r="L175" s="219"/>
      <c r="M175" s="219"/>
      <c r="N175" s="219"/>
      <c r="O175" s="219"/>
      <c r="P175" s="219"/>
      <c r="Q175" s="219"/>
      <c r="R175" s="219"/>
      <c r="S175" s="276"/>
      <c r="T175" s="276"/>
      <c r="U175" s="276"/>
      <c r="V175" s="277"/>
      <c r="W175" s="277"/>
      <c r="X175" s="277"/>
    </row>
    <row r="176" spans="1:24" hidden="1" x14ac:dyDescent="0.2">
      <c r="A176" s="218" t="s">
        <v>201</v>
      </c>
      <c r="B176" s="219"/>
      <c r="C176" s="219"/>
      <c r="D176" s="219"/>
      <c r="E176" s="219"/>
      <c r="F176" s="219"/>
      <c r="G176" s="219"/>
      <c r="H176" s="219"/>
      <c r="I176" s="219"/>
      <c r="J176" s="219"/>
      <c r="K176" s="219"/>
      <c r="L176" s="219"/>
      <c r="M176" s="219"/>
      <c r="N176" s="219"/>
      <c r="O176" s="219"/>
      <c r="P176" s="219"/>
      <c r="Q176" s="219"/>
      <c r="R176" s="219"/>
      <c r="S176" s="276"/>
      <c r="T176" s="276"/>
      <c r="U176" s="276"/>
      <c r="V176" s="277"/>
      <c r="W176" s="277"/>
      <c r="X176" s="277"/>
    </row>
    <row r="177" spans="1:24" hidden="1" x14ac:dyDescent="0.2">
      <c r="A177" s="218" t="s">
        <v>202</v>
      </c>
      <c r="B177" s="219"/>
      <c r="C177" s="219"/>
      <c r="D177" s="219"/>
      <c r="E177" s="219"/>
      <c r="F177" s="219"/>
      <c r="G177" s="219"/>
      <c r="H177" s="219"/>
      <c r="I177" s="219"/>
      <c r="J177" s="219"/>
      <c r="K177" s="219"/>
      <c r="L177" s="219"/>
      <c r="M177" s="219"/>
      <c r="N177" s="219"/>
      <c r="O177" s="219"/>
      <c r="P177" s="219"/>
      <c r="Q177" s="219"/>
      <c r="R177" s="219"/>
      <c r="S177" s="276"/>
      <c r="T177" s="276"/>
      <c r="U177" s="276"/>
      <c r="V177" s="277"/>
      <c r="W177" s="277"/>
      <c r="X177" s="277"/>
    </row>
    <row r="178" spans="1:24" hidden="1" x14ac:dyDescent="0.2">
      <c r="A178" s="218" t="s">
        <v>203</v>
      </c>
      <c r="B178" s="219"/>
      <c r="C178" s="219"/>
      <c r="D178" s="219"/>
      <c r="E178" s="219"/>
      <c r="F178" s="219"/>
      <c r="G178" s="219"/>
      <c r="H178" s="219"/>
      <c r="I178" s="274">
        <v>113</v>
      </c>
      <c r="J178" s="219"/>
      <c r="K178" s="274">
        <v>117</v>
      </c>
      <c r="L178" s="274">
        <v>110</v>
      </c>
      <c r="M178" s="274">
        <v>108</v>
      </c>
      <c r="N178" s="274">
        <v>105</v>
      </c>
      <c r="O178" s="274">
        <v>80</v>
      </c>
      <c r="P178" s="274">
        <v>66</v>
      </c>
      <c r="Q178" s="274">
        <v>76</v>
      </c>
      <c r="R178" s="274">
        <v>71</v>
      </c>
      <c r="S178" s="276">
        <v>71</v>
      </c>
      <c r="T178" s="276"/>
      <c r="U178" s="276"/>
      <c r="V178" s="277"/>
      <c r="W178" s="277"/>
      <c r="X178" s="277"/>
    </row>
    <row r="179" spans="1:24" hidden="1" x14ac:dyDescent="0.2">
      <c r="A179" s="218"/>
      <c r="B179" s="218"/>
      <c r="C179" s="218"/>
      <c r="D179" s="218"/>
      <c r="E179" s="218"/>
      <c r="F179" s="265"/>
      <c r="G179" s="212"/>
      <c r="I179" s="65"/>
      <c r="R179" s="219"/>
      <c r="W179" s="65"/>
      <c r="X179" s="65"/>
    </row>
    <row r="180" spans="1:24" ht="13.5" hidden="1" thickBot="1" x14ac:dyDescent="0.25">
      <c r="A180" s="218" t="s">
        <v>9</v>
      </c>
      <c r="B180" s="220">
        <f t="shared" ref="B180:X180" si="26">SUM(B167:B179)</f>
        <v>0</v>
      </c>
      <c r="C180" s="220">
        <f t="shared" si="26"/>
        <v>0</v>
      </c>
      <c r="D180" s="220">
        <f t="shared" si="26"/>
        <v>0</v>
      </c>
      <c r="E180" s="220">
        <f t="shared" si="26"/>
        <v>0</v>
      </c>
      <c r="F180" s="220">
        <f t="shared" si="26"/>
        <v>0</v>
      </c>
      <c r="G180" s="220">
        <f t="shared" si="26"/>
        <v>0</v>
      </c>
      <c r="H180" s="220">
        <f t="shared" si="26"/>
        <v>0</v>
      </c>
      <c r="I180" s="220">
        <f t="shared" si="26"/>
        <v>113</v>
      </c>
      <c r="J180" s="220">
        <f t="shared" si="26"/>
        <v>0</v>
      </c>
      <c r="K180" s="220">
        <f t="shared" si="26"/>
        <v>117</v>
      </c>
      <c r="L180" s="220">
        <f t="shared" si="26"/>
        <v>110</v>
      </c>
      <c r="M180" s="220">
        <f t="shared" si="26"/>
        <v>108</v>
      </c>
      <c r="N180" s="220">
        <f t="shared" si="26"/>
        <v>105</v>
      </c>
      <c r="O180" s="220">
        <f t="shared" si="26"/>
        <v>80</v>
      </c>
      <c r="P180" s="220">
        <f t="shared" si="26"/>
        <v>66</v>
      </c>
      <c r="Q180" s="220">
        <f t="shared" si="26"/>
        <v>76</v>
      </c>
      <c r="R180" s="220">
        <f t="shared" si="26"/>
        <v>71</v>
      </c>
      <c r="S180" s="220">
        <f t="shared" si="26"/>
        <v>71</v>
      </c>
      <c r="T180" s="220">
        <f t="shared" si="26"/>
        <v>0</v>
      </c>
      <c r="U180" s="220">
        <f t="shared" si="26"/>
        <v>0</v>
      </c>
      <c r="V180" s="220">
        <f t="shared" si="26"/>
        <v>0</v>
      </c>
      <c r="W180" s="220">
        <f t="shared" si="26"/>
        <v>0</v>
      </c>
      <c r="X180" s="220">
        <f t="shared" si="26"/>
        <v>0</v>
      </c>
    </row>
    <row r="181" spans="1:24" hidden="1" x14ac:dyDescent="0.2">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row>
    <row r="182" spans="1:24" x14ac:dyDescent="0.2">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1:24" x14ac:dyDescent="0.2">
      <c r="A183" s="223" t="s">
        <v>292</v>
      </c>
      <c r="B183" s="223"/>
      <c r="C183" s="223"/>
      <c r="D183" s="223"/>
      <c r="E183" s="223"/>
      <c r="F183" s="217"/>
      <c r="G183" s="217"/>
    </row>
    <row r="184" spans="1:24" x14ac:dyDescent="0.2">
      <c r="A184" s="352" t="s">
        <v>294</v>
      </c>
      <c r="B184" s="353"/>
      <c r="C184" s="353"/>
      <c r="D184" s="353"/>
      <c r="E184" s="214"/>
      <c r="F184" s="215"/>
      <c r="G184" s="215"/>
    </row>
    <row r="185" spans="1:24" x14ac:dyDescent="0.2">
      <c r="A185" s="216" t="s">
        <v>192</v>
      </c>
      <c r="B185" s="216">
        <v>1992</v>
      </c>
      <c r="C185" s="216">
        <v>1993</v>
      </c>
      <c r="D185" s="216">
        <v>1994</v>
      </c>
      <c r="E185" s="216">
        <v>1995</v>
      </c>
      <c r="F185" s="216">
        <v>1996</v>
      </c>
      <c r="G185" s="216">
        <v>1997</v>
      </c>
      <c r="H185" s="216">
        <v>1998</v>
      </c>
      <c r="I185" s="216">
        <v>1999</v>
      </c>
      <c r="J185" s="216">
        <v>2000</v>
      </c>
      <c r="K185" s="216">
        <v>2001</v>
      </c>
      <c r="L185" s="216">
        <v>2002</v>
      </c>
      <c r="M185" s="216">
        <v>2003</v>
      </c>
      <c r="N185" s="216">
        <v>2004</v>
      </c>
      <c r="O185" s="216">
        <v>2005</v>
      </c>
      <c r="P185" s="216">
        <v>2006</v>
      </c>
      <c r="Q185" s="216">
        <v>2007</v>
      </c>
      <c r="R185" s="216">
        <v>2008</v>
      </c>
      <c r="S185" s="216">
        <v>2009</v>
      </c>
      <c r="T185" s="216">
        <v>2010</v>
      </c>
      <c r="U185" s="216">
        <v>2011</v>
      </c>
      <c r="V185" s="216">
        <v>2012</v>
      </c>
      <c r="W185" s="216">
        <v>2013</v>
      </c>
      <c r="X185" s="216">
        <v>2014</v>
      </c>
    </row>
    <row r="186" spans="1:24" x14ac:dyDescent="0.2">
      <c r="A186" s="214"/>
      <c r="B186" s="214"/>
      <c r="C186" s="214"/>
      <c r="D186" s="214"/>
      <c r="E186" s="214"/>
      <c r="F186" s="217"/>
      <c r="G186" s="217"/>
      <c r="S186" s="358" t="s">
        <v>296</v>
      </c>
      <c r="T186" s="213" t="s">
        <v>299</v>
      </c>
    </row>
    <row r="187" spans="1:24" x14ac:dyDescent="0.2">
      <c r="A187" s="218"/>
      <c r="B187" s="218"/>
      <c r="C187" s="218"/>
      <c r="D187" s="218"/>
      <c r="E187" s="218"/>
      <c r="F187" s="217"/>
      <c r="G187" s="217"/>
      <c r="H187" s="217"/>
      <c r="I187" s="217"/>
      <c r="S187" s="355"/>
    </row>
    <row r="188" spans="1:24" x14ac:dyDescent="0.2">
      <c r="A188" s="218" t="s">
        <v>193</v>
      </c>
      <c r="B188" s="276"/>
      <c r="C188" s="276"/>
      <c r="D188" s="276"/>
      <c r="E188" s="276"/>
      <c r="F188" s="276"/>
      <c r="G188" s="276"/>
      <c r="H188" s="276"/>
      <c r="I188" s="276"/>
      <c r="J188" s="276"/>
      <c r="K188" s="276"/>
      <c r="L188" s="276"/>
      <c r="M188" s="276"/>
      <c r="N188" s="276"/>
      <c r="O188" s="276"/>
      <c r="P188" s="276"/>
      <c r="Q188" s="276"/>
      <c r="R188" s="276"/>
      <c r="S188" s="359"/>
      <c r="W188" s="65"/>
      <c r="X188" s="65"/>
    </row>
    <row r="189" spans="1:24" x14ac:dyDescent="0.2">
      <c r="A189" s="218" t="s">
        <v>194</v>
      </c>
      <c r="B189" s="276"/>
      <c r="C189" s="276"/>
      <c r="D189" s="276"/>
      <c r="E189" s="276"/>
      <c r="F189" s="276"/>
      <c r="G189" s="276"/>
      <c r="H189" s="276"/>
      <c r="I189" s="275"/>
      <c r="J189" s="275"/>
      <c r="K189" s="275"/>
      <c r="L189" s="275"/>
      <c r="M189" s="275"/>
      <c r="N189" s="275"/>
      <c r="O189" s="275"/>
      <c r="P189" s="275"/>
      <c r="Q189" s="275"/>
      <c r="R189" s="275"/>
      <c r="S189" s="359"/>
      <c r="X189" s="65"/>
    </row>
    <row r="190" spans="1:24" x14ac:dyDescent="0.2">
      <c r="A190" s="218" t="s">
        <v>195</v>
      </c>
      <c r="B190" s="276"/>
      <c r="C190" s="276"/>
      <c r="D190" s="276"/>
      <c r="E190" s="276"/>
      <c r="F190" s="276"/>
      <c r="G190" s="276"/>
      <c r="H190" s="276"/>
      <c r="I190" s="275"/>
      <c r="J190" s="275"/>
      <c r="K190" s="275"/>
      <c r="L190" s="275"/>
      <c r="M190" s="275"/>
      <c r="N190" s="275"/>
      <c r="O190" s="275"/>
      <c r="P190" s="275"/>
      <c r="Q190" s="275"/>
      <c r="R190" s="275"/>
      <c r="S190" s="359"/>
      <c r="T190" s="361">
        <v>23</v>
      </c>
      <c r="U190" s="360">
        <v>22</v>
      </c>
      <c r="V190" s="360">
        <v>22</v>
      </c>
      <c r="X190" s="65"/>
    </row>
    <row r="191" spans="1:24" x14ac:dyDescent="0.2">
      <c r="A191" s="218" t="s">
        <v>196</v>
      </c>
      <c r="B191" s="276"/>
      <c r="C191" s="276"/>
      <c r="D191" s="276"/>
      <c r="E191" s="276"/>
      <c r="F191" s="276"/>
      <c r="G191" s="276"/>
      <c r="H191" s="276"/>
      <c r="I191" s="275"/>
      <c r="J191" s="275"/>
      <c r="K191" s="275"/>
      <c r="L191" s="275"/>
      <c r="M191" s="275"/>
      <c r="N191" s="275"/>
      <c r="O191" s="275"/>
      <c r="P191" s="275"/>
      <c r="Q191" s="275"/>
      <c r="R191" s="275"/>
      <c r="S191" s="359"/>
      <c r="X191" s="65"/>
    </row>
    <row r="192" spans="1:24" x14ac:dyDescent="0.2">
      <c r="A192" s="218" t="s">
        <v>86</v>
      </c>
      <c r="B192" s="276"/>
      <c r="C192" s="276"/>
      <c r="D192" s="276"/>
      <c r="E192" s="276"/>
      <c r="F192" s="276"/>
      <c r="G192" s="276"/>
      <c r="H192" s="276"/>
      <c r="I192" s="275"/>
      <c r="J192" s="275"/>
      <c r="K192" s="275"/>
      <c r="L192" s="275"/>
      <c r="M192" s="275"/>
      <c r="N192" s="275"/>
      <c r="O192" s="275"/>
      <c r="P192" s="275"/>
      <c r="Q192" s="275"/>
      <c r="R192" s="275"/>
      <c r="S192" s="359"/>
      <c r="X192" s="65"/>
    </row>
    <row r="193" spans="1:24" x14ac:dyDescent="0.2">
      <c r="A193" s="218" t="s">
        <v>197</v>
      </c>
      <c r="B193" s="276"/>
      <c r="C193" s="276"/>
      <c r="D193" s="276"/>
      <c r="E193" s="276"/>
      <c r="F193" s="276"/>
      <c r="G193" s="766" t="s">
        <v>293</v>
      </c>
      <c r="H193" s="766"/>
      <c r="I193" s="766"/>
      <c r="J193" s="275"/>
      <c r="K193" s="275"/>
      <c r="L193" s="275"/>
      <c r="M193" s="275"/>
      <c r="N193" s="275"/>
      <c r="O193" s="275"/>
      <c r="P193" s="275"/>
      <c r="Q193" s="275"/>
      <c r="R193" s="275"/>
      <c r="S193" s="359"/>
      <c r="T193" s="361">
        <v>22</v>
      </c>
      <c r="U193" s="360">
        <v>22</v>
      </c>
      <c r="V193" s="360">
        <v>22</v>
      </c>
      <c r="X193" s="65"/>
    </row>
    <row r="194" spans="1:24" x14ac:dyDescent="0.2">
      <c r="A194" s="218" t="s">
        <v>198</v>
      </c>
      <c r="B194" s="276"/>
      <c r="C194" s="276"/>
      <c r="D194" s="276"/>
      <c r="E194" s="276"/>
      <c r="F194" s="276"/>
      <c r="G194" s="276"/>
      <c r="H194" s="276"/>
      <c r="I194" s="275"/>
      <c r="J194" s="275"/>
      <c r="K194" s="275"/>
      <c r="L194" s="275"/>
      <c r="M194" s="275"/>
      <c r="N194" s="275"/>
      <c r="O194" s="275"/>
      <c r="P194" s="275"/>
      <c r="Q194" s="275"/>
      <c r="R194" s="275"/>
      <c r="S194" s="359"/>
      <c r="X194" s="65"/>
    </row>
    <row r="195" spans="1:24" x14ac:dyDescent="0.2">
      <c r="A195" s="218" t="s">
        <v>199</v>
      </c>
      <c r="B195" s="276"/>
      <c r="C195" s="276"/>
      <c r="D195" s="276"/>
      <c r="E195" s="276"/>
      <c r="F195" s="276"/>
      <c r="G195" s="276"/>
      <c r="H195" s="276"/>
      <c r="I195" s="275"/>
      <c r="J195" s="275"/>
      <c r="K195" s="275"/>
      <c r="L195" s="275"/>
      <c r="M195" s="275"/>
      <c r="N195" s="275"/>
      <c r="O195" s="275"/>
      <c r="P195" s="275"/>
      <c r="Q195" s="275"/>
      <c r="R195" s="275"/>
      <c r="S195" s="359"/>
      <c r="X195" s="65"/>
    </row>
    <row r="196" spans="1:24" x14ac:dyDescent="0.2">
      <c r="A196" s="218" t="s">
        <v>200</v>
      </c>
      <c r="B196" s="276"/>
      <c r="C196" s="276"/>
      <c r="D196" s="276"/>
      <c r="E196" s="276"/>
      <c r="F196" s="276"/>
      <c r="G196" s="276"/>
      <c r="H196" s="276"/>
      <c r="I196" s="275"/>
      <c r="J196" s="275"/>
      <c r="K196" s="275"/>
      <c r="L196" s="275"/>
      <c r="M196" s="275"/>
      <c r="N196" s="275"/>
      <c r="O196" s="275"/>
      <c r="P196" s="275"/>
      <c r="Q196" s="275"/>
      <c r="R196" s="275"/>
      <c r="S196" s="359"/>
      <c r="T196" s="361">
        <v>20</v>
      </c>
      <c r="U196" s="360">
        <v>24</v>
      </c>
      <c r="V196" s="360">
        <v>22</v>
      </c>
      <c r="X196" s="65"/>
    </row>
    <row r="197" spans="1:24" x14ac:dyDescent="0.2">
      <c r="A197" s="218" t="s">
        <v>201</v>
      </c>
      <c r="B197" s="276"/>
      <c r="C197" s="276"/>
      <c r="D197" s="276"/>
      <c r="E197" s="276"/>
      <c r="F197" s="276"/>
      <c r="G197" s="276"/>
      <c r="H197" s="276"/>
      <c r="I197" s="275"/>
      <c r="J197" s="275"/>
      <c r="K197" s="275"/>
      <c r="L197" s="275"/>
      <c r="M197" s="275"/>
      <c r="N197" s="275"/>
      <c r="O197" s="275"/>
      <c r="P197" s="275"/>
      <c r="Q197" s="275"/>
      <c r="R197" s="275"/>
      <c r="S197" s="359"/>
      <c r="X197" s="65"/>
    </row>
    <row r="198" spans="1:24" x14ac:dyDescent="0.2">
      <c r="A198" s="218" t="s">
        <v>202</v>
      </c>
      <c r="B198" s="276"/>
      <c r="C198" s="276"/>
      <c r="D198" s="276"/>
      <c r="E198" s="276"/>
      <c r="F198" s="276"/>
      <c r="G198" s="276"/>
      <c r="H198" s="276"/>
      <c r="I198" s="275"/>
      <c r="J198" s="275"/>
      <c r="K198" s="275"/>
      <c r="L198" s="275"/>
      <c r="M198" s="275"/>
      <c r="N198" s="275"/>
      <c r="O198" s="275"/>
      <c r="P198" s="275"/>
      <c r="Q198" s="275"/>
      <c r="R198" s="275"/>
      <c r="S198" s="359"/>
      <c r="X198" s="65"/>
    </row>
    <row r="199" spans="1:24" x14ac:dyDescent="0.2">
      <c r="A199" s="218" t="s">
        <v>203</v>
      </c>
      <c r="B199" s="276"/>
      <c r="C199" s="276"/>
      <c r="D199" s="276"/>
      <c r="E199" s="276"/>
      <c r="F199" s="276"/>
      <c r="G199" s="276"/>
      <c r="H199" s="276"/>
      <c r="I199" s="354">
        <v>24</v>
      </c>
      <c r="J199" s="354">
        <v>24</v>
      </c>
      <c r="K199" s="354">
        <v>24</v>
      </c>
      <c r="L199" s="354">
        <v>24</v>
      </c>
      <c r="M199" s="354">
        <v>24</v>
      </c>
      <c r="N199" s="354">
        <v>24</v>
      </c>
      <c r="O199" s="354">
        <v>24</v>
      </c>
      <c r="P199" s="354">
        <v>24</v>
      </c>
      <c r="Q199" s="354">
        <v>23</v>
      </c>
      <c r="R199" s="274">
        <f>[16]Sheet1!$D$9</f>
        <v>22</v>
      </c>
      <c r="S199" s="357">
        <f>[17]Sheet1!$E$9</f>
        <v>22</v>
      </c>
      <c r="T199" s="361">
        <v>20</v>
      </c>
      <c r="U199" s="360">
        <v>22</v>
      </c>
      <c r="V199" s="360">
        <v>22</v>
      </c>
      <c r="W199" s="369">
        <f>'Rate Class Customer Model'!I20</f>
        <v>21.809405368179451</v>
      </c>
      <c r="X199" s="369">
        <f>'Rate Class Customer Model'!I21</f>
        <v>21.620461932435212</v>
      </c>
    </row>
    <row r="200" spans="1:24" x14ac:dyDescent="0.2">
      <c r="A200" s="218"/>
      <c r="B200" s="218"/>
      <c r="C200" s="218"/>
      <c r="D200" s="218"/>
      <c r="E200" s="218"/>
      <c r="F200" s="265"/>
      <c r="G200" s="212"/>
      <c r="I200" s="65"/>
      <c r="R200" s="219"/>
      <c r="W200" s="65"/>
      <c r="X200" s="65"/>
    </row>
    <row r="201" spans="1:24" ht="13.5" thickBot="1" x14ac:dyDescent="0.25">
      <c r="A201" s="218" t="s">
        <v>9</v>
      </c>
      <c r="B201" s="220">
        <f t="shared" ref="B201:X201" si="27">SUM(B188:B200)</f>
        <v>0</v>
      </c>
      <c r="C201" s="220">
        <f t="shared" si="27"/>
        <v>0</v>
      </c>
      <c r="D201" s="220">
        <f t="shared" si="27"/>
        <v>0</v>
      </c>
      <c r="E201" s="220">
        <f t="shared" si="27"/>
        <v>0</v>
      </c>
      <c r="F201" s="220">
        <f t="shared" si="27"/>
        <v>0</v>
      </c>
      <c r="G201" s="220">
        <f t="shared" si="27"/>
        <v>0</v>
      </c>
      <c r="H201" s="220">
        <f t="shared" si="27"/>
        <v>0</v>
      </c>
      <c r="I201" s="220">
        <f t="shared" si="27"/>
        <v>24</v>
      </c>
      <c r="J201" s="220">
        <f t="shared" si="27"/>
        <v>24</v>
      </c>
      <c r="K201" s="220">
        <f t="shared" si="27"/>
        <v>24</v>
      </c>
      <c r="L201" s="220">
        <f t="shared" si="27"/>
        <v>24</v>
      </c>
      <c r="M201" s="220">
        <f t="shared" si="27"/>
        <v>24</v>
      </c>
      <c r="N201" s="220">
        <f t="shared" si="27"/>
        <v>24</v>
      </c>
      <c r="O201" s="220">
        <f t="shared" si="27"/>
        <v>24</v>
      </c>
      <c r="P201" s="220">
        <f t="shared" si="27"/>
        <v>24</v>
      </c>
      <c r="Q201" s="220">
        <f t="shared" si="27"/>
        <v>23</v>
      </c>
      <c r="R201" s="220">
        <f t="shared" si="27"/>
        <v>22</v>
      </c>
      <c r="S201" s="220">
        <f t="shared" si="27"/>
        <v>22</v>
      </c>
      <c r="T201" s="220">
        <f t="shared" si="27"/>
        <v>85</v>
      </c>
      <c r="U201" s="220">
        <f t="shared" si="27"/>
        <v>90</v>
      </c>
      <c r="V201" s="220">
        <f t="shared" si="27"/>
        <v>88</v>
      </c>
      <c r="W201" s="220">
        <f t="shared" si="27"/>
        <v>21.809405368179451</v>
      </c>
      <c r="X201" s="220">
        <f t="shared" si="27"/>
        <v>21.620461932435212</v>
      </c>
    </row>
    <row r="202" spans="1:24" ht="13.5" thickTop="1" x14ac:dyDescent="0.2">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row>
    <row r="203" spans="1:24" x14ac:dyDescent="0.2">
      <c r="A203" s="223" t="s">
        <v>244</v>
      </c>
      <c r="B203" s="223"/>
      <c r="C203" s="223"/>
      <c r="D203" s="223"/>
      <c r="E203" s="223"/>
      <c r="F203" s="217"/>
      <c r="G203" s="217"/>
    </row>
    <row r="204" spans="1:24" x14ac:dyDescent="0.2">
      <c r="A204" s="352" t="s">
        <v>294</v>
      </c>
      <c r="B204" s="353"/>
      <c r="C204" s="353"/>
      <c r="D204" s="353"/>
      <c r="E204" s="214"/>
      <c r="F204" s="215"/>
      <c r="G204" s="215"/>
    </row>
    <row r="205" spans="1:24" x14ac:dyDescent="0.2">
      <c r="A205" s="216" t="s">
        <v>192</v>
      </c>
      <c r="B205" s="216">
        <v>1992</v>
      </c>
      <c r="C205" s="216">
        <v>1993</v>
      </c>
      <c r="D205" s="216">
        <v>1994</v>
      </c>
      <c r="E205" s="216">
        <v>1995</v>
      </c>
      <c r="F205" s="216">
        <v>1996</v>
      </c>
      <c r="G205" s="216">
        <v>1997</v>
      </c>
      <c r="H205" s="216">
        <v>1998</v>
      </c>
      <c r="I205" s="216">
        <v>1999</v>
      </c>
      <c r="J205" s="216">
        <v>2000</v>
      </c>
      <c r="K205" s="216">
        <v>2001</v>
      </c>
      <c r="L205" s="216">
        <v>2002</v>
      </c>
      <c r="M205" s="216">
        <v>2003</v>
      </c>
      <c r="N205" s="216">
        <v>2004</v>
      </c>
      <c r="O205" s="216">
        <v>2005</v>
      </c>
      <c r="P205" s="216">
        <v>2006</v>
      </c>
      <c r="Q205" s="216">
        <v>2007</v>
      </c>
      <c r="R205" s="216">
        <v>2008</v>
      </c>
      <c r="S205" s="216">
        <v>2009</v>
      </c>
      <c r="T205" s="216">
        <v>2010</v>
      </c>
      <c r="U205" s="216">
        <v>2011</v>
      </c>
      <c r="V205" s="216">
        <v>2012</v>
      </c>
      <c r="W205" s="216">
        <v>2013</v>
      </c>
      <c r="X205" s="216">
        <v>2014</v>
      </c>
    </row>
    <row r="206" spans="1:24" x14ac:dyDescent="0.2">
      <c r="A206" s="214"/>
      <c r="B206" s="214"/>
      <c r="C206" s="214"/>
      <c r="D206" s="214"/>
      <c r="E206" s="214"/>
      <c r="F206" s="217"/>
      <c r="G206" s="217"/>
      <c r="S206" s="358" t="s">
        <v>296</v>
      </c>
      <c r="T206" s="213" t="s">
        <v>298</v>
      </c>
    </row>
    <row r="207" spans="1:24" x14ac:dyDescent="0.2">
      <c r="A207" s="218"/>
      <c r="B207" s="218"/>
      <c r="C207" s="218"/>
      <c r="D207" s="218"/>
      <c r="E207" s="218"/>
      <c r="F207" s="217"/>
      <c r="G207" s="217"/>
      <c r="H207" s="217"/>
      <c r="I207" s="217"/>
      <c r="S207" s="355"/>
    </row>
    <row r="208" spans="1:24" x14ac:dyDescent="0.2">
      <c r="A208" s="218" t="s">
        <v>193</v>
      </c>
      <c r="B208" s="276"/>
      <c r="C208" s="276"/>
      <c r="D208" s="276"/>
      <c r="E208" s="276"/>
      <c r="F208" s="276"/>
      <c r="G208" s="276"/>
      <c r="H208" s="276"/>
      <c r="I208" s="276"/>
      <c r="J208" s="276"/>
      <c r="K208" s="276"/>
      <c r="L208" s="276"/>
      <c r="M208" s="276"/>
      <c r="N208" s="276"/>
      <c r="O208" s="276"/>
      <c r="P208" s="276"/>
      <c r="Q208" s="276"/>
      <c r="R208" s="276"/>
      <c r="S208" s="359"/>
      <c r="W208" s="65"/>
      <c r="X208" s="65"/>
    </row>
    <row r="209" spans="1:24" x14ac:dyDescent="0.2">
      <c r="A209" s="218" t="s">
        <v>194</v>
      </c>
      <c r="B209" s="276"/>
      <c r="C209" s="276"/>
      <c r="D209" s="276"/>
      <c r="E209" s="276"/>
      <c r="F209" s="276"/>
      <c r="G209" s="276"/>
      <c r="H209" s="276"/>
      <c r="I209" s="275"/>
      <c r="J209" s="275"/>
      <c r="K209" s="275"/>
      <c r="L209" s="275"/>
      <c r="M209" s="275"/>
      <c r="N209" s="275"/>
      <c r="O209" s="275"/>
      <c r="P209" s="275"/>
      <c r="Q209" s="275"/>
      <c r="R209" s="275"/>
      <c r="S209" s="359"/>
      <c r="X209" s="65"/>
    </row>
    <row r="210" spans="1:24" x14ac:dyDescent="0.2">
      <c r="A210" s="218" t="s">
        <v>195</v>
      </c>
      <c r="B210" s="276"/>
      <c r="C210" s="276"/>
      <c r="D210" s="276"/>
      <c r="E210" s="276"/>
      <c r="F210" s="276"/>
      <c r="G210" s="276"/>
      <c r="H210" s="276"/>
      <c r="I210" s="275"/>
      <c r="J210" s="275"/>
      <c r="K210" s="275"/>
      <c r="L210" s="275"/>
      <c r="M210" s="275"/>
      <c r="N210" s="275"/>
      <c r="O210" s="275"/>
      <c r="P210" s="275"/>
      <c r="Q210" s="275"/>
      <c r="R210" s="275"/>
      <c r="S210" s="359"/>
      <c r="T210" s="274">
        <v>1920</v>
      </c>
      <c r="U210" s="274">
        <f>1826+94</f>
        <v>1920</v>
      </c>
      <c r="V210" s="274">
        <v>1946</v>
      </c>
      <c r="X210" s="65"/>
    </row>
    <row r="211" spans="1:24" x14ac:dyDescent="0.2">
      <c r="A211" s="218" t="s">
        <v>196</v>
      </c>
      <c r="B211" s="276"/>
      <c r="C211" s="276"/>
      <c r="D211" s="276"/>
      <c r="E211" s="276"/>
      <c r="F211" s="276"/>
      <c r="G211" s="276"/>
      <c r="H211" s="276"/>
      <c r="I211" s="275"/>
      <c r="J211" s="275"/>
      <c r="K211" s="275"/>
      <c r="L211" s="275"/>
      <c r="M211" s="275"/>
      <c r="N211" s="275"/>
      <c r="O211" s="275"/>
      <c r="P211" s="275"/>
      <c r="Q211" s="275"/>
      <c r="R211" s="275"/>
      <c r="S211" s="359"/>
      <c r="X211" s="65"/>
    </row>
    <row r="212" spans="1:24" x14ac:dyDescent="0.2">
      <c r="A212" s="218" t="s">
        <v>86</v>
      </c>
      <c r="B212" s="276"/>
      <c r="C212" s="276"/>
      <c r="D212" s="276"/>
      <c r="E212" s="276"/>
      <c r="F212" s="276"/>
      <c r="G212" s="276"/>
      <c r="H212" s="276"/>
      <c r="I212" s="275"/>
      <c r="J212" s="275"/>
      <c r="K212" s="275"/>
      <c r="L212" s="275"/>
      <c r="M212" s="275"/>
      <c r="N212" s="275"/>
      <c r="O212" s="275"/>
      <c r="P212" s="275"/>
      <c r="Q212" s="275"/>
      <c r="R212" s="275"/>
      <c r="S212" s="359"/>
      <c r="X212" s="65"/>
    </row>
    <row r="213" spans="1:24" x14ac:dyDescent="0.2">
      <c r="A213" s="218" t="s">
        <v>197</v>
      </c>
      <c r="B213" s="276"/>
      <c r="C213" s="276"/>
      <c r="D213" s="276"/>
      <c r="E213" s="276"/>
      <c r="F213" s="766" t="s">
        <v>295</v>
      </c>
      <c r="G213" s="766"/>
      <c r="H213" s="766"/>
      <c r="I213" s="766"/>
      <c r="J213" s="766"/>
      <c r="K213" s="766"/>
      <c r="L213" s="275"/>
      <c r="M213" s="275"/>
      <c r="N213" s="275"/>
      <c r="O213" s="275"/>
      <c r="P213" s="275"/>
      <c r="Q213" s="275"/>
      <c r="R213" s="275"/>
      <c r="S213" s="359"/>
      <c r="T213" s="274">
        <v>1920</v>
      </c>
      <c r="U213" s="274">
        <v>1946</v>
      </c>
      <c r="V213" s="274">
        <v>1946</v>
      </c>
      <c r="X213" s="65"/>
    </row>
    <row r="214" spans="1:24" x14ac:dyDescent="0.2">
      <c r="A214" s="218" t="s">
        <v>198</v>
      </c>
      <c r="B214" s="276"/>
      <c r="C214" s="276"/>
      <c r="D214" s="276"/>
      <c r="E214" s="276"/>
      <c r="F214" s="276"/>
      <c r="G214" s="276"/>
      <c r="H214" s="276"/>
      <c r="I214" s="275"/>
      <c r="J214" s="275"/>
      <c r="K214" s="275"/>
      <c r="L214" s="275"/>
      <c r="M214" s="275"/>
      <c r="N214" s="275"/>
      <c r="O214" s="275"/>
      <c r="P214" s="275"/>
      <c r="Q214" s="275"/>
      <c r="R214" s="275"/>
      <c r="S214" s="359"/>
      <c r="X214" s="65"/>
    </row>
    <row r="215" spans="1:24" x14ac:dyDescent="0.2">
      <c r="A215" s="218" t="s">
        <v>199</v>
      </c>
      <c r="B215" s="276"/>
      <c r="C215" s="276"/>
      <c r="D215" s="276"/>
      <c r="E215" s="276"/>
      <c r="F215" s="276"/>
      <c r="G215" s="276"/>
      <c r="H215" s="276"/>
      <c r="I215" s="275"/>
      <c r="J215" s="275"/>
      <c r="K215" s="275"/>
      <c r="L215" s="275"/>
      <c r="M215" s="275"/>
      <c r="N215" s="275"/>
      <c r="O215" s="275"/>
      <c r="P215" s="275"/>
      <c r="Q215" s="275"/>
      <c r="R215" s="275"/>
      <c r="S215" s="359"/>
      <c r="X215" s="65"/>
    </row>
    <row r="216" spans="1:24" x14ac:dyDescent="0.2">
      <c r="A216" s="218" t="s">
        <v>200</v>
      </c>
      <c r="B216" s="276"/>
      <c r="C216" s="276"/>
      <c r="D216" s="276"/>
      <c r="E216" s="276"/>
      <c r="F216" s="276"/>
      <c r="G216" s="276"/>
      <c r="H216" s="276"/>
      <c r="I216" s="275"/>
      <c r="J216" s="275"/>
      <c r="K216" s="275"/>
      <c r="L216" s="275"/>
      <c r="M216" s="275"/>
      <c r="N216" s="275"/>
      <c r="O216" s="275"/>
      <c r="P216" s="275"/>
      <c r="Q216" s="275"/>
      <c r="R216" s="275"/>
      <c r="S216" s="359"/>
      <c r="T216" s="274">
        <v>1920</v>
      </c>
      <c r="U216" s="274">
        <f>U219</f>
        <v>1946</v>
      </c>
      <c r="V216" s="274">
        <v>1949</v>
      </c>
      <c r="X216" s="65"/>
    </row>
    <row r="217" spans="1:24" x14ac:dyDescent="0.2">
      <c r="A217" s="218" t="s">
        <v>201</v>
      </c>
      <c r="B217" s="276"/>
      <c r="C217" s="276"/>
      <c r="D217" s="276"/>
      <c r="E217" s="276"/>
      <c r="F217" s="276"/>
      <c r="G217" s="276"/>
      <c r="H217" s="276"/>
      <c r="I217" s="275"/>
      <c r="J217" s="275"/>
      <c r="K217" s="275"/>
      <c r="L217" s="275"/>
      <c r="M217" s="275"/>
      <c r="N217" s="275"/>
      <c r="O217" s="275"/>
      <c r="P217" s="275"/>
      <c r="Q217" s="275"/>
      <c r="R217" s="275"/>
      <c r="S217" s="359"/>
      <c r="X217" s="65"/>
    </row>
    <row r="218" spans="1:24" x14ac:dyDescent="0.2">
      <c r="A218" s="218" t="s">
        <v>202</v>
      </c>
      <c r="B218" s="276"/>
      <c r="C218" s="276"/>
      <c r="D218" s="276"/>
      <c r="E218" s="276"/>
      <c r="F218" s="276"/>
      <c r="G218" s="276"/>
      <c r="H218" s="276"/>
      <c r="I218" s="275"/>
      <c r="J218" s="275"/>
      <c r="K218" s="275"/>
      <c r="L218" s="275"/>
      <c r="M218" s="275"/>
      <c r="N218" s="275"/>
      <c r="O218" s="275"/>
      <c r="P218" s="275"/>
      <c r="Q218" s="275"/>
      <c r="R218" s="275"/>
      <c r="S218" s="359"/>
      <c r="X218" s="65"/>
    </row>
    <row r="219" spans="1:24" x14ac:dyDescent="0.2">
      <c r="A219" s="218" t="s">
        <v>203</v>
      </c>
      <c r="B219" s="276"/>
      <c r="C219" s="276"/>
      <c r="D219" s="276"/>
      <c r="E219" s="276"/>
      <c r="F219" s="276"/>
      <c r="G219" s="276"/>
      <c r="H219" s="276"/>
      <c r="I219" s="275"/>
      <c r="J219" s="275"/>
      <c r="K219" s="275"/>
      <c r="L219" s="354">
        <v>1483</v>
      </c>
      <c r="M219" s="354">
        <v>1591</v>
      </c>
      <c r="N219" s="354">
        <v>1611</v>
      </c>
      <c r="O219" s="354">
        <v>1658</v>
      </c>
      <c r="P219" s="354">
        <v>1736</v>
      </c>
      <c r="Q219" s="354">
        <v>1796</v>
      </c>
      <c r="R219" s="274">
        <f>[16]Sheet1!$D$7</f>
        <v>1904</v>
      </c>
      <c r="S219" s="357">
        <f>[17]Sheet1!$E$8</f>
        <v>1915</v>
      </c>
      <c r="T219" s="274">
        <v>1920</v>
      </c>
      <c r="U219" s="274">
        <v>1946</v>
      </c>
      <c r="V219" s="274">
        <v>1949</v>
      </c>
      <c r="W219" s="369">
        <f>'Rate Class Customer Model'!G20</f>
        <v>2002.9905850782741</v>
      </c>
      <c r="X219" s="369">
        <f>'Rate Class Customer Model'!G21</f>
        <v>2058.4768003654217</v>
      </c>
    </row>
    <row r="220" spans="1:24" x14ac:dyDescent="0.2">
      <c r="A220" s="218"/>
      <c r="B220" s="218"/>
      <c r="C220" s="218"/>
      <c r="D220" s="218"/>
      <c r="E220" s="218"/>
      <c r="F220" s="265"/>
      <c r="G220" s="212"/>
      <c r="I220" s="65"/>
      <c r="R220" s="219"/>
      <c r="W220" s="65"/>
      <c r="X220" s="65"/>
    </row>
    <row r="221" spans="1:24" ht="13.5" thickBot="1" x14ac:dyDescent="0.25">
      <c r="A221" s="218" t="s">
        <v>9</v>
      </c>
      <c r="B221" s="220">
        <f t="shared" ref="B221:X221" si="28">SUM(B208:B220)</f>
        <v>0</v>
      </c>
      <c r="C221" s="220">
        <f t="shared" si="28"/>
        <v>0</v>
      </c>
      <c r="D221" s="220">
        <f t="shared" si="28"/>
        <v>0</v>
      </c>
      <c r="E221" s="220">
        <f t="shared" si="28"/>
        <v>0</v>
      </c>
      <c r="F221" s="220">
        <f t="shared" si="28"/>
        <v>0</v>
      </c>
      <c r="G221" s="220">
        <f t="shared" si="28"/>
        <v>0</v>
      </c>
      <c r="H221" s="220">
        <f t="shared" si="28"/>
        <v>0</v>
      </c>
      <c r="I221" s="220">
        <f t="shared" si="28"/>
        <v>0</v>
      </c>
      <c r="J221" s="220">
        <f t="shared" si="28"/>
        <v>0</v>
      </c>
      <c r="K221" s="220">
        <f t="shared" si="28"/>
        <v>0</v>
      </c>
      <c r="L221" s="220">
        <f t="shared" si="28"/>
        <v>1483</v>
      </c>
      <c r="M221" s="220">
        <f t="shared" si="28"/>
        <v>1591</v>
      </c>
      <c r="N221" s="220">
        <f t="shared" si="28"/>
        <v>1611</v>
      </c>
      <c r="O221" s="220">
        <f t="shared" si="28"/>
        <v>1658</v>
      </c>
      <c r="P221" s="220">
        <f t="shared" si="28"/>
        <v>1736</v>
      </c>
      <c r="Q221" s="220">
        <f t="shared" si="28"/>
        <v>1796</v>
      </c>
      <c r="R221" s="220">
        <f t="shared" si="28"/>
        <v>1904</v>
      </c>
      <c r="S221" s="220">
        <f t="shared" si="28"/>
        <v>1915</v>
      </c>
      <c r="T221" s="220">
        <f t="shared" si="28"/>
        <v>7680</v>
      </c>
      <c r="U221" s="220">
        <f t="shared" si="28"/>
        <v>7758</v>
      </c>
      <c r="V221" s="220">
        <f t="shared" si="28"/>
        <v>7790</v>
      </c>
      <c r="W221" s="220">
        <f t="shared" si="28"/>
        <v>2002.9905850782741</v>
      </c>
      <c r="X221" s="220">
        <f t="shared" si="28"/>
        <v>2058.4768003654217</v>
      </c>
    </row>
    <row r="222" spans="1:24" ht="13.5" thickTop="1" x14ac:dyDescent="0.2">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row>
    <row r="223" spans="1:24" x14ac:dyDescent="0.2">
      <c r="A223" s="223" t="s">
        <v>325</v>
      </c>
      <c r="B223" s="223"/>
      <c r="C223" s="223"/>
      <c r="D223" s="223"/>
      <c r="E223" s="223"/>
      <c r="F223" s="217"/>
      <c r="G223" s="217"/>
    </row>
    <row r="224" spans="1:24" x14ac:dyDescent="0.2">
      <c r="A224" s="352" t="s">
        <v>294</v>
      </c>
      <c r="B224" s="353"/>
      <c r="C224" s="353"/>
      <c r="D224" s="353"/>
      <c r="E224" s="214"/>
      <c r="F224" s="215"/>
      <c r="G224" s="215"/>
    </row>
    <row r="225" spans="1:24" x14ac:dyDescent="0.2">
      <c r="A225" s="216" t="s">
        <v>192</v>
      </c>
      <c r="B225" s="216">
        <v>1992</v>
      </c>
      <c r="C225" s="216">
        <v>1993</v>
      </c>
      <c r="D225" s="216">
        <v>1994</v>
      </c>
      <c r="E225" s="216">
        <v>1995</v>
      </c>
      <c r="F225" s="216">
        <v>1996</v>
      </c>
      <c r="G225" s="216">
        <v>1997</v>
      </c>
      <c r="H225" s="216">
        <v>1998</v>
      </c>
      <c r="I225" s="216">
        <v>1999</v>
      </c>
      <c r="J225" s="216">
        <v>2000</v>
      </c>
      <c r="K225" s="216">
        <v>2001</v>
      </c>
      <c r="L225" s="216">
        <v>2002</v>
      </c>
      <c r="M225" s="216">
        <v>2003</v>
      </c>
      <c r="N225" s="216">
        <v>2004</v>
      </c>
      <c r="O225" s="216">
        <v>2005</v>
      </c>
      <c r="P225" s="216">
        <v>2006</v>
      </c>
      <c r="Q225" s="216">
        <v>2007</v>
      </c>
      <c r="R225" s="216">
        <v>2008</v>
      </c>
      <c r="S225" s="216">
        <v>2009</v>
      </c>
      <c r="T225" s="216">
        <v>2010</v>
      </c>
      <c r="U225" s="216">
        <v>2011</v>
      </c>
      <c r="V225" s="216">
        <v>2012</v>
      </c>
      <c r="W225" s="216">
        <v>2013</v>
      </c>
      <c r="X225" s="216">
        <v>2014</v>
      </c>
    </row>
    <row r="226" spans="1:24" x14ac:dyDescent="0.2">
      <c r="A226" s="214"/>
      <c r="B226" s="214"/>
      <c r="C226" s="214"/>
      <c r="D226" s="214"/>
      <c r="E226" s="214"/>
      <c r="F226" s="217"/>
      <c r="G226" s="217"/>
      <c r="S226" s="213"/>
    </row>
    <row r="227" spans="1:24" x14ac:dyDescent="0.2">
      <c r="A227" s="218"/>
      <c r="B227" s="218"/>
      <c r="C227" s="218"/>
      <c r="D227" s="218"/>
      <c r="E227" s="218"/>
      <c r="F227" s="217"/>
      <c r="G227" s="217"/>
      <c r="H227" s="217"/>
      <c r="I227" s="217"/>
    </row>
    <row r="228" spans="1:24" x14ac:dyDescent="0.2">
      <c r="A228" s="218" t="s">
        <v>193</v>
      </c>
      <c r="B228" s="276"/>
      <c r="C228" s="276"/>
      <c r="D228" s="276"/>
      <c r="E228" s="276"/>
      <c r="F228" s="276"/>
      <c r="G228" s="276"/>
      <c r="H228" s="276"/>
      <c r="I228" s="276"/>
      <c r="J228" s="276"/>
      <c r="K228" s="276"/>
      <c r="L228" s="276"/>
      <c r="M228" s="276"/>
      <c r="N228" s="276"/>
      <c r="O228" s="276"/>
      <c r="P228" s="276"/>
      <c r="Q228" s="276"/>
      <c r="R228" s="276"/>
      <c r="S228" s="407"/>
      <c r="T228" s="275"/>
      <c r="U228" s="275"/>
      <c r="V228" s="277"/>
      <c r="W228" s="277"/>
      <c r="X228" s="277"/>
    </row>
    <row r="229" spans="1:24" x14ac:dyDescent="0.2">
      <c r="A229" s="218" t="s">
        <v>194</v>
      </c>
      <c r="B229" s="276"/>
      <c r="C229" s="276"/>
      <c r="D229" s="276"/>
      <c r="E229" s="276"/>
      <c r="F229" s="276"/>
      <c r="G229" s="276"/>
      <c r="H229" s="276"/>
      <c r="I229" s="275"/>
      <c r="J229" s="275"/>
      <c r="K229" s="275"/>
      <c r="L229" s="275"/>
      <c r="M229" s="275"/>
      <c r="N229" s="275"/>
      <c r="O229" s="275"/>
      <c r="P229" s="275"/>
      <c r="Q229" s="275"/>
      <c r="R229" s="275"/>
      <c r="S229" s="407"/>
      <c r="T229" s="275"/>
      <c r="U229" s="275"/>
      <c r="V229" s="275"/>
      <c r="W229" s="277"/>
      <c r="X229" s="277"/>
    </row>
    <row r="230" spans="1:24" x14ac:dyDescent="0.2">
      <c r="A230" s="218" t="s">
        <v>195</v>
      </c>
      <c r="B230" s="276"/>
      <c r="C230" s="276"/>
      <c r="D230" s="276"/>
      <c r="E230" s="276"/>
      <c r="F230" s="276"/>
      <c r="G230" s="276"/>
      <c r="H230" s="276"/>
      <c r="I230" s="275"/>
      <c r="J230" s="275"/>
      <c r="K230" s="275"/>
      <c r="L230" s="275"/>
      <c r="M230" s="275"/>
      <c r="N230" s="275"/>
      <c r="O230" s="275"/>
      <c r="P230" s="275"/>
      <c r="Q230" s="275"/>
      <c r="R230" s="275"/>
      <c r="S230" s="407"/>
      <c r="T230" s="275"/>
      <c r="U230" s="275"/>
      <c r="V230" s="275"/>
      <c r="W230" s="277"/>
      <c r="X230" s="277"/>
    </row>
    <row r="231" spans="1:24" x14ac:dyDescent="0.2">
      <c r="A231" s="218" t="s">
        <v>196</v>
      </c>
      <c r="B231" s="276"/>
      <c r="C231" s="276"/>
      <c r="D231" s="276"/>
      <c r="E231" s="276"/>
      <c r="F231" s="276"/>
      <c r="G231" s="276"/>
      <c r="H231" s="276"/>
      <c r="I231" s="275"/>
      <c r="J231" s="275"/>
      <c r="K231" s="275"/>
      <c r="L231" s="275"/>
      <c r="M231" s="275"/>
      <c r="N231" s="275"/>
      <c r="O231" s="275"/>
      <c r="P231" s="275"/>
      <c r="Q231" s="275"/>
      <c r="R231" s="275"/>
      <c r="S231" s="407"/>
      <c r="T231" s="275"/>
      <c r="U231" s="275"/>
      <c r="V231" s="275"/>
      <c r="W231" s="277"/>
      <c r="X231" s="277"/>
    </row>
    <row r="232" spans="1:24" x14ac:dyDescent="0.2">
      <c r="A232" s="218" t="s">
        <v>86</v>
      </c>
      <c r="B232" s="276"/>
      <c r="C232" s="276"/>
      <c r="D232" s="276"/>
      <c r="E232" s="276"/>
      <c r="F232" s="276"/>
      <c r="G232" s="276"/>
      <c r="H232" s="276"/>
      <c r="I232" s="275"/>
      <c r="J232" s="275"/>
      <c r="K232" s="275"/>
      <c r="L232" s="275"/>
      <c r="M232" s="275"/>
      <c r="N232" s="275"/>
      <c r="O232" s="275"/>
      <c r="P232" s="275"/>
      <c r="Q232" s="275"/>
      <c r="R232" s="275"/>
      <c r="S232" s="407"/>
      <c r="T232" s="275"/>
      <c r="U232" s="275"/>
      <c r="V232" s="275"/>
      <c r="W232" s="277"/>
      <c r="X232" s="277"/>
    </row>
    <row r="233" spans="1:24" x14ac:dyDescent="0.2">
      <c r="A233" s="218" t="s">
        <v>197</v>
      </c>
      <c r="B233" s="276"/>
      <c r="C233" s="276"/>
      <c r="D233" s="276"/>
      <c r="E233" s="276"/>
      <c r="F233" s="276"/>
      <c r="G233" s="276"/>
      <c r="H233" s="276"/>
      <c r="I233" s="275"/>
      <c r="J233" s="275"/>
      <c r="K233" s="275"/>
      <c r="L233" s="275"/>
      <c r="M233" s="275"/>
      <c r="N233" s="275"/>
      <c r="O233" s="275"/>
      <c r="P233" s="275"/>
      <c r="Q233" s="275"/>
      <c r="R233" s="275"/>
      <c r="S233" s="407"/>
      <c r="T233" s="767" t="s">
        <v>326</v>
      </c>
      <c r="U233" s="767"/>
      <c r="V233" s="275"/>
      <c r="W233" s="277"/>
      <c r="X233" s="277"/>
    </row>
    <row r="234" spans="1:24" x14ac:dyDescent="0.2">
      <c r="A234" s="218" t="s">
        <v>198</v>
      </c>
      <c r="B234" s="276"/>
      <c r="C234" s="276"/>
      <c r="D234" s="276"/>
      <c r="E234" s="276"/>
      <c r="F234" s="276"/>
      <c r="G234" s="276"/>
      <c r="H234" s="276"/>
      <c r="I234" s="275"/>
      <c r="J234" s="275"/>
      <c r="K234" s="275"/>
      <c r="L234" s="275"/>
      <c r="M234" s="275"/>
      <c r="N234" s="275"/>
      <c r="O234" s="275"/>
      <c r="P234" s="275"/>
      <c r="Q234" s="275"/>
      <c r="R234" s="275"/>
      <c r="S234" s="407"/>
      <c r="T234" s="275"/>
      <c r="U234" s="275"/>
      <c r="V234" s="275"/>
      <c r="W234" s="277"/>
      <c r="X234" s="277"/>
    </row>
    <row r="235" spans="1:24" x14ac:dyDescent="0.2">
      <c r="A235" s="218" t="s">
        <v>199</v>
      </c>
      <c r="B235" s="276"/>
      <c r="C235" s="276"/>
      <c r="D235" s="276"/>
      <c r="E235" s="276"/>
      <c r="F235" s="276"/>
      <c r="G235" s="276"/>
      <c r="H235" s="276"/>
      <c r="I235" s="275"/>
      <c r="J235" s="275"/>
      <c r="K235" s="275"/>
      <c r="L235" s="275"/>
      <c r="M235" s="275"/>
      <c r="N235" s="275"/>
      <c r="O235" s="275"/>
      <c r="P235" s="275"/>
      <c r="Q235" s="275"/>
      <c r="R235" s="275"/>
      <c r="S235" s="407"/>
      <c r="T235" s="275"/>
      <c r="U235" s="275"/>
      <c r="V235" s="275"/>
      <c r="W235" s="277"/>
      <c r="X235" s="277"/>
    </row>
    <row r="236" spans="1:24" x14ac:dyDescent="0.2">
      <c r="A236" s="218" t="s">
        <v>200</v>
      </c>
      <c r="B236" s="276"/>
      <c r="C236" s="276"/>
      <c r="D236" s="276"/>
      <c r="E236" s="276"/>
      <c r="F236" s="276"/>
      <c r="G236" s="276"/>
      <c r="H236" s="276"/>
      <c r="I236" s="275"/>
      <c r="J236" s="275"/>
      <c r="K236" s="275"/>
      <c r="L236" s="275"/>
      <c r="M236" s="275"/>
      <c r="N236" s="275"/>
      <c r="O236" s="275"/>
      <c r="P236" s="275"/>
      <c r="Q236" s="275"/>
      <c r="R236" s="275"/>
      <c r="S236" s="407"/>
      <c r="T236" s="275"/>
      <c r="U236" s="275"/>
      <c r="V236" s="275"/>
      <c r="W236" s="277"/>
      <c r="X236" s="277"/>
    </row>
    <row r="237" spans="1:24" x14ac:dyDescent="0.2">
      <c r="A237" s="218" t="s">
        <v>201</v>
      </c>
      <c r="B237" s="276"/>
      <c r="C237" s="276"/>
      <c r="D237" s="276"/>
      <c r="E237" s="276"/>
      <c r="F237" s="276"/>
      <c r="G237" s="276"/>
      <c r="H237" s="276"/>
      <c r="I237" s="275"/>
      <c r="J237" s="275"/>
      <c r="K237" s="275"/>
      <c r="L237" s="275"/>
      <c r="M237" s="275"/>
      <c r="N237" s="275"/>
      <c r="O237" s="275"/>
      <c r="P237" s="275"/>
      <c r="Q237" s="275"/>
      <c r="R237" s="275"/>
      <c r="S237" s="407"/>
      <c r="T237" s="275"/>
      <c r="U237" s="275"/>
      <c r="V237" s="275"/>
      <c r="W237" s="277"/>
      <c r="X237" s="277"/>
    </row>
    <row r="238" spans="1:24" x14ac:dyDescent="0.2">
      <c r="A238" s="218" t="s">
        <v>202</v>
      </c>
      <c r="B238" s="276"/>
      <c r="C238" s="276"/>
      <c r="D238" s="276"/>
      <c r="E238" s="276"/>
      <c r="F238" s="276"/>
      <c r="G238" s="276"/>
      <c r="H238" s="276"/>
      <c r="I238" s="275"/>
      <c r="J238" s="275"/>
      <c r="K238" s="275"/>
      <c r="L238" s="275"/>
      <c r="M238" s="275"/>
      <c r="N238" s="275"/>
      <c r="O238" s="275"/>
      <c r="P238" s="275"/>
      <c r="Q238" s="275"/>
      <c r="R238" s="275"/>
      <c r="S238" s="407"/>
      <c r="T238" s="275"/>
      <c r="U238" s="275"/>
      <c r="V238" s="275"/>
      <c r="W238" s="277"/>
      <c r="X238" s="277"/>
    </row>
    <row r="239" spans="1:24" x14ac:dyDescent="0.2">
      <c r="A239" s="218" t="s">
        <v>203</v>
      </c>
      <c r="B239" s="276"/>
      <c r="C239" s="276"/>
      <c r="D239" s="276"/>
      <c r="E239" s="276"/>
      <c r="F239" s="276"/>
      <c r="G239" s="276"/>
      <c r="H239" s="276"/>
      <c r="I239" s="275"/>
      <c r="J239" s="275"/>
      <c r="K239" s="275"/>
      <c r="L239" s="354">
        <v>110</v>
      </c>
      <c r="M239" s="354">
        <v>108</v>
      </c>
      <c r="N239" s="354">
        <v>105</v>
      </c>
      <c r="O239" s="354">
        <v>80</v>
      </c>
      <c r="P239" s="354">
        <v>77</v>
      </c>
      <c r="Q239" s="354">
        <v>76</v>
      </c>
      <c r="R239" s="354">
        <f>[16]Sheet1!$D$8</f>
        <v>71</v>
      </c>
      <c r="S239" s="407"/>
      <c r="T239" s="275"/>
      <c r="U239" s="275"/>
      <c r="V239" s="275"/>
      <c r="W239" s="277"/>
      <c r="X239" s="277"/>
    </row>
    <row r="240" spans="1:24" x14ac:dyDescent="0.2">
      <c r="A240" s="218"/>
      <c r="B240" s="218"/>
      <c r="C240" s="218"/>
      <c r="D240" s="218"/>
      <c r="E240" s="218"/>
      <c r="F240" s="265"/>
      <c r="G240" s="212"/>
      <c r="I240" s="65"/>
      <c r="R240" s="219"/>
      <c r="W240" s="65"/>
      <c r="X240" s="65"/>
    </row>
    <row r="241" spans="1:24" ht="13.5" thickBot="1" x14ac:dyDescent="0.25">
      <c r="A241" s="218" t="s">
        <v>9</v>
      </c>
      <c r="B241" s="220">
        <f t="shared" ref="B241:X241" si="29">SUM(B228:B240)</f>
        <v>0</v>
      </c>
      <c r="C241" s="220">
        <f t="shared" si="29"/>
        <v>0</v>
      </c>
      <c r="D241" s="220">
        <f t="shared" si="29"/>
        <v>0</v>
      </c>
      <c r="E241" s="220">
        <f t="shared" si="29"/>
        <v>0</v>
      </c>
      <c r="F241" s="220">
        <f t="shared" si="29"/>
        <v>0</v>
      </c>
      <c r="G241" s="220">
        <f t="shared" si="29"/>
        <v>0</v>
      </c>
      <c r="H241" s="220">
        <f t="shared" si="29"/>
        <v>0</v>
      </c>
      <c r="I241" s="220">
        <f t="shared" si="29"/>
        <v>0</v>
      </c>
      <c r="J241" s="220">
        <f t="shared" si="29"/>
        <v>0</v>
      </c>
      <c r="K241" s="220">
        <f t="shared" si="29"/>
        <v>0</v>
      </c>
      <c r="L241" s="220">
        <f t="shared" si="29"/>
        <v>110</v>
      </c>
      <c r="M241" s="220">
        <f t="shared" si="29"/>
        <v>108</v>
      </c>
      <c r="N241" s="220">
        <f t="shared" si="29"/>
        <v>105</v>
      </c>
      <c r="O241" s="220">
        <f t="shared" si="29"/>
        <v>80</v>
      </c>
      <c r="P241" s="220">
        <f t="shared" si="29"/>
        <v>77</v>
      </c>
      <c r="Q241" s="220">
        <f t="shared" si="29"/>
        <v>76</v>
      </c>
      <c r="R241" s="220">
        <f t="shared" si="29"/>
        <v>71</v>
      </c>
      <c r="S241" s="220">
        <f t="shared" si="29"/>
        <v>0</v>
      </c>
      <c r="T241" s="220">
        <f t="shared" si="29"/>
        <v>0</v>
      </c>
      <c r="U241" s="220">
        <f t="shared" si="29"/>
        <v>0</v>
      </c>
      <c r="V241" s="220">
        <f t="shared" si="29"/>
        <v>0</v>
      </c>
      <c r="W241" s="220">
        <f t="shared" si="29"/>
        <v>0</v>
      </c>
      <c r="X241" s="220">
        <f t="shared" si="29"/>
        <v>0</v>
      </c>
    </row>
    <row r="242" spans="1:24" ht="13.5" thickTop="1" x14ac:dyDescent="0.2">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row>
  </sheetData>
  <mergeCells count="4">
    <mergeCell ref="C15:C17"/>
    <mergeCell ref="G193:I193"/>
    <mergeCell ref="F213:K213"/>
    <mergeCell ref="T233:U233"/>
  </mergeCells>
  <pageMargins left="0.7" right="0.7" top="0.75" bottom="0.75" header="0.3" footer="0.3"/>
  <pageSetup scale="23"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X23"/>
  <sheetViews>
    <sheetView workbookViewId="0">
      <selection activeCell="F29" sqref="F29"/>
    </sheetView>
  </sheetViews>
  <sheetFormatPr defaultRowHeight="12.75" x14ac:dyDescent="0.2"/>
  <cols>
    <col min="22" max="24" width="10.5703125" bestFit="1" customWidth="1"/>
  </cols>
  <sheetData>
    <row r="1" spans="1:24" x14ac:dyDescent="0.2">
      <c r="A1" s="20" t="s">
        <v>246</v>
      </c>
      <c r="F1" s="212"/>
      <c r="G1" s="212"/>
    </row>
    <row r="2" spans="1:24" x14ac:dyDescent="0.2">
      <c r="A2" s="213" t="s">
        <v>247</v>
      </c>
      <c r="B2" s="213"/>
      <c r="E2" s="214" t="s">
        <v>248</v>
      </c>
      <c r="F2" s="278">
        <f>POWER(F4,1/F3)</f>
        <v>1.0003794256669909</v>
      </c>
      <c r="G2" s="212"/>
      <c r="J2" s="214" t="s">
        <v>248</v>
      </c>
      <c r="K2" s="278">
        <f>POWER(K4,1/K3)</f>
        <v>1.0007402607169398</v>
      </c>
      <c r="O2" s="214" t="s">
        <v>248</v>
      </c>
      <c r="P2" s="278">
        <f>POWER(P4,1/P3)</f>
        <v>1.0008777187675417</v>
      </c>
      <c r="T2" s="214" t="s">
        <v>248</v>
      </c>
      <c r="U2" s="278">
        <f>POWER(U4,1/U3)</f>
        <v>1.0009043551546704</v>
      </c>
      <c r="W2" s="214" t="s">
        <v>248</v>
      </c>
      <c r="X2" s="278">
        <f>U2</f>
        <v>1.0009043551546704</v>
      </c>
    </row>
    <row r="3" spans="1:24" x14ac:dyDescent="0.2">
      <c r="A3" s="223"/>
      <c r="B3" s="223"/>
      <c r="C3" s="223"/>
      <c r="D3" s="223"/>
      <c r="E3" s="214" t="s">
        <v>249</v>
      </c>
      <c r="F3" s="219">
        <v>59</v>
      </c>
      <c r="G3" s="217"/>
      <c r="J3" s="214" t="s">
        <v>249</v>
      </c>
      <c r="K3" s="219">
        <v>60</v>
      </c>
      <c r="O3" s="214" t="s">
        <v>249</v>
      </c>
      <c r="P3" s="219">
        <v>60</v>
      </c>
      <c r="T3" s="214" t="s">
        <v>249</v>
      </c>
      <c r="U3" s="219">
        <v>60</v>
      </c>
    </row>
    <row r="4" spans="1:24" x14ac:dyDescent="0.2">
      <c r="A4" s="264"/>
      <c r="B4" s="214"/>
      <c r="C4" s="214"/>
      <c r="D4" s="214"/>
      <c r="E4" s="214" t="s">
        <v>250</v>
      </c>
      <c r="F4" s="279">
        <f>F12/B23</f>
        <v>1.0226342217072228</v>
      </c>
      <c r="G4" s="215"/>
      <c r="J4" s="214" t="s">
        <v>250</v>
      </c>
      <c r="K4" s="279">
        <f>K12/F12</f>
        <v>1.0453996071914187</v>
      </c>
      <c r="O4" s="214" t="s">
        <v>250</v>
      </c>
      <c r="P4" s="279">
        <f>P12/K12</f>
        <v>1.0540501481320905</v>
      </c>
      <c r="T4" s="214" t="s">
        <v>250</v>
      </c>
      <c r="U4" s="279">
        <f>U12/P12</f>
        <v>1.055734558168232</v>
      </c>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f>B23*POWER($F$2,7)</f>
        <v>12979.420817421558</v>
      </c>
      <c r="C8" s="219">
        <f>B19*$F$2</f>
        <v>13038.641003777104</v>
      </c>
      <c r="D8" s="219">
        <f>C19*$F$2</f>
        <v>13098.13138943671</v>
      </c>
      <c r="E8" s="219">
        <f>D19*$F$2</f>
        <v>13157.89320721757</v>
      </c>
      <c r="F8" s="219">
        <f>E19*$F$2</f>
        <v>13217.927695561755</v>
      </c>
      <c r="G8" s="219">
        <f>F19*$K$2</f>
        <v>13316.59999062315</v>
      </c>
      <c r="H8" s="219">
        <f>G19*$K$2</f>
        <v>13435.375873722112</v>
      </c>
      <c r="I8" s="219">
        <f>H19*$K$2</f>
        <v>13555.2111646591</v>
      </c>
      <c r="J8" s="219">
        <f>I19*$K$2</f>
        <v>13676.115312700567</v>
      </c>
      <c r="K8" s="219">
        <f>J19*$K$2</f>
        <v>13798.097851394608</v>
      </c>
      <c r="L8" s="219">
        <f>K19*$P$2</f>
        <v>13936.473044853634</v>
      </c>
      <c r="M8" s="219">
        <f>L19*$P$2</f>
        <v>14083.971379994846</v>
      </c>
      <c r="N8" s="219">
        <f>M19*$P$2</f>
        <v>14233.030781468937</v>
      </c>
      <c r="O8" s="219">
        <f>N19*$P$2</f>
        <v>14383.667771008804</v>
      </c>
      <c r="P8" s="219">
        <f>O19*$P$2</f>
        <v>14535.899045207083</v>
      </c>
      <c r="Q8" s="219">
        <f>P19*$U$2</f>
        <v>14692.869276749945</v>
      </c>
      <c r="R8" s="219">
        <f>Q19*$U$2</f>
        <v>14853.11563841011</v>
      </c>
      <c r="S8" s="219">
        <f>R19*$U$2</f>
        <v>15015.109711558183</v>
      </c>
      <c r="T8" s="219">
        <f>S19*$U$2</f>
        <v>15178.870557440943</v>
      </c>
      <c r="U8" s="219">
        <f>T19*$U$2</f>
        <v>15344.41744519482</v>
      </c>
      <c r="V8" s="219">
        <f>U19*$X$2</f>
        <v>15511.769854113194</v>
      </c>
      <c r="W8" s="219">
        <f>V19*$X$2</f>
        <v>15680.947475938552</v>
      </c>
      <c r="X8" s="219">
        <f>W19*$X$2</f>
        <v>15851.970217179402</v>
      </c>
    </row>
    <row r="9" spans="1:24" x14ac:dyDescent="0.2">
      <c r="A9" s="218" t="s">
        <v>194</v>
      </c>
      <c r="B9" s="219">
        <f>B8*$F$2</f>
        <v>12984.345542822364</v>
      </c>
      <c r="C9" s="219">
        <f t="shared" ref="C9:F19" si="0">C8*$F$2</f>
        <v>13043.588198836616</v>
      </c>
      <c r="D9" s="219">
        <f t="shared" si="0"/>
        <v>13103.101156675482</v>
      </c>
      <c r="E9" s="219">
        <f t="shared" si="0"/>
        <v>13162.885649623913</v>
      </c>
      <c r="F9" s="219">
        <f t="shared" si="0"/>
        <v>13222.942916593882</v>
      </c>
      <c r="G9" s="219">
        <f>G8*$K$2</f>
        <v>13326.457746479409</v>
      </c>
      <c r="H9" s="219">
        <f t="shared" ref="H9:K19" si="1">H8*$K$2</f>
        <v>13445.321554698749</v>
      </c>
      <c r="I9" s="219">
        <f t="shared" si="1"/>
        <v>13565.245554994121</v>
      </c>
      <c r="J9" s="219">
        <f t="shared" si="1"/>
        <v>13686.239203626898</v>
      </c>
      <c r="K9" s="219">
        <f>K8*$K$2</f>
        <v>13808.312041202487</v>
      </c>
      <c r="L9" s="219">
        <f t="shared" ref="L9:P19" si="2">L8*$P$2</f>
        <v>13948.705348798441</v>
      </c>
      <c r="M9" s="219">
        <f t="shared" si="2"/>
        <v>14096.333145996588</v>
      </c>
      <c r="N9" s="219">
        <f t="shared" si="2"/>
        <v>14245.523379704831</v>
      </c>
      <c r="O9" s="219">
        <f t="shared" si="2"/>
        <v>14396.292586157504</v>
      </c>
      <c r="P9" s="219">
        <f t="shared" si="2"/>
        <v>14548.657476602153</v>
      </c>
      <c r="Q9" s="219">
        <f t="shared" ref="Q9:U19" si="3">Q8*$U$2</f>
        <v>14706.156848817272</v>
      </c>
      <c r="R9" s="219">
        <f t="shared" si="3"/>
        <v>14866.548130100622</v>
      </c>
      <c r="S9" s="219">
        <f t="shared" si="3"/>
        <v>15028.688703423772</v>
      </c>
      <c r="T9" s="219">
        <f t="shared" si="3"/>
        <v>15192.597647271639</v>
      </c>
      <c r="U9" s="219">
        <f t="shared" si="3"/>
        <v>15358.294248206796</v>
      </c>
      <c r="V9" s="219">
        <f t="shared" ref="V9:X19" si="4">V8*$X$2</f>
        <v>15525.798003138822</v>
      </c>
      <c r="W9" s="219">
        <f t="shared" si="4"/>
        <v>15695.128621618533</v>
      </c>
      <c r="X9" s="219">
        <f t="shared" si="4"/>
        <v>15866.306028156989</v>
      </c>
    </row>
    <row r="10" spans="1:24" x14ac:dyDescent="0.2">
      <c r="A10" s="218" t="s">
        <v>195</v>
      </c>
      <c r="B10" s="219">
        <f t="shared" ref="B10:B19" si="5">B9*$F$2</f>
        <v>12989.272136790391</v>
      </c>
      <c r="C10" s="219">
        <f t="shared" si="0"/>
        <v>13048.537270988914</v>
      </c>
      <c r="D10" s="219">
        <f t="shared" si="0"/>
        <v>13108.072809571504</v>
      </c>
      <c r="E10" s="219">
        <f t="shared" si="0"/>
        <v>13167.879986291047</v>
      </c>
      <c r="F10" s="219">
        <f t="shared" si="0"/>
        <v>13227.960040529593</v>
      </c>
      <c r="G10" s="219">
        <f t="shared" ref="G10:G19" si="6">G9*$K$2</f>
        <v>13336.322799645086</v>
      </c>
      <c r="H10" s="219">
        <f t="shared" si="1"/>
        <v>13455.274598072316</v>
      </c>
      <c r="I10" s="219">
        <f t="shared" si="1"/>
        <v>13575.287373394125</v>
      </c>
      <c r="J10" s="219">
        <f t="shared" si="1"/>
        <v>13696.370588871983</v>
      </c>
      <c r="K10" s="219">
        <f t="shared" si="1"/>
        <v>13818.533792173836</v>
      </c>
      <c r="L10" s="219">
        <f t="shared" si="2"/>
        <v>13960.948389265992</v>
      </c>
      <c r="M10" s="219">
        <f t="shared" si="2"/>
        <v>14108.705762152351</v>
      </c>
      <c r="N10" s="219">
        <f t="shared" si="2"/>
        <v>14258.026942928653</v>
      </c>
      <c r="O10" s="219">
        <f t="shared" si="2"/>
        <v>14408.928482343395</v>
      </c>
      <c r="P10" s="219">
        <f t="shared" si="2"/>
        <v>14561.427106311903</v>
      </c>
      <c r="Q10" s="219">
        <f t="shared" si="3"/>
        <v>14719.456437568891</v>
      </c>
      <c r="R10" s="219">
        <f t="shared" si="3"/>
        <v>14879.992769534234</v>
      </c>
      <c r="S10" s="219">
        <f t="shared" si="3"/>
        <v>15042.279975520649</v>
      </c>
      <c r="T10" s="219">
        <f t="shared" si="3"/>
        <v>15206.337151266782</v>
      </c>
      <c r="U10" s="219">
        <f t="shared" si="3"/>
        <v>15372.183600777105</v>
      </c>
      <c r="V10" s="219">
        <f t="shared" si="4"/>
        <v>15539.83883859333</v>
      </c>
      <c r="W10" s="219">
        <f t="shared" si="4"/>
        <v>15709.322592090708</v>
      </c>
      <c r="X10" s="219">
        <f t="shared" si="4"/>
        <v>15880.654803799131</v>
      </c>
    </row>
    <row r="11" spans="1:24" x14ac:dyDescent="0.2">
      <c r="A11" s="218" t="s">
        <v>196</v>
      </c>
      <c r="B11" s="219">
        <f t="shared" si="5"/>
        <v>12994.200600034619</v>
      </c>
      <c r="C11" s="219">
        <f t="shared" si="0"/>
        <v>13053.488220946216</v>
      </c>
      <c r="D11" s="219">
        <f t="shared" si="0"/>
        <v>13113.04634884024</v>
      </c>
      <c r="E11" s="219">
        <f t="shared" si="0"/>
        <v>13172.876217937703</v>
      </c>
      <c r="F11" s="219">
        <f t="shared" si="0"/>
        <v>13232.979068090901</v>
      </c>
      <c r="G11" s="219">
        <f t="shared" si="6"/>
        <v>13346.195155522091</v>
      </c>
      <c r="H11" s="219">
        <f t="shared" si="1"/>
        <v>13465.235009292906</v>
      </c>
      <c r="I11" s="219">
        <f t="shared" si="1"/>
        <v>13585.336625357817</v>
      </c>
      <c r="J11" s="219">
        <f t="shared" si="1"/>
        <v>13706.509473983575</v>
      </c>
      <c r="K11" s="219">
        <f t="shared" si="1"/>
        <v>13828.763109905887</v>
      </c>
      <c r="L11" s="219">
        <f t="shared" si="2"/>
        <v>13973.202175679931</v>
      </c>
      <c r="M11" s="219">
        <f t="shared" si="2"/>
        <v>14121.089237985516</v>
      </c>
      <c r="N11" s="219">
        <f t="shared" si="2"/>
        <v>14270.541480764577</v>
      </c>
      <c r="O11" s="219">
        <f t="shared" si="2"/>
        <v>14421.575469292515</v>
      </c>
      <c r="P11" s="219">
        <f t="shared" si="2"/>
        <v>14574.207944165304</v>
      </c>
      <c r="Q11" s="219">
        <f t="shared" si="3"/>
        <v>14732.768053872152</v>
      </c>
      <c r="R11" s="219">
        <f t="shared" si="3"/>
        <v>14893.44956769682</v>
      </c>
      <c r="S11" s="219">
        <f t="shared" si="3"/>
        <v>15055.883538954506</v>
      </c>
      <c r="T11" s="219">
        <f t="shared" si="3"/>
        <v>15220.089080653186</v>
      </c>
      <c r="U11" s="219">
        <f t="shared" si="3"/>
        <v>15386.085514255008</v>
      </c>
      <c r="V11" s="219">
        <f t="shared" si="4"/>
        <v>15553.892371949758</v>
      </c>
      <c r="W11" s="219">
        <f t="shared" si="4"/>
        <v>15723.529398953244</v>
      </c>
      <c r="X11" s="219">
        <f t="shared" si="4"/>
        <v>15895.016555830487</v>
      </c>
    </row>
    <row r="12" spans="1:24" ht="15" x14ac:dyDescent="0.25">
      <c r="A12" s="218" t="s">
        <v>86</v>
      </c>
      <c r="B12" s="219">
        <f t="shared" si="5"/>
        <v>12999.130933264301</v>
      </c>
      <c r="C12" s="219">
        <f t="shared" si="0"/>
        <v>13058.441049421006</v>
      </c>
      <c r="D12" s="219">
        <f t="shared" si="0"/>
        <v>13118.021775197431</v>
      </c>
      <c r="E12" s="219">
        <f t="shared" si="0"/>
        <v>13177.874345282882</v>
      </c>
      <c r="F12" s="280">
        <v>13238</v>
      </c>
      <c r="G12" s="219">
        <f t="shared" si="6"/>
        <v>13356.074819516336</v>
      </c>
      <c r="H12" s="219">
        <f t="shared" si="1"/>
        <v>13475.202793814648</v>
      </c>
      <c r="I12" s="219">
        <f t="shared" si="1"/>
        <v>13595.393316387972</v>
      </c>
      <c r="J12" s="219">
        <f t="shared" si="1"/>
        <v>13716.655864513528</v>
      </c>
      <c r="K12" s="280">
        <v>13839</v>
      </c>
      <c r="L12" s="219">
        <f t="shared" si="2"/>
        <v>13985.46671747218</v>
      </c>
      <c r="M12" s="219">
        <f t="shared" si="2"/>
        <v>14133.483583027828</v>
      </c>
      <c r="N12" s="219">
        <f t="shared" si="2"/>
        <v>14283.067002845228</v>
      </c>
      <c r="O12" s="219">
        <f t="shared" si="2"/>
        <v>14434.233556739433</v>
      </c>
      <c r="P12" s="280">
        <v>14587</v>
      </c>
      <c r="Q12" s="219">
        <f t="shared" si="3"/>
        <v>14746.091708604234</v>
      </c>
      <c r="R12" s="219">
        <f t="shared" si="3"/>
        <v>14906.918535584189</v>
      </c>
      <c r="S12" s="219">
        <f t="shared" si="3"/>
        <v>15069.499404841075</v>
      </c>
      <c r="T12" s="219">
        <f t="shared" si="3"/>
        <v>15233.853446667817</v>
      </c>
      <c r="U12" s="280">
        <v>15400</v>
      </c>
      <c r="V12" s="219">
        <f t="shared" si="4"/>
        <v>15567.958614691519</v>
      </c>
      <c r="W12" s="219">
        <f t="shared" si="4"/>
        <v>15737.749053814798</v>
      </c>
      <c r="X12" s="219">
        <f t="shared" si="4"/>
        <v>15909.391295986323</v>
      </c>
    </row>
    <row r="13" spans="1:24" x14ac:dyDescent="0.2">
      <c r="A13" s="218" t="s">
        <v>197</v>
      </c>
      <c r="B13" s="219">
        <f t="shared" si="5"/>
        <v>13004.063137188958</v>
      </c>
      <c r="C13" s="219">
        <f t="shared" si="0"/>
        <v>13063.395757126043</v>
      </c>
      <c r="D13" s="219">
        <f t="shared" si="0"/>
        <v>13122.999089359086</v>
      </c>
      <c r="E13" s="219">
        <f t="shared" si="0"/>
        <v>13182.874369045863</v>
      </c>
      <c r="F13" s="219">
        <f>F12*$K$2</f>
        <v>13247.79957137085</v>
      </c>
      <c r="G13" s="219">
        <f t="shared" si="6"/>
        <v>13365.961797037733</v>
      </c>
      <c r="H13" s="219">
        <f t="shared" si="1"/>
        <v>13485.177957095706</v>
      </c>
      <c r="I13" s="219">
        <f t="shared" si="1"/>
        <v>13605.45745199144</v>
      </c>
      <c r="J13" s="219">
        <f t="shared" si="1"/>
        <v>13726.80976601781</v>
      </c>
      <c r="K13" s="219">
        <f>K12*$P$2</f>
        <v>13851.146750024011</v>
      </c>
      <c r="L13" s="219">
        <f t="shared" si="2"/>
        <v>13997.742024082936</v>
      </c>
      <c r="M13" s="219">
        <f t="shared" si="2"/>
        <v>14145.888806819394</v>
      </c>
      <c r="N13" s="219">
        <f t="shared" si="2"/>
        <v>14295.60351881168</v>
      </c>
      <c r="O13" s="219">
        <f t="shared" si="2"/>
        <v>14446.902754427263</v>
      </c>
      <c r="P13" s="219">
        <f>P12*$U$2</f>
        <v>14600.191828641176</v>
      </c>
      <c r="Q13" s="219">
        <f t="shared" si="3"/>
        <v>14759.427412652152</v>
      </c>
      <c r="R13" s="219">
        <f t="shared" si="3"/>
        <v>14920.399684202095</v>
      </c>
      <c r="S13" s="219">
        <f t="shared" si="3"/>
        <v>15083.127584306145</v>
      </c>
      <c r="T13" s="219">
        <f t="shared" si="3"/>
        <v>15247.630260557804</v>
      </c>
      <c r="U13" s="219">
        <f>U12*$X$2</f>
        <v>15413.927069381924</v>
      </c>
      <c r="V13" s="219">
        <f t="shared" si="4"/>
        <v>15582.037578312409</v>
      </c>
      <c r="W13" s="219">
        <f t="shared" si="4"/>
        <v>15751.981568294523</v>
      </c>
      <c r="X13" s="219">
        <f t="shared" si="4"/>
        <v>15923.779036012516</v>
      </c>
    </row>
    <row r="14" spans="1:24" x14ac:dyDescent="0.2">
      <c r="A14" s="218" t="s">
        <v>198</v>
      </c>
      <c r="B14" s="219">
        <f t="shared" si="5"/>
        <v>13008.997212518378</v>
      </c>
      <c r="C14" s="219">
        <f t="shared" si="0"/>
        <v>13068.352344774357</v>
      </c>
      <c r="D14" s="219">
        <f t="shared" si="0"/>
        <v>13127.978292041487</v>
      </c>
      <c r="E14" s="219">
        <f t="shared" si="0"/>
        <v>13187.876289946196</v>
      </c>
      <c r="F14" s="219">
        <f t="shared" ref="F14:F19" si="7">F13*$K$2</f>
        <v>13257.606396979427</v>
      </c>
      <c r="G14" s="219">
        <f t="shared" si="6"/>
        <v>13375.856093500199</v>
      </c>
      <c r="H14" s="219">
        <f t="shared" si="1"/>
        <v>13495.160504598287</v>
      </c>
      <c r="I14" s="219">
        <f t="shared" si="1"/>
        <v>13615.529037679145</v>
      </c>
      <c r="J14" s="219">
        <f t="shared" si="1"/>
        <v>13736.971184056498</v>
      </c>
      <c r="K14" s="219">
        <f t="shared" ref="K14:K19" si="8">K13*$P$2</f>
        <v>13863.304161478482</v>
      </c>
      <c r="L14" s="219">
        <f t="shared" si="2"/>
        <v>14010.028104960682</v>
      </c>
      <c r="M14" s="219">
        <f t="shared" si="2"/>
        <v>14158.304918908698</v>
      </c>
      <c r="N14" s="219">
        <f t="shared" si="2"/>
        <v>14308.151038313477</v>
      </c>
      <c r="O14" s="219">
        <f t="shared" si="2"/>
        <v>14459.583072107675</v>
      </c>
      <c r="P14" s="219">
        <f t="shared" ref="P14:P19" si="9">P13*$U$2</f>
        <v>14613.395587380584</v>
      </c>
      <c r="Q14" s="219">
        <f t="shared" si="3"/>
        <v>14772.775176912768</v>
      </c>
      <c r="R14" s="219">
        <f t="shared" si="3"/>
        <v>14933.893024566245</v>
      </c>
      <c r="S14" s="219">
        <f t="shared" si="3"/>
        <v>15096.768088485564</v>
      </c>
      <c r="T14" s="219">
        <f t="shared" si="3"/>
        <v>15261.419533580447</v>
      </c>
      <c r="U14" s="219">
        <f t="shared" ref="U14:U19" si="10">U13*$X$2</f>
        <v>15427.866733780833</v>
      </c>
      <c r="V14" s="219">
        <f t="shared" si="4"/>
        <v>15596.129274316623</v>
      </c>
      <c r="W14" s="219">
        <f t="shared" si="4"/>
        <v>15766.226954022082</v>
      </c>
      <c r="X14" s="219">
        <f t="shared" si="4"/>
        <v>15938.179787665566</v>
      </c>
    </row>
    <row r="15" spans="1:24" x14ac:dyDescent="0.2">
      <c r="A15" s="218" t="s">
        <v>199</v>
      </c>
      <c r="B15" s="219">
        <f t="shared" si="5"/>
        <v>13013.93315996262</v>
      </c>
      <c r="C15" s="219">
        <f t="shared" si="0"/>
        <v>13073.310813079246</v>
      </c>
      <c r="D15" s="219">
        <f t="shared" si="0"/>
        <v>13132.959383961188</v>
      </c>
      <c r="E15" s="219">
        <f t="shared" si="0"/>
        <v>13192.880108703703</v>
      </c>
      <c r="F15" s="219">
        <f t="shared" si="7"/>
        <v>13267.420482195761</v>
      </c>
      <c r="G15" s="219">
        <f t="shared" si="6"/>
        <v>13385.757714321657</v>
      </c>
      <c r="H15" s="219">
        <f t="shared" si="1"/>
        <v>13505.150441788639</v>
      </c>
      <c r="I15" s="219">
        <f t="shared" si="1"/>
        <v>13625.608078966092</v>
      </c>
      <c r="J15" s="219">
        <f t="shared" si="1"/>
        <v>13747.140124193789</v>
      </c>
      <c r="K15" s="219">
        <f t="shared" si="8"/>
        <v>13875.472243721151</v>
      </c>
      <c r="L15" s="219">
        <f t="shared" si="2"/>
        <v>14022.324969562193</v>
      </c>
      <c r="M15" s="219">
        <f t="shared" si="2"/>
        <v>14170.731928852601</v>
      </c>
      <c r="N15" s="219">
        <f t="shared" si="2"/>
        <v>14320.709571008627</v>
      </c>
      <c r="O15" s="219">
        <f t="shared" si="2"/>
        <v>14472.274519540892</v>
      </c>
      <c r="P15" s="219">
        <f t="shared" si="9"/>
        <v>14626.611287007268</v>
      </c>
      <c r="Q15" s="219">
        <f t="shared" si="3"/>
        <v>14786.135012292796</v>
      </c>
      <c r="R15" s="219">
        <f t="shared" si="3"/>
        <v>14947.398567702307</v>
      </c>
      <c r="S15" s="219">
        <f t="shared" si="3"/>
        <v>15110.420928525249</v>
      </c>
      <c r="T15" s="219">
        <f t="shared" si="3"/>
        <v>15275.221277003227</v>
      </c>
      <c r="U15" s="219">
        <f t="shared" si="10"/>
        <v>15441.819004587094</v>
      </c>
      <c r="V15" s="219">
        <f t="shared" si="4"/>
        <v>15610.233714218757</v>
      </c>
      <c r="W15" s="219">
        <f t="shared" si="4"/>
        <v>15780.485222637655</v>
      </c>
      <c r="X15" s="219">
        <f t="shared" si="4"/>
        <v>15952.593562712604</v>
      </c>
    </row>
    <row r="16" spans="1:24" x14ac:dyDescent="0.2">
      <c r="A16" s="218" t="s">
        <v>200</v>
      </c>
      <c r="B16" s="219">
        <f t="shared" si="5"/>
        <v>13018.870980232014</v>
      </c>
      <c r="C16" s="219">
        <f t="shared" si="0"/>
        <v>13078.271162754278</v>
      </c>
      <c r="D16" s="219">
        <f t="shared" si="0"/>
        <v>13137.942365835012</v>
      </c>
      <c r="E16" s="219">
        <f t="shared" si="0"/>
        <v>13197.885826038479</v>
      </c>
      <c r="F16" s="219">
        <f t="shared" si="7"/>
        <v>13277.241832393853</v>
      </c>
      <c r="G16" s="219">
        <f t="shared" si="6"/>
        <v>13395.666664924043</v>
      </c>
      <c r="H16" s="219">
        <f t="shared" si="1"/>
        <v>13515.147774137056</v>
      </c>
      <c r="I16" s="219">
        <f t="shared" si="1"/>
        <v>13635.694581371368</v>
      </c>
      <c r="J16" s="219">
        <f t="shared" si="1"/>
        <v>13757.316591997997</v>
      </c>
      <c r="K16" s="219">
        <f t="shared" si="8"/>
        <v>13887.651006117969</v>
      </c>
      <c r="L16" s="219">
        <f t="shared" si="2"/>
        <v>14034.632627352546</v>
      </c>
      <c r="M16" s="219">
        <f t="shared" si="2"/>
        <v>14183.169846216359</v>
      </c>
      <c r="N16" s="219">
        <f t="shared" si="2"/>
        <v>14333.279126563615</v>
      </c>
      <c r="O16" s="219">
        <f t="shared" si="2"/>
        <v>14484.977106495708</v>
      </c>
      <c r="P16" s="219">
        <f t="shared" si="9"/>
        <v>14639.838938320034</v>
      </c>
      <c r="Q16" s="219">
        <f t="shared" si="3"/>
        <v>14799.506929708816</v>
      </c>
      <c r="R16" s="219">
        <f t="shared" si="3"/>
        <v>14960.916324645921</v>
      </c>
      <c r="S16" s="219">
        <f t="shared" si="3"/>
        <v>15124.0861155812</v>
      </c>
      <c r="T16" s="219">
        <f t="shared" si="3"/>
        <v>15289.035502103816</v>
      </c>
      <c r="U16" s="219">
        <f t="shared" si="10"/>
        <v>15455.78389320138</v>
      </c>
      <c r="V16" s="219">
        <f t="shared" si="4"/>
        <v>15624.35090954382</v>
      </c>
      <c r="W16" s="219">
        <f t="shared" si="4"/>
        <v>15794.756385791947</v>
      </c>
      <c r="X16" s="219">
        <f t="shared" si="4"/>
        <v>15967.020372931403</v>
      </c>
    </row>
    <row r="17" spans="1:24" x14ac:dyDescent="0.2">
      <c r="A17" s="218" t="s">
        <v>201</v>
      </c>
      <c r="B17" s="219">
        <f t="shared" si="5"/>
        <v>13023.810674037157</v>
      </c>
      <c r="C17" s="219">
        <f t="shared" si="0"/>
        <v>13083.233394513294</v>
      </c>
      <c r="D17" s="219">
        <f t="shared" si="0"/>
        <v>13142.927238380056</v>
      </c>
      <c r="E17" s="219">
        <f t="shared" si="0"/>
        <v>13202.893442670893</v>
      </c>
      <c r="F17" s="219">
        <f t="shared" si="7"/>
        <v>13287.070452951684</v>
      </c>
      <c r="G17" s="219">
        <f t="shared" si="6"/>
        <v>13405.582950733306</v>
      </c>
      <c r="H17" s="219">
        <f t="shared" si="1"/>
        <v>13525.152507117886</v>
      </c>
      <c r="I17" s="219">
        <f t="shared" si="1"/>
        <v>13645.788550418147</v>
      </c>
      <c r="J17" s="219">
        <f t="shared" si="1"/>
        <v>13767.500593041557</v>
      </c>
      <c r="K17" s="219">
        <f t="shared" si="8"/>
        <v>13899.840458043109</v>
      </c>
      <c r="L17" s="219">
        <f t="shared" si="2"/>
        <v>14046.951087805128</v>
      </c>
      <c r="M17" s="219">
        <f t="shared" si="2"/>
        <v>14195.618680573614</v>
      </c>
      <c r="N17" s="219">
        <f t="shared" si="2"/>
        <v>14345.859714653414</v>
      </c>
      <c r="O17" s="219">
        <f t="shared" si="2"/>
        <v>14497.690842749491</v>
      </c>
      <c r="P17" s="219">
        <f t="shared" si="9"/>
        <v>14653.078552127447</v>
      </c>
      <c r="Q17" s="219">
        <f t="shared" si="3"/>
        <v>14812.890940087278</v>
      </c>
      <c r="R17" s="219">
        <f t="shared" si="3"/>
        <v>14974.446306442707</v>
      </c>
      <c r="S17" s="219">
        <f t="shared" si="3"/>
        <v>15137.763660819504</v>
      </c>
      <c r="T17" s="219">
        <f t="shared" si="3"/>
        <v>15302.862220170082</v>
      </c>
      <c r="U17" s="219">
        <f t="shared" si="10"/>
        <v>15469.761411034668</v>
      </c>
      <c r="V17" s="219">
        <f t="shared" si="4"/>
        <v>15638.480871827245</v>
      </c>
      <c r="W17" s="219">
        <f t="shared" si="4"/>
        <v>15809.0404551462</v>
      </c>
      <c r="X17" s="219">
        <f t="shared" si="4"/>
        <v>15981.460230110391</v>
      </c>
    </row>
    <row r="18" spans="1:24" x14ac:dyDescent="0.2">
      <c r="A18" s="218" t="s">
        <v>202</v>
      </c>
      <c r="B18" s="219">
        <f t="shared" si="5"/>
        <v>13028.752242088916</v>
      </c>
      <c r="C18" s="219">
        <f t="shared" si="0"/>
        <v>13088.197509070405</v>
      </c>
      <c r="D18" s="219">
        <f t="shared" si="0"/>
        <v>13147.914002313692</v>
      </c>
      <c r="E18" s="219">
        <f t="shared" si="0"/>
        <v>13207.902959321587</v>
      </c>
      <c r="F18" s="219">
        <f t="shared" si="7"/>
        <v>13296.906349251216</v>
      </c>
      <c r="G18" s="219">
        <f t="shared" si="6"/>
        <v>13415.506577179411</v>
      </c>
      <c r="H18" s="219">
        <f t="shared" si="1"/>
        <v>13535.164646209525</v>
      </c>
      <c r="I18" s="219">
        <f t="shared" si="1"/>
        <v>13655.889991633689</v>
      </c>
      <c r="J18" s="219">
        <f t="shared" si="1"/>
        <v>13777.692132901031</v>
      </c>
      <c r="K18" s="219">
        <f t="shared" si="8"/>
        <v>13912.04060887897</v>
      </c>
      <c r="L18" s="219">
        <f t="shared" si="2"/>
        <v>14059.280360401635</v>
      </c>
      <c r="M18" s="219">
        <f t="shared" si="2"/>
        <v>14208.078441506419</v>
      </c>
      <c r="N18" s="219">
        <f t="shared" si="2"/>
        <v>14358.451344961486</v>
      </c>
      <c r="O18" s="219">
        <f t="shared" si="2"/>
        <v>14510.41573808819</v>
      </c>
      <c r="P18" s="219">
        <f t="shared" si="9"/>
        <v>14666.330139247853</v>
      </c>
      <c r="Q18" s="219">
        <f t="shared" si="3"/>
        <v>14826.287054364515</v>
      </c>
      <c r="R18" s="219">
        <f t="shared" si="3"/>
        <v>14987.988524148273</v>
      </c>
      <c r="S18" s="219">
        <f t="shared" si="3"/>
        <v>15151.453575416348</v>
      </c>
      <c r="T18" s="219">
        <f t="shared" si="3"/>
        <v>15316.701442500103</v>
      </c>
      <c r="U18" s="219">
        <f t="shared" si="10"/>
        <v>15483.751569508257</v>
      </c>
      <c r="V18" s="219">
        <f t="shared" si="4"/>
        <v>15652.623612614896</v>
      </c>
      <c r="W18" s="219">
        <f t="shared" si="4"/>
        <v>15823.337442372203</v>
      </c>
      <c r="X18" s="219">
        <f t="shared" si="4"/>
        <v>15995.913146048651</v>
      </c>
    </row>
    <row r="19" spans="1:24" x14ac:dyDescent="0.2">
      <c r="A19" s="218" t="s">
        <v>203</v>
      </c>
      <c r="B19" s="219">
        <f t="shared" si="5"/>
        <v>13033.69568509843</v>
      </c>
      <c r="C19" s="219">
        <f t="shared" si="0"/>
        <v>13093.163507139992</v>
      </c>
      <c r="D19" s="219">
        <f t="shared" si="0"/>
        <v>13152.902658353558</v>
      </c>
      <c r="E19" s="219">
        <f t="shared" si="0"/>
        <v>13212.914376711478</v>
      </c>
      <c r="F19" s="219">
        <f t="shared" si="7"/>
        <v>13306.749526678394</v>
      </c>
      <c r="G19" s="219">
        <f t="shared" si="6"/>
        <v>13425.437549696344</v>
      </c>
      <c r="H19" s="219">
        <f t="shared" si="1"/>
        <v>13545.184196894426</v>
      </c>
      <c r="I19" s="219">
        <f t="shared" si="1"/>
        <v>13665.998910549346</v>
      </c>
      <c r="J19" s="219">
        <f t="shared" si="1"/>
        <v>13787.891217157108</v>
      </c>
      <c r="K19" s="219">
        <f t="shared" si="8"/>
        <v>13924.251468016186</v>
      </c>
      <c r="L19" s="219">
        <f t="shared" si="2"/>
        <v>14071.620454632091</v>
      </c>
      <c r="M19" s="219">
        <f t="shared" si="2"/>
        <v>14220.549138605234</v>
      </c>
      <c r="N19" s="219">
        <f t="shared" si="2"/>
        <v>14371.054027179793</v>
      </c>
      <c r="O19" s="219">
        <f t="shared" si="2"/>
        <v>14523.151802306342</v>
      </c>
      <c r="P19" s="219">
        <f t="shared" si="9"/>
        <v>14679.59371050938</v>
      </c>
      <c r="Q19" s="219">
        <f t="shared" si="3"/>
        <v>14839.695283486752</v>
      </c>
      <c r="R19" s="219">
        <f t="shared" si="3"/>
        <v>15001.542988828227</v>
      </c>
      <c r="S19" s="219">
        <f t="shared" si="3"/>
        <v>15165.155870558025</v>
      </c>
      <c r="T19" s="219">
        <f t="shared" si="3"/>
        <v>15330.553180402176</v>
      </c>
      <c r="U19" s="219">
        <f t="shared" si="10"/>
        <v>15497.754380053777</v>
      </c>
      <c r="V19" s="219">
        <f t="shared" si="4"/>
        <v>15666.77914346308</v>
      </c>
      <c r="W19" s="219">
        <f t="shared" si="4"/>
        <v>15837.647359152301</v>
      </c>
      <c r="X19" s="219">
        <f t="shared" si="4"/>
        <v>16010.37913255594</v>
      </c>
    </row>
    <row r="20" spans="1:24" x14ac:dyDescent="0.2">
      <c r="A20" s="218"/>
      <c r="B20" s="218"/>
      <c r="C20" s="218"/>
      <c r="D20" s="218"/>
      <c r="E20" s="218"/>
      <c r="F20" s="265"/>
      <c r="G20" s="212"/>
      <c r="I20" s="65"/>
      <c r="R20" s="219"/>
      <c r="W20" s="65"/>
      <c r="X20" s="65"/>
    </row>
    <row r="21" spans="1:24" ht="13.5" thickBot="1" x14ac:dyDescent="0.25"/>
    <row r="22" spans="1:24" x14ac:dyDescent="0.2">
      <c r="A22" s="281" t="s">
        <v>192</v>
      </c>
      <c r="B22" s="282">
        <v>1991</v>
      </c>
    </row>
    <row r="23" spans="1:24" ht="15.75" thickBot="1" x14ac:dyDescent="0.3">
      <c r="A23" s="283" t="s">
        <v>197</v>
      </c>
      <c r="B23" s="284">
        <v>12945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AT45"/>
  <sheetViews>
    <sheetView workbookViewId="0">
      <selection activeCell="L35" sqref="L35"/>
    </sheetView>
  </sheetViews>
  <sheetFormatPr defaultRowHeight="12.75" x14ac:dyDescent="0.2"/>
  <cols>
    <col min="1" max="1" width="9.42578125" bestFit="1" customWidth="1"/>
    <col min="2" max="4" width="12.42578125" bestFit="1" customWidth="1"/>
    <col min="5" max="5" width="9.42578125" bestFit="1" customWidth="1"/>
    <col min="6" max="6" width="12.42578125" bestFit="1" customWidth="1"/>
    <col min="7" max="7" width="11.42578125" bestFit="1" customWidth="1"/>
    <col min="8" max="8" width="10.28515625" bestFit="1" customWidth="1"/>
    <col min="10" max="10" width="10.42578125" bestFit="1" customWidth="1"/>
    <col min="11" max="11" width="12.140625" bestFit="1" customWidth="1"/>
    <col min="14" max="14" width="9.42578125" bestFit="1" customWidth="1"/>
    <col min="16" max="16" width="10.140625" bestFit="1" customWidth="1"/>
    <col min="17" max="20" width="10" bestFit="1" customWidth="1"/>
    <col min="23" max="23" width="9.85546875" bestFit="1" customWidth="1"/>
    <col min="25" max="25" width="11.5703125" bestFit="1" customWidth="1"/>
  </cols>
  <sheetData>
    <row r="1" spans="1:24" x14ac:dyDescent="0.2">
      <c r="A1" s="20" t="s">
        <v>209</v>
      </c>
      <c r="B1" s="223"/>
      <c r="C1" s="223"/>
      <c r="D1" s="223"/>
      <c r="E1" s="223"/>
      <c r="F1" s="217"/>
      <c r="G1" s="217"/>
    </row>
    <row r="2" spans="1:24" ht="15" x14ac:dyDescent="0.25">
      <c r="A2" s="227" t="s">
        <v>140</v>
      </c>
      <c r="B2" s="214"/>
      <c r="C2" s="214"/>
      <c r="D2" s="214"/>
      <c r="E2" s="214"/>
      <c r="F2" s="215"/>
      <c r="G2" s="215"/>
    </row>
    <row r="3" spans="1:24" x14ac:dyDescent="0.2">
      <c r="A3" s="216" t="s">
        <v>192</v>
      </c>
      <c r="B3" s="216">
        <v>1992</v>
      </c>
      <c r="C3" s="216">
        <v>1993</v>
      </c>
      <c r="D3" s="216">
        <v>1994</v>
      </c>
      <c r="E3" s="216">
        <v>1995</v>
      </c>
      <c r="F3" s="216">
        <v>1996</v>
      </c>
      <c r="G3" s="216">
        <v>1997</v>
      </c>
      <c r="H3" s="216">
        <v>1998</v>
      </c>
      <c r="I3" s="216">
        <v>1999</v>
      </c>
      <c r="J3" s="216">
        <v>2000</v>
      </c>
      <c r="K3" s="216">
        <v>2001</v>
      </c>
      <c r="L3" s="216">
        <v>2002</v>
      </c>
      <c r="M3" s="216">
        <v>2003</v>
      </c>
      <c r="N3" s="216">
        <v>2004</v>
      </c>
      <c r="O3" s="216">
        <v>2005</v>
      </c>
      <c r="P3" s="216">
        <v>2006</v>
      </c>
      <c r="Q3" s="216">
        <v>2007</v>
      </c>
      <c r="R3" s="216">
        <v>2008</v>
      </c>
      <c r="S3" s="216">
        <v>2009</v>
      </c>
      <c r="T3" s="216">
        <v>2010</v>
      </c>
      <c r="U3" s="216">
        <v>2011</v>
      </c>
      <c r="V3" s="216">
        <v>2012</v>
      </c>
      <c r="W3" s="216">
        <v>2013</v>
      </c>
      <c r="X3" s="216">
        <v>2014</v>
      </c>
    </row>
    <row r="4" spans="1:24" x14ac:dyDescent="0.2">
      <c r="A4" s="214"/>
      <c r="B4" s="214"/>
      <c r="C4" s="214"/>
      <c r="D4" s="214"/>
      <c r="E4" s="214"/>
      <c r="F4" s="217"/>
      <c r="G4" s="217"/>
    </row>
    <row r="5" spans="1:24" x14ac:dyDescent="0.2">
      <c r="A5" s="218"/>
      <c r="B5" s="218"/>
      <c r="C5" s="218"/>
      <c r="D5" s="218"/>
      <c r="E5" s="218"/>
      <c r="F5" s="217"/>
      <c r="G5" s="217"/>
      <c r="H5" s="217"/>
      <c r="I5" s="217"/>
    </row>
    <row r="6" spans="1:24" x14ac:dyDescent="0.2">
      <c r="A6" s="218" t="s">
        <v>193</v>
      </c>
      <c r="B6" s="228">
        <v>0</v>
      </c>
      <c r="C6" s="228">
        <v>0</v>
      </c>
      <c r="D6" s="228">
        <v>0</v>
      </c>
      <c r="E6" s="228">
        <v>0</v>
      </c>
      <c r="F6" s="228">
        <v>0</v>
      </c>
      <c r="G6" s="228">
        <v>0</v>
      </c>
      <c r="H6" s="228">
        <v>0</v>
      </c>
      <c r="I6" s="228">
        <v>0</v>
      </c>
      <c r="J6" s="228">
        <v>0</v>
      </c>
      <c r="K6" s="228">
        <v>0</v>
      </c>
      <c r="L6" s="228">
        <v>0</v>
      </c>
      <c r="M6" s="228">
        <v>0</v>
      </c>
      <c r="N6" s="228">
        <v>0</v>
      </c>
      <c r="O6" s="228">
        <v>0</v>
      </c>
      <c r="P6" s="229">
        <f>$H$24</f>
        <v>7666.666666666667</v>
      </c>
      <c r="Q6" s="229">
        <f>P17+$H$25</f>
        <v>90769.23076923078</v>
      </c>
      <c r="R6" s="229">
        <f>Q17+$H$26</f>
        <v>86785.009861932922</v>
      </c>
      <c r="S6" s="229">
        <f>R17+$H$27</f>
        <v>188720.3762706721</v>
      </c>
      <c r="T6" s="229">
        <f>S17+$H$28</f>
        <v>157326.3482837902</v>
      </c>
      <c r="U6" s="229">
        <f>T17+$H$29</f>
        <v>202081.2309393571</v>
      </c>
      <c r="V6" s="229">
        <f>U17+$H$30</f>
        <v>289649.54817951843</v>
      </c>
      <c r="W6" s="229">
        <f>V17+$H$31</f>
        <v>332318.22846348432</v>
      </c>
      <c r="X6" s="229">
        <f>W17+$H$32</f>
        <v>287022.48617192334</v>
      </c>
    </row>
    <row r="7" spans="1:24" x14ac:dyDescent="0.2">
      <c r="A7" s="218" t="s">
        <v>194</v>
      </c>
      <c r="B7" s="228">
        <v>0</v>
      </c>
      <c r="C7" s="228">
        <v>0</v>
      </c>
      <c r="D7" s="228">
        <v>0</v>
      </c>
      <c r="E7" s="228">
        <v>0</v>
      </c>
      <c r="F7" s="228">
        <v>0</v>
      </c>
      <c r="G7" s="228">
        <v>0</v>
      </c>
      <c r="H7" s="228">
        <v>0</v>
      </c>
      <c r="I7" s="228">
        <v>0</v>
      </c>
      <c r="J7" s="228">
        <v>0</v>
      </c>
      <c r="K7" s="228">
        <v>0</v>
      </c>
      <c r="L7" s="228">
        <v>0</v>
      </c>
      <c r="M7" s="228">
        <v>0</v>
      </c>
      <c r="N7" s="228">
        <v>0</v>
      </c>
      <c r="O7" s="228">
        <v>0</v>
      </c>
      <c r="P7" s="229">
        <f>P6+$H$24</f>
        <v>15333.333333333334</v>
      </c>
      <c r="Q7" s="229">
        <f>Q6+$H$25</f>
        <v>89538.461538461546</v>
      </c>
      <c r="R7" s="229">
        <f>R6+$H$26</f>
        <v>96339.250493096639</v>
      </c>
      <c r="S7" s="229">
        <f>S6+$H$27</f>
        <v>185559.0957366105</v>
      </c>
      <c r="T7" s="229">
        <f>T6+$H$28</f>
        <v>160706.40617158593</v>
      </c>
      <c r="U7" s="229">
        <f>U6+$H$29</f>
        <v>209655.47682917098</v>
      </c>
      <c r="V7" s="229">
        <f>V6+$H$30</f>
        <v>293901.16063172719</v>
      </c>
      <c r="W7" s="229">
        <f>W6+$H$31</f>
        <v>328219.17177315382</v>
      </c>
      <c r="X7" s="229">
        <f>X6+$H$32</f>
        <v>286816.36747399787</v>
      </c>
    </row>
    <row r="8" spans="1:24" x14ac:dyDescent="0.2">
      <c r="A8" s="218" t="s">
        <v>195</v>
      </c>
      <c r="B8" s="228">
        <v>0</v>
      </c>
      <c r="C8" s="228">
        <v>0</v>
      </c>
      <c r="D8" s="228">
        <v>0</v>
      </c>
      <c r="E8" s="228">
        <v>0</v>
      </c>
      <c r="F8" s="228">
        <v>0</v>
      </c>
      <c r="G8" s="228">
        <v>0</v>
      </c>
      <c r="H8" s="228">
        <v>0</v>
      </c>
      <c r="I8" s="228">
        <v>0</v>
      </c>
      <c r="J8" s="228">
        <v>0</v>
      </c>
      <c r="K8" s="228">
        <v>0</v>
      </c>
      <c r="L8" s="228">
        <v>0</v>
      </c>
      <c r="M8" s="228">
        <v>0</v>
      </c>
      <c r="N8" s="228">
        <v>0</v>
      </c>
      <c r="O8" s="228">
        <v>0</v>
      </c>
      <c r="P8" s="229">
        <f t="shared" ref="P8:P17" si="0">P7+$H$24</f>
        <v>23000</v>
      </c>
      <c r="Q8" s="229">
        <f t="shared" ref="Q8:Q17" si="1">Q7+$H$25</f>
        <v>88307.692307692312</v>
      </c>
      <c r="R8" s="229">
        <f t="shared" ref="R8:R17" si="2">R7+$H$26</f>
        <v>105893.49112426036</v>
      </c>
      <c r="S8" s="229">
        <f t="shared" ref="S8:S17" si="3">S7+$H$27</f>
        <v>182397.8152025489</v>
      </c>
      <c r="T8" s="229">
        <f t="shared" ref="T8:T17" si="4">T7+$H$28</f>
        <v>164086.46405938166</v>
      </c>
      <c r="U8" s="229">
        <f t="shared" ref="U8:U17" si="5">U7+$H$29</f>
        <v>217229.72271898485</v>
      </c>
      <c r="V8" s="229">
        <f t="shared" ref="V8:V17" si="6">V7+$H$30</f>
        <v>298152.77308393596</v>
      </c>
      <c r="W8" s="229">
        <f t="shared" ref="W8:W17" si="7">W7+$H$31</f>
        <v>324120.11508282332</v>
      </c>
      <c r="X8" s="229">
        <f t="shared" ref="X8:X17" si="8">X7+$H$32</f>
        <v>286610.2487760724</v>
      </c>
    </row>
    <row r="9" spans="1:24" x14ac:dyDescent="0.2">
      <c r="A9" s="218" t="s">
        <v>196</v>
      </c>
      <c r="B9" s="228">
        <v>0</v>
      </c>
      <c r="C9" s="228">
        <v>0</v>
      </c>
      <c r="D9" s="228">
        <v>0</v>
      </c>
      <c r="E9" s="228">
        <v>0</v>
      </c>
      <c r="F9" s="228">
        <v>0</v>
      </c>
      <c r="G9" s="228">
        <v>0</v>
      </c>
      <c r="H9" s="228">
        <v>0</v>
      </c>
      <c r="I9" s="228">
        <v>0</v>
      </c>
      <c r="J9" s="228">
        <v>0</v>
      </c>
      <c r="K9" s="228">
        <v>0</v>
      </c>
      <c r="L9" s="228">
        <v>0</v>
      </c>
      <c r="M9" s="228">
        <v>0</v>
      </c>
      <c r="N9" s="228">
        <v>0</v>
      </c>
      <c r="O9" s="228">
        <v>0</v>
      </c>
      <c r="P9" s="229">
        <f t="shared" si="0"/>
        <v>30666.666666666668</v>
      </c>
      <c r="Q9" s="229">
        <f t="shared" si="1"/>
        <v>87076.923076923078</v>
      </c>
      <c r="R9" s="229">
        <f t="shared" si="2"/>
        <v>115447.73175542407</v>
      </c>
      <c r="S9" s="229">
        <f t="shared" si="3"/>
        <v>179236.53466848729</v>
      </c>
      <c r="T9" s="229">
        <f t="shared" si="4"/>
        <v>167466.52194717739</v>
      </c>
      <c r="U9" s="229">
        <f t="shared" si="5"/>
        <v>224803.96860879872</v>
      </c>
      <c r="V9" s="229">
        <f t="shared" si="6"/>
        <v>302404.38553614472</v>
      </c>
      <c r="W9" s="229">
        <f t="shared" si="7"/>
        <v>320021.05839249282</v>
      </c>
      <c r="X9" s="229">
        <f t="shared" si="8"/>
        <v>286404.13007814693</v>
      </c>
    </row>
    <row r="10" spans="1:24" x14ac:dyDescent="0.2">
      <c r="A10" s="218" t="s">
        <v>86</v>
      </c>
      <c r="B10" s="228">
        <v>0</v>
      </c>
      <c r="C10" s="228">
        <v>0</v>
      </c>
      <c r="D10" s="228">
        <v>0</v>
      </c>
      <c r="E10" s="228">
        <v>0</v>
      </c>
      <c r="F10" s="228">
        <v>0</v>
      </c>
      <c r="G10" s="228">
        <v>0</v>
      </c>
      <c r="H10" s="228">
        <v>0</v>
      </c>
      <c r="I10" s="228">
        <v>0</v>
      </c>
      <c r="J10" s="228">
        <v>0</v>
      </c>
      <c r="K10" s="228">
        <v>0</v>
      </c>
      <c r="L10" s="228">
        <v>0</v>
      </c>
      <c r="M10" s="228">
        <v>0</v>
      </c>
      <c r="N10" s="228">
        <v>0</v>
      </c>
      <c r="O10" s="228">
        <v>0</v>
      </c>
      <c r="P10" s="229">
        <f t="shared" si="0"/>
        <v>38333.333333333336</v>
      </c>
      <c r="Q10" s="229">
        <f t="shared" si="1"/>
        <v>85846.153846153844</v>
      </c>
      <c r="R10" s="229">
        <f t="shared" si="2"/>
        <v>125001.97238658779</v>
      </c>
      <c r="S10" s="229">
        <f t="shared" si="3"/>
        <v>176075.25413442569</v>
      </c>
      <c r="T10" s="229">
        <f t="shared" si="4"/>
        <v>170846.57983497312</v>
      </c>
      <c r="U10" s="229">
        <f t="shared" si="5"/>
        <v>232378.21449861259</v>
      </c>
      <c r="V10" s="229">
        <f t="shared" si="6"/>
        <v>306655.99798835348</v>
      </c>
      <c r="W10" s="229">
        <f t="shared" si="7"/>
        <v>315922.00170216232</v>
      </c>
      <c r="X10" s="229">
        <f t="shared" si="8"/>
        <v>286198.01138022146</v>
      </c>
    </row>
    <row r="11" spans="1:24" x14ac:dyDescent="0.2">
      <c r="A11" s="218" t="s">
        <v>197</v>
      </c>
      <c r="B11" s="228">
        <v>0</v>
      </c>
      <c r="C11" s="228">
        <v>0</v>
      </c>
      <c r="D11" s="228">
        <v>0</v>
      </c>
      <c r="E11" s="228">
        <v>0</v>
      </c>
      <c r="F11" s="228">
        <v>0</v>
      </c>
      <c r="G11" s="228">
        <v>0</v>
      </c>
      <c r="H11" s="228">
        <v>0</v>
      </c>
      <c r="I11" s="228">
        <v>0</v>
      </c>
      <c r="J11" s="228">
        <v>0</v>
      </c>
      <c r="K11" s="228">
        <v>0</v>
      </c>
      <c r="L11" s="228">
        <v>0</v>
      </c>
      <c r="M11" s="228">
        <v>0</v>
      </c>
      <c r="N11" s="228">
        <v>0</v>
      </c>
      <c r="O11" s="228">
        <v>0</v>
      </c>
      <c r="P11" s="229">
        <f t="shared" si="0"/>
        <v>46000</v>
      </c>
      <c r="Q11" s="229">
        <f t="shared" si="1"/>
        <v>84615.38461538461</v>
      </c>
      <c r="R11" s="229">
        <f t="shared" si="2"/>
        <v>134556.21301775149</v>
      </c>
      <c r="S11" s="229">
        <f t="shared" si="3"/>
        <v>172913.97360036409</v>
      </c>
      <c r="T11" s="229">
        <f t="shared" si="4"/>
        <v>174226.63772276885</v>
      </c>
      <c r="U11" s="229">
        <f t="shared" si="5"/>
        <v>239952.46038842647</v>
      </c>
      <c r="V11" s="229">
        <f t="shared" si="6"/>
        <v>310907.61044056225</v>
      </c>
      <c r="W11" s="229">
        <f t="shared" si="7"/>
        <v>311822.94501183182</v>
      </c>
      <c r="X11" s="229">
        <f t="shared" si="8"/>
        <v>285991.89268229599</v>
      </c>
    </row>
    <row r="12" spans="1:24" x14ac:dyDescent="0.2">
      <c r="A12" s="218" t="s">
        <v>198</v>
      </c>
      <c r="B12" s="228">
        <v>0</v>
      </c>
      <c r="C12" s="228">
        <v>0</v>
      </c>
      <c r="D12" s="228">
        <v>0</v>
      </c>
      <c r="E12" s="228">
        <v>0</v>
      </c>
      <c r="F12" s="228">
        <v>0</v>
      </c>
      <c r="G12" s="228">
        <v>0</v>
      </c>
      <c r="H12" s="228">
        <v>0</v>
      </c>
      <c r="I12" s="228">
        <v>0</v>
      </c>
      <c r="J12" s="228">
        <v>0</v>
      </c>
      <c r="K12" s="228">
        <v>0</v>
      </c>
      <c r="L12" s="228">
        <v>0</v>
      </c>
      <c r="M12" s="228">
        <v>0</v>
      </c>
      <c r="N12" s="228">
        <v>0</v>
      </c>
      <c r="O12" s="228">
        <v>0</v>
      </c>
      <c r="P12" s="229">
        <f t="shared" si="0"/>
        <v>53666.666666666664</v>
      </c>
      <c r="Q12" s="229">
        <f t="shared" si="1"/>
        <v>83384.615384615376</v>
      </c>
      <c r="R12" s="229">
        <f t="shared" si="2"/>
        <v>144110.45364891519</v>
      </c>
      <c r="S12" s="229">
        <f t="shared" si="3"/>
        <v>169752.69306630248</v>
      </c>
      <c r="T12" s="229">
        <f t="shared" si="4"/>
        <v>177606.69561056458</v>
      </c>
      <c r="U12" s="229">
        <f t="shared" si="5"/>
        <v>247526.70627824034</v>
      </c>
      <c r="V12" s="229">
        <f t="shared" si="6"/>
        <v>315159.22289277101</v>
      </c>
      <c r="W12" s="229">
        <f t="shared" si="7"/>
        <v>307723.88832150132</v>
      </c>
      <c r="X12" s="229">
        <f t="shared" si="8"/>
        <v>285785.77398437052</v>
      </c>
    </row>
    <row r="13" spans="1:24" x14ac:dyDescent="0.2">
      <c r="A13" s="218" t="s">
        <v>199</v>
      </c>
      <c r="B13" s="228">
        <v>0</v>
      </c>
      <c r="C13" s="228">
        <v>0</v>
      </c>
      <c r="D13" s="228">
        <v>0</v>
      </c>
      <c r="E13" s="228">
        <v>0</v>
      </c>
      <c r="F13" s="228">
        <v>0</v>
      </c>
      <c r="G13" s="228">
        <v>0</v>
      </c>
      <c r="H13" s="228">
        <v>0</v>
      </c>
      <c r="I13" s="228">
        <v>0</v>
      </c>
      <c r="J13" s="228">
        <v>0</v>
      </c>
      <c r="K13" s="228">
        <v>0</v>
      </c>
      <c r="L13" s="228">
        <v>0</v>
      </c>
      <c r="M13" s="228">
        <v>0</v>
      </c>
      <c r="N13" s="228">
        <v>0</v>
      </c>
      <c r="O13" s="228">
        <v>0</v>
      </c>
      <c r="P13" s="229">
        <f t="shared" si="0"/>
        <v>61333.333333333328</v>
      </c>
      <c r="Q13" s="229">
        <f t="shared" si="1"/>
        <v>82153.846153846142</v>
      </c>
      <c r="R13" s="229">
        <f t="shared" si="2"/>
        <v>153664.6942800789</v>
      </c>
      <c r="S13" s="229">
        <f t="shared" si="3"/>
        <v>166591.41253224088</v>
      </c>
      <c r="T13" s="229">
        <f t="shared" si="4"/>
        <v>180986.75349836031</v>
      </c>
      <c r="U13" s="229">
        <f t="shared" si="5"/>
        <v>255100.95216805421</v>
      </c>
      <c r="V13" s="229">
        <f t="shared" si="6"/>
        <v>319410.83534497977</v>
      </c>
      <c r="W13" s="229">
        <f t="shared" si="7"/>
        <v>303624.83163117082</v>
      </c>
      <c r="X13" s="229">
        <f t="shared" si="8"/>
        <v>285579.65528644505</v>
      </c>
    </row>
    <row r="14" spans="1:24" x14ac:dyDescent="0.2">
      <c r="A14" s="218" t="s">
        <v>200</v>
      </c>
      <c r="B14" s="228">
        <v>0</v>
      </c>
      <c r="C14" s="228">
        <v>0</v>
      </c>
      <c r="D14" s="228">
        <v>0</v>
      </c>
      <c r="E14" s="228">
        <v>0</v>
      </c>
      <c r="F14" s="228">
        <v>0</v>
      </c>
      <c r="G14" s="228">
        <v>0</v>
      </c>
      <c r="H14" s="228">
        <v>0</v>
      </c>
      <c r="I14" s="228">
        <v>0</v>
      </c>
      <c r="J14" s="228">
        <v>0</v>
      </c>
      <c r="K14" s="228">
        <v>0</v>
      </c>
      <c r="L14" s="228">
        <v>0</v>
      </c>
      <c r="M14" s="228">
        <v>0</v>
      </c>
      <c r="N14" s="228">
        <v>0</v>
      </c>
      <c r="O14" s="228">
        <v>0</v>
      </c>
      <c r="P14" s="229">
        <f t="shared" si="0"/>
        <v>69000</v>
      </c>
      <c r="Q14" s="229">
        <f t="shared" si="1"/>
        <v>80923.076923076907</v>
      </c>
      <c r="R14" s="229">
        <f t="shared" si="2"/>
        <v>163218.9349112426</v>
      </c>
      <c r="S14" s="229">
        <f t="shared" si="3"/>
        <v>163430.13199817928</v>
      </c>
      <c r="T14" s="229">
        <f t="shared" si="4"/>
        <v>184366.81138615604</v>
      </c>
      <c r="U14" s="229">
        <f t="shared" si="5"/>
        <v>262675.19805786805</v>
      </c>
      <c r="V14" s="229">
        <f t="shared" si="6"/>
        <v>323662.44779718854</v>
      </c>
      <c r="W14" s="229">
        <f t="shared" si="7"/>
        <v>299525.77494084032</v>
      </c>
      <c r="X14" s="229">
        <f t="shared" si="8"/>
        <v>285373.53658851958</v>
      </c>
    </row>
    <row r="15" spans="1:24" x14ac:dyDescent="0.2">
      <c r="A15" s="218" t="s">
        <v>201</v>
      </c>
      <c r="B15" s="228">
        <v>0</v>
      </c>
      <c r="C15" s="228">
        <v>0</v>
      </c>
      <c r="D15" s="228">
        <v>0</v>
      </c>
      <c r="E15" s="228">
        <v>0</v>
      </c>
      <c r="F15" s="228">
        <v>0</v>
      </c>
      <c r="G15" s="228">
        <v>0</v>
      </c>
      <c r="H15" s="228">
        <v>0</v>
      </c>
      <c r="I15" s="228">
        <v>0</v>
      </c>
      <c r="J15" s="228">
        <v>0</v>
      </c>
      <c r="K15" s="228">
        <v>0</v>
      </c>
      <c r="L15" s="228">
        <v>0</v>
      </c>
      <c r="M15" s="228">
        <v>0</v>
      </c>
      <c r="N15" s="228">
        <v>0</v>
      </c>
      <c r="O15" s="228">
        <v>0</v>
      </c>
      <c r="P15" s="229">
        <f t="shared" si="0"/>
        <v>76666.666666666672</v>
      </c>
      <c r="Q15" s="229">
        <f t="shared" si="1"/>
        <v>79692.307692307673</v>
      </c>
      <c r="R15" s="229">
        <f t="shared" si="2"/>
        <v>172773.1755424063</v>
      </c>
      <c r="S15" s="229">
        <f t="shared" si="3"/>
        <v>160268.85146411767</v>
      </c>
      <c r="T15" s="229">
        <f t="shared" si="4"/>
        <v>187746.86927395177</v>
      </c>
      <c r="U15" s="229">
        <f t="shared" si="5"/>
        <v>270249.44394768192</v>
      </c>
      <c r="V15" s="229">
        <f t="shared" si="6"/>
        <v>327914.0602493973</v>
      </c>
      <c r="W15" s="229">
        <f t="shared" si="7"/>
        <v>295426.71825050982</v>
      </c>
      <c r="X15" s="229">
        <f t="shared" si="8"/>
        <v>285167.41789059411</v>
      </c>
    </row>
    <row r="16" spans="1:24" x14ac:dyDescent="0.2">
      <c r="A16" s="218" t="s">
        <v>202</v>
      </c>
      <c r="B16" s="228">
        <v>0</v>
      </c>
      <c r="C16" s="228">
        <v>0</v>
      </c>
      <c r="D16" s="228">
        <v>0</v>
      </c>
      <c r="E16" s="228">
        <v>0</v>
      </c>
      <c r="F16" s="228">
        <v>0</v>
      </c>
      <c r="G16" s="228">
        <v>0</v>
      </c>
      <c r="H16" s="228">
        <v>0</v>
      </c>
      <c r="I16" s="228">
        <v>0</v>
      </c>
      <c r="J16" s="228">
        <v>0</v>
      </c>
      <c r="K16" s="228">
        <v>0</v>
      </c>
      <c r="L16" s="228">
        <v>0</v>
      </c>
      <c r="M16" s="228">
        <v>0</v>
      </c>
      <c r="N16" s="228">
        <v>0</v>
      </c>
      <c r="O16" s="228">
        <v>0</v>
      </c>
      <c r="P16" s="229">
        <f t="shared" si="0"/>
        <v>84333.333333333343</v>
      </c>
      <c r="Q16" s="229">
        <f t="shared" si="1"/>
        <v>78461.538461538439</v>
      </c>
      <c r="R16" s="229">
        <f t="shared" si="2"/>
        <v>182327.41617357</v>
      </c>
      <c r="S16" s="229">
        <f t="shared" si="3"/>
        <v>157107.57093005607</v>
      </c>
      <c r="T16" s="229">
        <f t="shared" si="4"/>
        <v>191126.9271617475</v>
      </c>
      <c r="U16" s="229">
        <f t="shared" si="5"/>
        <v>277823.6898374958</v>
      </c>
      <c r="V16" s="229">
        <f t="shared" si="6"/>
        <v>332165.67270160606</v>
      </c>
      <c r="W16" s="229">
        <f t="shared" si="7"/>
        <v>291327.66156017932</v>
      </c>
      <c r="X16" s="229">
        <f t="shared" si="8"/>
        <v>284961.29919266864</v>
      </c>
    </row>
    <row r="17" spans="1:46" x14ac:dyDescent="0.2">
      <c r="A17" s="218" t="s">
        <v>203</v>
      </c>
      <c r="B17" s="228">
        <v>0</v>
      </c>
      <c r="C17" s="228">
        <v>0</v>
      </c>
      <c r="D17" s="228">
        <v>0</v>
      </c>
      <c r="E17" s="228">
        <v>0</v>
      </c>
      <c r="F17" s="228">
        <v>0</v>
      </c>
      <c r="G17" s="228">
        <v>0</v>
      </c>
      <c r="H17" s="228">
        <v>0</v>
      </c>
      <c r="I17" s="228">
        <v>0</v>
      </c>
      <c r="J17" s="228">
        <v>0</v>
      </c>
      <c r="K17" s="228">
        <v>0</v>
      </c>
      <c r="L17" s="228">
        <v>0</v>
      </c>
      <c r="M17" s="228">
        <v>0</v>
      </c>
      <c r="N17" s="228">
        <v>0</v>
      </c>
      <c r="O17" s="228">
        <v>0</v>
      </c>
      <c r="P17" s="229">
        <f t="shared" si="0"/>
        <v>92000.000000000015</v>
      </c>
      <c r="Q17" s="229">
        <f t="shared" si="1"/>
        <v>77230.769230769205</v>
      </c>
      <c r="R17" s="229">
        <f t="shared" si="2"/>
        <v>191881.65680473371</v>
      </c>
      <c r="S17" s="229">
        <f t="shared" si="3"/>
        <v>153946.29039599447</v>
      </c>
      <c r="T17" s="229">
        <f t="shared" si="4"/>
        <v>194506.98504954323</v>
      </c>
      <c r="U17" s="229">
        <f t="shared" si="5"/>
        <v>285397.93572730967</v>
      </c>
      <c r="V17" s="229">
        <f t="shared" si="6"/>
        <v>336417.28515381482</v>
      </c>
      <c r="W17" s="229">
        <f t="shared" si="7"/>
        <v>287228.60486984882</v>
      </c>
      <c r="X17" s="229">
        <f t="shared" si="8"/>
        <v>284755.18049474317</v>
      </c>
    </row>
    <row r="19" spans="1:46" ht="13.5" thickBot="1" x14ac:dyDescent="0.25">
      <c r="A19" s="218" t="s">
        <v>9</v>
      </c>
      <c r="B19" s="220">
        <f t="shared" ref="B19:X19" si="9">SUM(B6:B18)</f>
        <v>0</v>
      </c>
      <c r="C19" s="220">
        <f t="shared" si="9"/>
        <v>0</v>
      </c>
      <c r="D19" s="220">
        <f t="shared" si="9"/>
        <v>0</v>
      </c>
      <c r="E19" s="220">
        <f t="shared" si="9"/>
        <v>0</v>
      </c>
      <c r="F19" s="220">
        <f t="shared" si="9"/>
        <v>0</v>
      </c>
      <c r="G19" s="220">
        <f t="shared" si="9"/>
        <v>0</v>
      </c>
      <c r="H19" s="220">
        <f t="shared" si="9"/>
        <v>0</v>
      </c>
      <c r="I19" s="220">
        <f t="shared" si="9"/>
        <v>0</v>
      </c>
      <c r="J19" s="220">
        <f t="shared" si="9"/>
        <v>0</v>
      </c>
      <c r="K19" s="220">
        <f t="shared" si="9"/>
        <v>0</v>
      </c>
      <c r="L19" s="220">
        <f t="shared" si="9"/>
        <v>0</v>
      </c>
      <c r="M19" s="220">
        <f t="shared" si="9"/>
        <v>0</v>
      </c>
      <c r="N19" s="220">
        <f t="shared" si="9"/>
        <v>0</v>
      </c>
      <c r="O19" s="220">
        <f t="shared" si="9"/>
        <v>0</v>
      </c>
      <c r="P19" s="220">
        <f>SUM(P6:P18)</f>
        <v>598000</v>
      </c>
      <c r="Q19" s="220">
        <f t="shared" si="9"/>
        <v>1007999.9999999998</v>
      </c>
      <c r="R19" s="220">
        <f t="shared" si="9"/>
        <v>1672000</v>
      </c>
      <c r="S19" s="220">
        <f t="shared" si="9"/>
        <v>2055999.9999999993</v>
      </c>
      <c r="T19" s="220">
        <f t="shared" si="9"/>
        <v>2111000.0000000009</v>
      </c>
      <c r="U19" s="220">
        <f t="shared" si="9"/>
        <v>2924875.0000000009</v>
      </c>
      <c r="V19" s="220">
        <f t="shared" si="9"/>
        <v>3756401</v>
      </c>
      <c r="W19" s="220">
        <f t="shared" si="9"/>
        <v>3717280.9999999981</v>
      </c>
      <c r="X19" s="220">
        <f t="shared" si="9"/>
        <v>3430666</v>
      </c>
      <c r="Y19" s="65"/>
    </row>
    <row r="20" spans="1:46" ht="13.5" thickTop="1" x14ac:dyDescent="0.2">
      <c r="P20" s="229">
        <f>P17*12</f>
        <v>1104000.0000000002</v>
      </c>
      <c r="Q20" s="229">
        <f>Q17*12</f>
        <v>926769.23076923052</v>
      </c>
      <c r="R20" s="229">
        <f t="shared" ref="R20:X20" si="10">R17*12</f>
        <v>2302579.8816568046</v>
      </c>
      <c r="S20" s="229">
        <f t="shared" si="10"/>
        <v>1847355.4847519337</v>
      </c>
      <c r="T20" s="229">
        <f t="shared" si="10"/>
        <v>2334083.8205945189</v>
      </c>
      <c r="U20" s="229">
        <f t="shared" si="10"/>
        <v>3424775.228727716</v>
      </c>
      <c r="V20" s="229">
        <f t="shared" si="10"/>
        <v>4037007.4218457779</v>
      </c>
      <c r="W20" s="229">
        <f t="shared" si="10"/>
        <v>3446743.2584381858</v>
      </c>
      <c r="X20" s="229">
        <f t="shared" si="10"/>
        <v>3417062.165936918</v>
      </c>
    </row>
    <row r="21" spans="1:46" ht="13.5" thickBot="1" x14ac:dyDescent="0.25"/>
    <row r="22" spans="1:46" ht="33.75" x14ac:dyDescent="0.2">
      <c r="A22" s="230"/>
      <c r="B22" s="231" t="s">
        <v>100</v>
      </c>
      <c r="C22" s="231" t="s">
        <v>101</v>
      </c>
      <c r="D22" s="231" t="s">
        <v>102</v>
      </c>
      <c r="E22" s="231" t="s">
        <v>103</v>
      </c>
      <c r="F22" s="231" t="s">
        <v>78</v>
      </c>
      <c r="G22" s="231" t="s">
        <v>79</v>
      </c>
      <c r="H22" s="230"/>
      <c r="I22" s="230"/>
      <c r="J22" s="230"/>
      <c r="K22" s="230"/>
      <c r="L22" s="230"/>
      <c r="M22" s="230"/>
      <c r="N22" s="230"/>
      <c r="O22" s="230"/>
      <c r="Q22" s="768" t="s">
        <v>80</v>
      </c>
      <c r="R22" s="769"/>
      <c r="S22" s="769"/>
      <c r="T22" s="769"/>
      <c r="U22" s="77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row>
    <row r="23" spans="1:46" ht="13.5" thickBot="1" x14ac:dyDescent="0.25">
      <c r="A23" s="230">
        <v>2005</v>
      </c>
      <c r="B23" s="230"/>
      <c r="C23" s="230"/>
      <c r="D23" s="230"/>
      <c r="E23" s="230"/>
      <c r="F23" s="232"/>
      <c r="G23" s="229">
        <f>F23</f>
        <v>0</v>
      </c>
      <c r="H23" s="229">
        <f>G23/$N$35</f>
        <v>0</v>
      </c>
      <c r="I23" s="230"/>
      <c r="J23" s="771" t="s">
        <v>81</v>
      </c>
      <c r="K23" s="771"/>
      <c r="L23" s="230"/>
      <c r="M23" s="233" t="s">
        <v>82</v>
      </c>
      <c r="N23" s="233">
        <v>1</v>
      </c>
      <c r="O23" s="230"/>
      <c r="Q23" s="772">
        <v>8270000</v>
      </c>
      <c r="R23" s="773"/>
      <c r="S23" s="773"/>
      <c r="T23" s="773"/>
      <c r="U23" s="774"/>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row>
    <row r="24" spans="1:46" ht="13.5" thickBot="1" x14ac:dyDescent="0.25">
      <c r="A24" s="230">
        <v>2006</v>
      </c>
      <c r="B24" s="234">
        <v>668000</v>
      </c>
      <c r="C24" s="234">
        <v>598000</v>
      </c>
      <c r="D24" s="235">
        <f>B24-C24</f>
        <v>70000</v>
      </c>
      <c r="E24" s="236">
        <f>D24/C24</f>
        <v>0.11705685618729098</v>
      </c>
      <c r="F24" s="229">
        <f>C24</f>
        <v>598000</v>
      </c>
      <c r="G24" s="229">
        <f>F24</f>
        <v>598000</v>
      </c>
      <c r="H24" s="229">
        <f>G24/$N$35</f>
        <v>7666.666666666667</v>
      </c>
      <c r="I24" s="230"/>
      <c r="J24" s="237">
        <f>P19</f>
        <v>598000</v>
      </c>
      <c r="K24" s="237">
        <f t="shared" ref="K24:K32" si="11">F24-J24</f>
        <v>0</v>
      </c>
      <c r="L24" s="230"/>
      <c r="M24" s="233" t="s">
        <v>83</v>
      </c>
      <c r="N24" s="233">
        <v>2</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row>
    <row r="25" spans="1:46" x14ac:dyDescent="0.2">
      <c r="A25" s="230">
        <v>2007</v>
      </c>
      <c r="B25" s="234">
        <v>2091000</v>
      </c>
      <c r="C25" s="234">
        <v>1008000</v>
      </c>
      <c r="D25" s="235">
        <f t="shared" ref="D25:D32" si="12">B25-C25</f>
        <v>1083000</v>
      </c>
      <c r="E25" s="236">
        <f t="shared" ref="E25:E33" si="13">D25/C25</f>
        <v>1.0744047619047619</v>
      </c>
      <c r="F25" s="229">
        <f>C25</f>
        <v>1008000</v>
      </c>
      <c r="G25" s="229">
        <f>F25-P20</f>
        <v>-96000.000000000233</v>
      </c>
      <c r="H25" s="229">
        <f>G25/$N$35</f>
        <v>-1230.7692307692337</v>
      </c>
      <c r="I25" s="230"/>
      <c r="J25" s="237">
        <f>Q19</f>
        <v>1007999.9999999998</v>
      </c>
      <c r="K25" s="237">
        <f t="shared" si="11"/>
        <v>0</v>
      </c>
      <c r="L25" s="230"/>
      <c r="M25" s="233" t="s">
        <v>84</v>
      </c>
      <c r="N25" s="233">
        <v>3</v>
      </c>
      <c r="O25" s="230"/>
      <c r="Q25" s="775" t="s">
        <v>180</v>
      </c>
      <c r="R25" s="776"/>
      <c r="S25" s="776"/>
      <c r="T25" s="776"/>
      <c r="U25" s="777"/>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row>
    <row r="26" spans="1:46" x14ac:dyDescent="0.2">
      <c r="A26" s="230">
        <v>2008</v>
      </c>
      <c r="B26" s="234">
        <v>2561000</v>
      </c>
      <c r="C26" s="234">
        <v>1672000</v>
      </c>
      <c r="D26" s="235">
        <f t="shared" si="12"/>
        <v>889000</v>
      </c>
      <c r="E26" s="236">
        <f t="shared" si="13"/>
        <v>0.53169856459330145</v>
      </c>
      <c r="F26" s="229">
        <f>C26</f>
        <v>1672000</v>
      </c>
      <c r="G26" s="229">
        <f>F26-Q20</f>
        <v>745230.76923076948</v>
      </c>
      <c r="H26" s="229">
        <f>G26/$N$35</f>
        <v>9554.2406311637114</v>
      </c>
      <c r="I26" s="230"/>
      <c r="J26" s="237">
        <f>R19</f>
        <v>1672000</v>
      </c>
      <c r="K26" s="237">
        <f t="shared" si="11"/>
        <v>0</v>
      </c>
      <c r="L26" s="230"/>
      <c r="M26" s="233" t="s">
        <v>85</v>
      </c>
      <c r="N26" s="233">
        <v>4</v>
      </c>
      <c r="O26" s="230"/>
      <c r="Q26" s="238">
        <v>2011</v>
      </c>
      <c r="R26" s="233">
        <v>2012</v>
      </c>
      <c r="S26" s="233">
        <v>2013</v>
      </c>
      <c r="T26" s="233">
        <v>2014</v>
      </c>
      <c r="U26" s="239" t="s">
        <v>9</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row>
    <row r="27" spans="1:46" x14ac:dyDescent="0.2">
      <c r="A27" s="230">
        <v>2009</v>
      </c>
      <c r="B27" s="234">
        <v>3048000</v>
      </c>
      <c r="C27" s="234">
        <v>2056000</v>
      </c>
      <c r="D27" s="235">
        <f t="shared" si="12"/>
        <v>992000</v>
      </c>
      <c r="E27" s="236">
        <f t="shared" si="13"/>
        <v>0.48249027237354086</v>
      </c>
      <c r="F27" s="229">
        <f>C27</f>
        <v>2056000</v>
      </c>
      <c r="G27" s="229">
        <f>F27-R20</f>
        <v>-246579.88165680459</v>
      </c>
      <c r="H27" s="229">
        <f t="shared" ref="H27:H32" si="14">G27/$N$35</f>
        <v>-3161.2805340615973</v>
      </c>
      <c r="I27" s="230"/>
      <c r="J27" s="237">
        <f>S19</f>
        <v>2055999.9999999993</v>
      </c>
      <c r="K27" s="237">
        <f t="shared" si="11"/>
        <v>0</v>
      </c>
      <c r="L27" s="230"/>
      <c r="M27" s="233" t="s">
        <v>86</v>
      </c>
      <c r="N27" s="233">
        <v>5</v>
      </c>
      <c r="O27" s="230"/>
      <c r="P27" s="240" t="s">
        <v>136</v>
      </c>
      <c r="Q27" s="241">
        <f>Q33/$Q$23</f>
        <v>0.12368500604594922</v>
      </c>
      <c r="R27" s="242">
        <f t="shared" ref="R27:T27" si="15">R33/$Q$23</f>
        <v>0.12368500604594922</v>
      </c>
      <c r="S27" s="242">
        <f t="shared" si="15"/>
        <v>0.12064752116082225</v>
      </c>
      <c r="T27" s="242">
        <f t="shared" si="15"/>
        <v>0.10019189842805321</v>
      </c>
      <c r="U27" s="243">
        <f>SUM(Q27:T27)</f>
        <v>0.46820943168077389</v>
      </c>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row>
    <row r="28" spans="1:46" x14ac:dyDescent="0.2">
      <c r="A28" s="230">
        <v>2010</v>
      </c>
      <c r="B28" s="234">
        <v>3317000</v>
      </c>
      <c r="C28" s="234">
        <v>2111000</v>
      </c>
      <c r="D28" s="235">
        <f t="shared" si="12"/>
        <v>1206000</v>
      </c>
      <c r="E28" s="236">
        <f t="shared" si="13"/>
        <v>0.57129322595926102</v>
      </c>
      <c r="F28" s="229">
        <f>C28</f>
        <v>2111000</v>
      </c>
      <c r="G28" s="229">
        <f>F28-S20</f>
        <v>263644.51524806628</v>
      </c>
      <c r="H28" s="229">
        <f t="shared" si="14"/>
        <v>3380.0578877957214</v>
      </c>
      <c r="I28" s="230"/>
      <c r="J28" s="237">
        <f>T19</f>
        <v>2111000.0000000009</v>
      </c>
      <c r="K28" s="237">
        <f t="shared" si="11"/>
        <v>0</v>
      </c>
      <c r="L28" s="230"/>
      <c r="M28" s="233" t="s">
        <v>87</v>
      </c>
      <c r="N28" s="233">
        <v>6</v>
      </c>
      <c r="O28" s="230"/>
      <c r="P28" s="240" t="s">
        <v>137</v>
      </c>
      <c r="Q28" s="244"/>
      <c r="R28" s="245">
        <f t="shared" ref="R28:T28" si="16">R34/$Q$23</f>
        <v>0.1062304715840387</v>
      </c>
      <c r="S28" s="245">
        <f t="shared" si="16"/>
        <v>0.1062304715840387</v>
      </c>
      <c r="T28" s="245">
        <f t="shared" si="16"/>
        <v>0.10520906892382104</v>
      </c>
      <c r="U28" s="243">
        <f>SUM(Q28:T28)</f>
        <v>0.31767001209189843</v>
      </c>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1:46" x14ac:dyDescent="0.2">
      <c r="A29" s="230">
        <v>2011</v>
      </c>
      <c r="B29" s="234">
        <v>3111000</v>
      </c>
      <c r="C29" s="234">
        <v>1902000</v>
      </c>
      <c r="D29" s="235">
        <f t="shared" si="12"/>
        <v>1209000</v>
      </c>
      <c r="E29" s="236">
        <f t="shared" si="13"/>
        <v>0.63564668769716093</v>
      </c>
      <c r="F29" s="229">
        <f>C29+Q33</f>
        <v>2924875</v>
      </c>
      <c r="G29" s="229">
        <f>F29-T20</f>
        <v>590791.17940548109</v>
      </c>
      <c r="H29" s="229">
        <f t="shared" si="14"/>
        <v>7574.2458898138602</v>
      </c>
      <c r="I29" s="230"/>
      <c r="J29" s="237">
        <f>U19</f>
        <v>2924875.0000000009</v>
      </c>
      <c r="K29" s="237">
        <f t="shared" si="11"/>
        <v>0</v>
      </c>
      <c r="L29" s="230"/>
      <c r="M29" s="233" t="s">
        <v>88</v>
      </c>
      <c r="N29" s="233">
        <v>7</v>
      </c>
      <c r="O29" s="230"/>
      <c r="P29" s="240" t="s">
        <v>138</v>
      </c>
      <c r="Q29" s="246"/>
      <c r="R29" s="245"/>
      <c r="S29" s="245">
        <f t="shared" ref="S29:T29" si="17">S35/$Q$23</f>
        <v>7.1373518742442563E-2</v>
      </c>
      <c r="T29" s="245">
        <f t="shared" si="17"/>
        <v>7.1373518742442563E-2</v>
      </c>
      <c r="U29" s="243">
        <f>SUM(Q29:T29)</f>
        <v>0.14274703748488513</v>
      </c>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row>
    <row r="30" spans="1:46" x14ac:dyDescent="0.2">
      <c r="A30" s="230">
        <v>2012</v>
      </c>
      <c r="B30" s="234">
        <v>3000000</v>
      </c>
      <c r="C30" s="234">
        <v>1855000</v>
      </c>
      <c r="D30" s="235">
        <f t="shared" si="12"/>
        <v>1145000</v>
      </c>
      <c r="E30" s="236">
        <f t="shared" si="13"/>
        <v>0.61725067385444743</v>
      </c>
      <c r="F30" s="229">
        <f>C30+R33+R34</f>
        <v>3756401</v>
      </c>
      <c r="G30" s="229">
        <f>F30-U20</f>
        <v>331625.77127228398</v>
      </c>
      <c r="H30" s="229">
        <f t="shared" si="14"/>
        <v>4251.6124522087694</v>
      </c>
      <c r="I30" s="230"/>
      <c r="J30" s="237">
        <f>V19</f>
        <v>3756401</v>
      </c>
      <c r="K30" s="237">
        <f t="shared" si="11"/>
        <v>0</v>
      </c>
      <c r="L30" s="230"/>
      <c r="M30" s="233" t="s">
        <v>89</v>
      </c>
      <c r="N30" s="233">
        <v>8</v>
      </c>
      <c r="O30" s="230"/>
      <c r="P30" s="240" t="s">
        <v>139</v>
      </c>
      <c r="Q30" s="246"/>
      <c r="R30" s="247"/>
      <c r="S30" s="245"/>
      <c r="T30" s="245">
        <f t="shared" ref="T30" si="18">T36/$Q$23</f>
        <v>7.1373518742442563E-2</v>
      </c>
      <c r="U30" s="243">
        <f>SUM(Q30:T30)</f>
        <v>7.1373518742442563E-2</v>
      </c>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row>
    <row r="31" spans="1:46" x14ac:dyDescent="0.2">
      <c r="A31" s="230">
        <v>2013</v>
      </c>
      <c r="B31" s="234">
        <v>2973000</v>
      </c>
      <c r="C31" s="234">
        <v>1841000</v>
      </c>
      <c r="D31" s="235">
        <f t="shared" si="12"/>
        <v>1132000</v>
      </c>
      <c r="E31" s="236">
        <f t="shared" si="13"/>
        <v>0.61488321564367188</v>
      </c>
      <c r="F31" s="229">
        <f>C31+S33+S34</f>
        <v>3717281</v>
      </c>
      <c r="G31" s="229">
        <f>F31-V20</f>
        <v>-319726.42184577789</v>
      </c>
      <c r="H31" s="229">
        <f t="shared" si="14"/>
        <v>-4099.0566903304862</v>
      </c>
      <c r="I31" s="230"/>
      <c r="J31" s="237">
        <f>W19</f>
        <v>3717280.9999999981</v>
      </c>
      <c r="K31" s="237">
        <f t="shared" si="11"/>
        <v>0</v>
      </c>
      <c r="L31" s="230"/>
      <c r="M31" s="233" t="s">
        <v>90</v>
      </c>
      <c r="N31" s="233">
        <v>9</v>
      </c>
      <c r="O31" s="230"/>
      <c r="P31" s="248"/>
      <c r="Q31" s="244">
        <f>SUM(Q27:Q30)</f>
        <v>0.12368500604594922</v>
      </c>
      <c r="R31" s="245">
        <f>SUM(R27:R30)</f>
        <v>0.22991547762998793</v>
      </c>
      <c r="S31" s="245">
        <f>SUM(S27:S30)</f>
        <v>0.2982515114873035</v>
      </c>
      <c r="T31" s="245">
        <f>SUM(T27:T30)</f>
        <v>0.34814800483675939</v>
      </c>
      <c r="U31" s="243">
        <f>SUM(Q31:T31)</f>
        <v>1</v>
      </c>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row>
    <row r="32" spans="1:46" x14ac:dyDescent="0.2">
      <c r="A32" s="230">
        <v>2014</v>
      </c>
      <c r="B32" s="249">
        <v>2760000</v>
      </c>
      <c r="C32" s="249">
        <v>1732000</v>
      </c>
      <c r="D32" s="235">
        <f t="shared" si="12"/>
        <v>1028000</v>
      </c>
      <c r="E32" s="236">
        <f t="shared" si="13"/>
        <v>0.59353348729792144</v>
      </c>
      <c r="F32" s="229">
        <f>C32+T33+T34</f>
        <v>3430666</v>
      </c>
      <c r="G32" s="229">
        <f>F32-W20</f>
        <v>-16077.258438185789</v>
      </c>
      <c r="H32" s="229">
        <f t="shared" si="14"/>
        <v>-206.11869792545883</v>
      </c>
      <c r="I32" s="230"/>
      <c r="J32" s="237">
        <f>X19</f>
        <v>3430666</v>
      </c>
      <c r="K32" s="237">
        <f t="shared" si="11"/>
        <v>0</v>
      </c>
      <c r="L32" s="230"/>
      <c r="M32" s="233" t="s">
        <v>91</v>
      </c>
      <c r="N32" s="233">
        <v>10</v>
      </c>
      <c r="O32" s="230"/>
      <c r="P32" s="211"/>
      <c r="Q32" s="250"/>
      <c r="R32" s="251"/>
      <c r="S32" s="251"/>
      <c r="T32" s="251"/>
      <c r="U32" s="252"/>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row>
    <row r="33" spans="1:46" ht="13.5" thickBot="1" x14ac:dyDescent="0.25">
      <c r="A33" s="230" t="s">
        <v>9</v>
      </c>
      <c r="B33" s="253">
        <f>SUM(B24:B32)</f>
        <v>23529000</v>
      </c>
      <c r="C33" s="253">
        <f>SUM(C24:C32)</f>
        <v>14775000</v>
      </c>
      <c r="D33" s="253">
        <f>SUM(D24:D32)</f>
        <v>8754000</v>
      </c>
      <c r="E33" s="525">
        <f t="shared" si="13"/>
        <v>0.59248730964467</v>
      </c>
      <c r="F33" s="253">
        <f>SUM(F24:F32)</f>
        <v>21274223</v>
      </c>
      <c r="G33" s="229"/>
      <c r="H33" s="229"/>
      <c r="I33" s="230"/>
      <c r="J33" s="253">
        <f>SUM(J24:J32)</f>
        <v>21274223</v>
      </c>
      <c r="K33" s="237">
        <f>SUM(K24:K32)</f>
        <v>0</v>
      </c>
      <c r="L33" s="230"/>
      <c r="M33" s="233" t="s">
        <v>92</v>
      </c>
      <c r="N33" s="233">
        <v>11</v>
      </c>
      <c r="O33" s="230"/>
      <c r="P33" s="240" t="s">
        <v>136</v>
      </c>
      <c r="Q33" s="254">
        <v>1022875</v>
      </c>
      <c r="R33" s="255">
        <v>1022875</v>
      </c>
      <c r="S33" s="255">
        <v>997755</v>
      </c>
      <c r="T33" s="255">
        <v>828587</v>
      </c>
      <c r="U33" s="256">
        <f>SUM(Q33:T33)</f>
        <v>3872092</v>
      </c>
      <c r="V33" s="214" t="s">
        <v>267</v>
      </c>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row>
    <row r="34" spans="1:46" ht="13.5" thickTop="1" x14ac:dyDescent="0.2">
      <c r="A34" s="230"/>
      <c r="B34" s="230"/>
      <c r="C34" s="230"/>
      <c r="D34" s="230"/>
      <c r="E34" s="230"/>
      <c r="F34" s="229"/>
      <c r="G34" s="230"/>
      <c r="H34" s="229"/>
      <c r="I34" s="230"/>
      <c r="J34" s="230"/>
      <c r="K34" s="237">
        <f>U33+U34+C33-SUM(P19:X19)</f>
        <v>0</v>
      </c>
      <c r="L34" s="230"/>
      <c r="M34" s="233" t="s">
        <v>93</v>
      </c>
      <c r="N34" s="233">
        <v>12</v>
      </c>
      <c r="O34" s="230"/>
      <c r="P34" s="240" t="s">
        <v>137</v>
      </c>
      <c r="Q34" s="257"/>
      <c r="R34" s="572">
        <v>878526</v>
      </c>
      <c r="S34" s="572">
        <v>878526</v>
      </c>
      <c r="T34" s="572">
        <v>870079</v>
      </c>
      <c r="U34" s="256">
        <f>SUM(Q34:T34)</f>
        <v>2627131</v>
      </c>
      <c r="V34" s="573" t="s">
        <v>434</v>
      </c>
      <c r="W34" s="574"/>
      <c r="X34" s="574"/>
      <c r="Y34" s="574"/>
      <c r="Z34" s="230"/>
      <c r="AA34" s="230"/>
      <c r="AB34" s="230"/>
      <c r="AC34" s="230"/>
      <c r="AD34" s="230"/>
      <c r="AE34" s="230"/>
      <c r="AF34" s="230"/>
      <c r="AG34" s="230"/>
      <c r="AH34" s="230"/>
      <c r="AI34" s="230"/>
      <c r="AJ34" s="230"/>
      <c r="AK34" s="230"/>
      <c r="AL34" s="230"/>
      <c r="AM34" s="230"/>
      <c r="AN34" s="230"/>
      <c r="AO34" s="230"/>
      <c r="AP34" s="230"/>
      <c r="AQ34" s="230"/>
      <c r="AR34" s="230"/>
      <c r="AS34" s="230"/>
      <c r="AT34" s="230"/>
    </row>
    <row r="35" spans="1:46" ht="13.5" thickBot="1" x14ac:dyDescent="0.25">
      <c r="A35" s="230"/>
      <c r="B35" s="230"/>
      <c r="C35" s="230"/>
      <c r="D35" s="230"/>
      <c r="E35" s="230"/>
      <c r="F35" s="229"/>
      <c r="G35" s="230"/>
      <c r="H35" s="230"/>
      <c r="I35" s="230"/>
      <c r="J35" s="230"/>
      <c r="K35" s="230"/>
      <c r="L35" s="230"/>
      <c r="M35" s="233" t="s">
        <v>9</v>
      </c>
      <c r="N35" s="233">
        <f>SUM(N23:N34)</f>
        <v>78</v>
      </c>
      <c r="O35" s="230"/>
      <c r="P35" s="240" t="s">
        <v>138</v>
      </c>
      <c r="Q35" s="257"/>
      <c r="R35" s="258"/>
      <c r="S35" s="476">
        <f>(Q23-SUM(Q33:T34))/3</f>
        <v>590259</v>
      </c>
      <c r="T35" s="476">
        <f>S35</f>
        <v>590259</v>
      </c>
      <c r="U35" s="256">
        <f>SUM(Q35:T35)</f>
        <v>1180518</v>
      </c>
      <c r="V35" s="230" t="s">
        <v>268</v>
      </c>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row>
    <row r="36" spans="1:46" x14ac:dyDescent="0.2">
      <c r="A36" s="230"/>
      <c r="B36" s="230"/>
      <c r="C36" s="580" t="s">
        <v>437</v>
      </c>
      <c r="D36" s="581"/>
      <c r="E36" s="230"/>
      <c r="F36" s="229"/>
      <c r="G36" s="230"/>
      <c r="H36" s="230"/>
      <c r="I36" s="230"/>
      <c r="J36" s="230"/>
      <c r="K36" s="230"/>
      <c r="L36" s="230"/>
      <c r="M36" s="230"/>
      <c r="N36" s="230"/>
      <c r="O36" s="230"/>
      <c r="P36" s="240" t="s">
        <v>139</v>
      </c>
      <c r="Q36" s="257"/>
      <c r="R36" s="258"/>
      <c r="S36" s="476"/>
      <c r="T36" s="476">
        <f>T35</f>
        <v>590259</v>
      </c>
      <c r="U36" s="256">
        <f>SUM(Q36:T36)</f>
        <v>590259</v>
      </c>
      <c r="V36" s="230" t="s">
        <v>268</v>
      </c>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1:46" ht="13.5" thickBot="1" x14ac:dyDescent="0.25">
      <c r="A37" s="259"/>
      <c r="B37" s="259"/>
      <c r="C37" s="582" t="s">
        <v>438</v>
      </c>
      <c r="D37" s="583">
        <f>C32</f>
        <v>1732000</v>
      </c>
      <c r="E37" s="260"/>
      <c r="G37" s="230"/>
      <c r="H37" s="230"/>
      <c r="I37" s="230"/>
      <c r="J37" s="237"/>
      <c r="K37" s="230"/>
      <c r="L37" s="230"/>
      <c r="M37" s="230"/>
      <c r="N37" s="230"/>
      <c r="O37" s="230"/>
      <c r="Q37" s="261">
        <f>SUM(Q33:Q36)</f>
        <v>1022875</v>
      </c>
      <c r="R37" s="262">
        <f>SUM(R33:R36)</f>
        <v>1901401</v>
      </c>
      <c r="S37" s="262">
        <f>SUM(S33:S36)</f>
        <v>2466540</v>
      </c>
      <c r="T37" s="262">
        <f>SUM(T33:T36)</f>
        <v>2879184</v>
      </c>
      <c r="U37" s="263">
        <f>SUM(Q37:T37)</f>
        <v>8270000</v>
      </c>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row>
    <row r="38" spans="1:46" x14ac:dyDescent="0.2">
      <c r="C38" s="582" t="s">
        <v>439</v>
      </c>
      <c r="D38" s="583">
        <f>T33</f>
        <v>828587</v>
      </c>
    </row>
    <row r="39" spans="1:46" ht="13.5" thickBot="1" x14ac:dyDescent="0.25">
      <c r="C39" s="584" t="s">
        <v>440</v>
      </c>
      <c r="D39" s="585">
        <f>T34</f>
        <v>870079</v>
      </c>
      <c r="P39" s="240" t="s">
        <v>136</v>
      </c>
      <c r="Q39" s="254"/>
      <c r="R39" s="255"/>
      <c r="S39" s="255"/>
      <c r="T39" s="255"/>
    </row>
    <row r="40" spans="1:46" x14ac:dyDescent="0.2">
      <c r="C40" s="574" t="s">
        <v>9</v>
      </c>
      <c r="D40" s="574">
        <f>SUM(D37:D39)</f>
        <v>3430666</v>
      </c>
      <c r="P40" s="240" t="s">
        <v>137</v>
      </c>
      <c r="Q40" s="257"/>
      <c r="R40" s="572"/>
      <c r="S40" s="586">
        <v>0.5</v>
      </c>
      <c r="T40" s="586">
        <v>0.5</v>
      </c>
    </row>
    <row r="41" spans="1:46" x14ac:dyDescent="0.2">
      <c r="C41" s="574" t="s">
        <v>256</v>
      </c>
      <c r="D41" s="574">
        <f>D40-SUM('Purchased Power Model '!M267:M278)</f>
        <v>0</v>
      </c>
      <c r="P41" s="240" t="s">
        <v>138</v>
      </c>
      <c r="Q41" s="257"/>
      <c r="R41" s="258"/>
      <c r="S41" s="586">
        <v>0.5</v>
      </c>
      <c r="T41" s="586">
        <v>1</v>
      </c>
    </row>
    <row r="42" spans="1:46" x14ac:dyDescent="0.2">
      <c r="P42" s="240" t="s">
        <v>139</v>
      </c>
      <c r="Q42" s="257"/>
      <c r="R42" s="258"/>
      <c r="S42" s="476"/>
      <c r="T42" s="586">
        <v>0.5</v>
      </c>
    </row>
    <row r="43" spans="1:46" ht="13.5" thickBot="1" x14ac:dyDescent="0.25">
      <c r="R43" s="587" t="s">
        <v>442</v>
      </c>
      <c r="S43" s="262">
        <f>S40*S34+S41*S35</f>
        <v>734392.5</v>
      </c>
      <c r="T43" s="262">
        <f>T40*T34+T41*T35+T42*T36</f>
        <v>1320428</v>
      </c>
    </row>
    <row r="44" spans="1:46" x14ac:dyDescent="0.2">
      <c r="S44" s="480" t="s">
        <v>443</v>
      </c>
      <c r="T44" s="480">
        <f>'[18]App.2-I LF_CDM_WF'!$F$73</f>
        <v>1320428</v>
      </c>
    </row>
    <row r="45" spans="1:46" x14ac:dyDescent="0.2">
      <c r="S45" s="480"/>
      <c r="T45" s="554">
        <f>T44-T43</f>
        <v>0</v>
      </c>
    </row>
  </sheetData>
  <mergeCells count="4">
    <mergeCell ref="Q22:U22"/>
    <mergeCell ref="J23:K23"/>
    <mergeCell ref="Q23:U23"/>
    <mergeCell ref="Q25:U25"/>
  </mergeCells>
  <printOptions headings="1" gridLines="1"/>
  <pageMargins left="0.7" right="0.7" top="0.75" bottom="0.75" header="0.3" footer="0.3"/>
  <pageSetup paperSize="3" scale="76" orientation="landscape" r:id="rId1"/>
  <headerFooter>
    <oddHeader>&amp;L&amp;Z&amp;F&amp;A</oddHeader>
    <oddFooter>&amp;L&amp;D&amp;T</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AA228"/>
  <sheetViews>
    <sheetView workbookViewId="0">
      <selection activeCell="D43" sqref="D43"/>
    </sheetView>
  </sheetViews>
  <sheetFormatPr defaultRowHeight="12.75" x14ac:dyDescent="0.2"/>
  <cols>
    <col min="1" max="1" width="11.5703125" customWidth="1"/>
    <col min="2" max="2" width="8.7109375" customWidth="1"/>
    <col min="3" max="3" width="9.28515625" customWidth="1"/>
    <col min="4" max="4" width="8.7109375" customWidth="1"/>
    <col min="5" max="5" width="8.28515625" customWidth="1"/>
    <col min="6" max="7" width="8.5703125" style="212" bestFit="1" customWidth="1"/>
    <col min="8" max="8" width="8.28515625" customWidth="1"/>
    <col min="9" max="9" width="9.28515625" customWidth="1"/>
    <col min="10" max="10" width="9.42578125" customWidth="1"/>
    <col min="11" max="11" width="9.28515625" customWidth="1"/>
    <col min="12" max="12" width="9.42578125" customWidth="1"/>
    <col min="13" max="13" width="8.7109375" customWidth="1"/>
    <col min="14" max="15" width="9.140625" customWidth="1"/>
    <col min="16" max="16" width="9.7109375" customWidth="1"/>
    <col min="17" max="17" width="9.28515625" customWidth="1"/>
    <col min="18" max="18" width="9" customWidth="1"/>
    <col min="19" max="20" width="9.28515625" customWidth="1"/>
    <col min="21" max="21" width="9.7109375" customWidth="1"/>
    <col min="22" max="22" width="11" customWidth="1"/>
    <col min="23" max="23" width="14.5703125" bestFit="1" customWidth="1"/>
    <col min="24" max="24" width="11.140625" bestFit="1" customWidth="1"/>
    <col min="25" max="25" width="11.140625"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7" ht="15" customHeight="1" x14ac:dyDescent="0.25">
      <c r="A1" s="20" t="s">
        <v>251</v>
      </c>
      <c r="B1" s="20"/>
      <c r="F1"/>
      <c r="H1" s="212"/>
      <c r="W1" s="790" t="s">
        <v>252</v>
      </c>
      <c r="X1" s="791"/>
      <c r="Y1" s="792"/>
    </row>
    <row r="2" spans="1:27" ht="15" x14ac:dyDescent="0.25">
      <c r="A2" s="227" t="s">
        <v>253</v>
      </c>
      <c r="B2" s="227"/>
      <c r="C2" s="213"/>
      <c r="F2"/>
      <c r="H2" s="212"/>
      <c r="W2" s="790" t="s">
        <v>254</v>
      </c>
      <c r="X2" s="791"/>
      <c r="Y2" s="792"/>
    </row>
    <row r="3" spans="1:27" ht="15" x14ac:dyDescent="0.25">
      <c r="A3" s="227" t="s">
        <v>255</v>
      </c>
      <c r="B3" s="227"/>
      <c r="C3" s="214"/>
      <c r="D3" s="214"/>
      <c r="E3" s="214"/>
      <c r="F3" s="214"/>
      <c r="G3" s="215"/>
      <c r="H3" s="215"/>
      <c r="W3" s="285">
        <v>0.02</v>
      </c>
      <c r="X3" s="285">
        <v>1.9E-2</v>
      </c>
      <c r="Y3" s="286">
        <v>2.3E-2</v>
      </c>
    </row>
    <row r="4" spans="1:27" x14ac:dyDescent="0.2">
      <c r="A4" s="216" t="s">
        <v>192</v>
      </c>
      <c r="B4" s="216">
        <v>1991</v>
      </c>
      <c r="C4" s="216">
        <v>1992</v>
      </c>
      <c r="D4" s="216">
        <v>1993</v>
      </c>
      <c r="E4" s="216">
        <v>1994</v>
      </c>
      <c r="F4" s="216">
        <v>1995</v>
      </c>
      <c r="G4" s="216">
        <v>1996</v>
      </c>
      <c r="H4" s="216">
        <v>1997</v>
      </c>
      <c r="I4" s="216">
        <v>1998</v>
      </c>
      <c r="J4" s="216">
        <v>1999</v>
      </c>
      <c r="K4" s="216">
        <v>2000</v>
      </c>
      <c r="L4" s="216">
        <v>2001</v>
      </c>
      <c r="M4" s="216">
        <v>2002</v>
      </c>
      <c r="N4" s="216">
        <v>2003</v>
      </c>
      <c r="O4" s="216">
        <v>2004</v>
      </c>
      <c r="P4" s="216">
        <v>2005</v>
      </c>
      <c r="Q4" s="216">
        <v>2006</v>
      </c>
      <c r="R4" s="216">
        <v>2007</v>
      </c>
      <c r="S4" s="216">
        <v>2008</v>
      </c>
      <c r="T4" s="216">
        <v>2009</v>
      </c>
      <c r="U4" s="216">
        <v>2010</v>
      </c>
      <c r="V4" s="216">
        <v>2011</v>
      </c>
      <c r="W4" s="216">
        <v>2012</v>
      </c>
      <c r="X4" s="216">
        <v>2013</v>
      </c>
      <c r="Y4" s="287">
        <v>2014</v>
      </c>
    </row>
    <row r="5" spans="1:27" x14ac:dyDescent="0.2">
      <c r="A5" s="214"/>
      <c r="B5" s="214"/>
      <c r="C5" s="214"/>
      <c r="D5" s="214"/>
      <c r="E5" s="214"/>
      <c r="F5" s="214"/>
      <c r="G5" s="217"/>
      <c r="H5" s="217"/>
      <c r="W5" s="288" t="s">
        <v>256</v>
      </c>
    </row>
    <row r="6" spans="1:27" ht="15" x14ac:dyDescent="0.25">
      <c r="A6" s="218"/>
      <c r="B6" s="218"/>
      <c r="C6" s="289"/>
      <c r="D6" s="289"/>
      <c r="E6" s="289"/>
      <c r="F6" s="289"/>
      <c r="G6" s="290"/>
      <c r="H6" s="290"/>
      <c r="I6" s="290"/>
      <c r="J6" s="290"/>
      <c r="K6" s="291"/>
      <c r="L6" s="291"/>
      <c r="M6" s="291"/>
      <c r="N6" s="291"/>
      <c r="O6" s="291"/>
      <c r="P6" s="291"/>
      <c r="Q6" s="291"/>
      <c r="R6" s="291"/>
      <c r="S6" s="291"/>
      <c r="T6" s="291"/>
      <c r="U6" s="291"/>
      <c r="V6" s="291"/>
      <c r="W6" s="341">
        <f>SUM(C7:V18,W7:W12)-SUM('[19]1981-I to 2012-II'!$AT$173:$DW$173)</f>
        <v>0</v>
      </c>
    </row>
    <row r="7" spans="1:27" x14ac:dyDescent="0.2">
      <c r="A7" s="783" t="s">
        <v>257</v>
      </c>
      <c r="B7" s="787"/>
      <c r="C7" s="778">
        <f>'[19]1981-I to 2012-II'!$AT$173</f>
        <v>326410</v>
      </c>
      <c r="D7" s="778">
        <f>'[19]1981-I to 2012-II'!$AX$173</f>
        <v>325892</v>
      </c>
      <c r="E7" s="778">
        <f>'[19]1981-I to 2012-II'!$BB$173</f>
        <v>339055</v>
      </c>
      <c r="F7" s="778">
        <f>'[19]1981-I to 2012-II'!$BF$173</f>
        <v>357568</v>
      </c>
      <c r="G7" s="778">
        <f>'[19]1981-I to 2012-II'!$BJ$173</f>
        <v>362092</v>
      </c>
      <c r="H7" s="778">
        <f>'[19]1981-I to 2012-II'!$BN$173</f>
        <v>373606</v>
      </c>
      <c r="I7" s="778">
        <f>'[19]1981-I to 2012-II'!$BR$173</f>
        <v>396394</v>
      </c>
      <c r="J7" s="778">
        <f>'[19]1981-I to 2012-II'!$BV$173</f>
        <v>416370</v>
      </c>
      <c r="K7" s="778">
        <f>'[19]1981-I to 2012-II'!$BZ$173</f>
        <v>447722</v>
      </c>
      <c r="L7" s="778">
        <f>'[19]1981-I to 2012-II'!$CD$173</f>
        <v>460659</v>
      </c>
      <c r="M7" s="778">
        <f>'[19]1981-I to 2012-II'!$CH$173</f>
        <v>472866</v>
      </c>
      <c r="N7" s="778">
        <f>'[19]1981-I to 2012-II'!$CL$173</f>
        <v>486423</v>
      </c>
      <c r="O7" s="778">
        <f>'[19]1981-I to 2012-II'!$CP$173</f>
        <v>487149</v>
      </c>
      <c r="P7" s="778">
        <f>'[19]1981-I to 2012-II'!$CT$173</f>
        <v>506258</v>
      </c>
      <c r="Q7" s="778">
        <f>'[19]1981-I to 2012-II'!$CX$173</f>
        <v>520850</v>
      </c>
      <c r="R7" s="778">
        <f>'[19]1981-I to 2012-II'!$DB$173</f>
        <v>529139</v>
      </c>
      <c r="S7" s="778">
        <f>'[19]1981-I to 2012-II'!$DF$173</f>
        <v>531864</v>
      </c>
      <c r="T7" s="778">
        <f>'[19]1981-I to 2012-II'!$DJ$173</f>
        <v>514008</v>
      </c>
      <c r="U7" s="778">
        <f>'[19]1981-I to 2012-II'!$DN$173</f>
        <v>524123</v>
      </c>
      <c r="V7" s="778">
        <f>'[19]1981-I to 2012-II'!$DR$173</f>
        <v>536012</v>
      </c>
      <c r="W7" s="778">
        <f>'[19]1981-I to 2012-II'!$DV$173</f>
        <v>546784</v>
      </c>
      <c r="X7" s="781">
        <f>W16*X20</f>
        <v>554860.69038601813</v>
      </c>
      <c r="Y7" s="781">
        <f>X16*Y20</f>
        <v>568287.37989809038</v>
      </c>
      <c r="Z7">
        <f>X7/W7</f>
        <v>1.0147712632154893</v>
      </c>
      <c r="AA7">
        <f>Y7/X7</f>
        <v>1.0241983073313974</v>
      </c>
    </row>
    <row r="8" spans="1:27" x14ac:dyDescent="0.2">
      <c r="A8" s="783"/>
      <c r="B8" s="788"/>
      <c r="C8" s="779"/>
      <c r="D8" s="779"/>
      <c r="E8" s="779"/>
      <c r="F8" s="779"/>
      <c r="G8" s="779"/>
      <c r="H8" s="779"/>
      <c r="I8" s="779"/>
      <c r="J8" s="779"/>
      <c r="K8" s="779"/>
      <c r="L8" s="779"/>
      <c r="M8" s="779"/>
      <c r="N8" s="779"/>
      <c r="O8" s="779"/>
      <c r="P8" s="779"/>
      <c r="Q8" s="779"/>
      <c r="R8" s="779"/>
      <c r="S8" s="779"/>
      <c r="T8" s="779"/>
      <c r="U8" s="779"/>
      <c r="V8" s="779"/>
      <c r="W8" s="779"/>
      <c r="X8" s="781"/>
      <c r="Y8" s="781"/>
    </row>
    <row r="9" spans="1:27" x14ac:dyDescent="0.2">
      <c r="A9" s="783"/>
      <c r="B9" s="789"/>
      <c r="C9" s="780"/>
      <c r="D9" s="780"/>
      <c r="E9" s="780"/>
      <c r="F9" s="780"/>
      <c r="G9" s="780"/>
      <c r="H9" s="780"/>
      <c r="I9" s="780"/>
      <c r="J9" s="780"/>
      <c r="K9" s="780"/>
      <c r="L9" s="780"/>
      <c r="M9" s="780"/>
      <c r="N9" s="780"/>
      <c r="O9" s="780"/>
      <c r="P9" s="780"/>
      <c r="Q9" s="780"/>
      <c r="R9" s="780"/>
      <c r="S9" s="780"/>
      <c r="T9" s="780"/>
      <c r="U9" s="780"/>
      <c r="V9" s="780"/>
      <c r="W9" s="780"/>
      <c r="X9" s="781"/>
      <c r="Y9" s="781"/>
    </row>
    <row r="10" spans="1:27" x14ac:dyDescent="0.2">
      <c r="A10" s="783" t="s">
        <v>258</v>
      </c>
      <c r="B10" s="787"/>
      <c r="C10" s="778">
        <f>'[19]1981-I to 2012-II'!$AU$173</f>
        <v>325879</v>
      </c>
      <c r="D10" s="778">
        <f>'[19]1981-I to 2012-II'!$AY$173</f>
        <v>327423</v>
      </c>
      <c r="E10" s="778">
        <f>'[19]1981-I to 2012-II'!$BC$173</f>
        <v>345184</v>
      </c>
      <c r="F10" s="778">
        <f>'[19]1981-I to 2012-II'!$BG$173</f>
        <v>357881</v>
      </c>
      <c r="G10" s="778">
        <f>'[19]1981-I to 2012-II'!$BK$173</f>
        <v>363582</v>
      </c>
      <c r="H10" s="778">
        <f>'[19]1981-I to 2012-II'!$BO$173</f>
        <v>376846</v>
      </c>
      <c r="I10" s="778">
        <f>'[19]1981-I to 2012-II'!$BS$173</f>
        <v>396928</v>
      </c>
      <c r="J10" s="778">
        <f>'[19]1981-I to 2012-II'!$BW$173</f>
        <v>425635</v>
      </c>
      <c r="K10" s="778">
        <f>'[19]1981-I to 2012-II'!$CA$173</f>
        <v>453967</v>
      </c>
      <c r="L10" s="778">
        <f>'[19]1981-I to 2012-II'!$CE$173</f>
        <v>464009</v>
      </c>
      <c r="M10" s="778">
        <f>'[19]1981-I to 2012-II'!$CI$173</f>
        <v>474549</v>
      </c>
      <c r="N10" s="778">
        <f>'[19]1981-I to 2012-II'!$CM$173</f>
        <v>484863</v>
      </c>
      <c r="O10" s="778">
        <f>'[19]1981-I to 2012-II'!$CQ$173</f>
        <v>494851</v>
      </c>
      <c r="P10" s="778">
        <f>'[19]1981-I to 2012-II'!$CU$173</f>
        <v>508717</v>
      </c>
      <c r="Q10" s="778">
        <f>'[19]1981-I to 2012-II'!$CY$173</f>
        <v>522735</v>
      </c>
      <c r="R10" s="778">
        <f>'[19]1981-I to 2012-II'!$DC$173</f>
        <v>534383</v>
      </c>
      <c r="S10" s="778">
        <f>'[19]1981-I to 2012-II'!$DG$173</f>
        <v>532886</v>
      </c>
      <c r="T10" s="778">
        <f>'[19]1981-I to 2012-II'!$DK$173</f>
        <v>508545</v>
      </c>
      <c r="U10" s="778">
        <f>'[19]1981-I to 2012-II'!$DO$173</f>
        <v>526401</v>
      </c>
      <c r="V10" s="778">
        <f>'[19]1981-I to 2012-II'!$DS$173</f>
        <v>535207</v>
      </c>
      <c r="W10" s="778">
        <f>'[19]1981-I to 2012-II'!$DW$173</f>
        <v>549610</v>
      </c>
      <c r="X10" s="781">
        <f>X7*X20</f>
        <v>558295.83292019798</v>
      </c>
      <c r="Y10" s="781">
        <f>Y7*Y20</f>
        <v>571361.24633595918</v>
      </c>
      <c r="Z10">
        <f>X10/W10</f>
        <v>1.015803629701421</v>
      </c>
      <c r="AA10">
        <f>Y10/X10</f>
        <v>1.023402312260548</v>
      </c>
    </row>
    <row r="11" spans="1:27" x14ac:dyDescent="0.2">
      <c r="A11" s="783"/>
      <c r="B11" s="788"/>
      <c r="C11" s="779"/>
      <c r="D11" s="779"/>
      <c r="E11" s="779"/>
      <c r="F11" s="779"/>
      <c r="G11" s="779"/>
      <c r="H11" s="779"/>
      <c r="I11" s="779"/>
      <c r="J11" s="779"/>
      <c r="K11" s="779"/>
      <c r="L11" s="779"/>
      <c r="M11" s="779"/>
      <c r="N11" s="779"/>
      <c r="O11" s="779"/>
      <c r="P11" s="779"/>
      <c r="Q11" s="779"/>
      <c r="R11" s="779"/>
      <c r="S11" s="779"/>
      <c r="T11" s="779"/>
      <c r="U11" s="779"/>
      <c r="V11" s="779"/>
      <c r="W11" s="779"/>
      <c r="X11" s="781"/>
      <c r="Y11" s="781"/>
    </row>
    <row r="12" spans="1:27" x14ac:dyDescent="0.2">
      <c r="A12" s="783"/>
      <c r="B12" s="789"/>
      <c r="C12" s="780"/>
      <c r="D12" s="780"/>
      <c r="E12" s="780"/>
      <c r="F12" s="780"/>
      <c r="G12" s="780"/>
      <c r="H12" s="780"/>
      <c r="I12" s="780"/>
      <c r="J12" s="780"/>
      <c r="K12" s="780"/>
      <c r="L12" s="780"/>
      <c r="M12" s="780"/>
      <c r="N12" s="780"/>
      <c r="O12" s="780"/>
      <c r="P12" s="780"/>
      <c r="Q12" s="780"/>
      <c r="R12" s="780"/>
      <c r="S12" s="780"/>
      <c r="T12" s="780"/>
      <c r="U12" s="780"/>
      <c r="V12" s="780"/>
      <c r="W12" s="780"/>
      <c r="X12" s="781"/>
      <c r="Y12" s="781"/>
    </row>
    <row r="13" spans="1:27" x14ac:dyDescent="0.2">
      <c r="A13" s="783" t="s">
        <v>259</v>
      </c>
      <c r="B13" s="787"/>
      <c r="C13" s="778">
        <f>'[19]1981-I to 2012-II'!$AV$173</f>
        <v>323620</v>
      </c>
      <c r="D13" s="778">
        <f>'[19]1981-I to 2012-II'!$AZ$173</f>
        <v>330881</v>
      </c>
      <c r="E13" s="778">
        <f>'[19]1981-I to 2012-II'!$BD$173</f>
        <v>352218</v>
      </c>
      <c r="F13" s="778">
        <f>'[19]1981-I to 2012-II'!$BH$173</f>
        <v>361647</v>
      </c>
      <c r="G13" s="778">
        <f>'[19]1981-I to 2012-II'!$BL$173</f>
        <v>366392</v>
      </c>
      <c r="H13" s="778">
        <f>'[19]1981-I to 2012-II'!$BP$173</f>
        <v>385056</v>
      </c>
      <c r="I13" s="778">
        <f>'[19]1981-I to 2012-II'!$BT$173</f>
        <v>400201</v>
      </c>
      <c r="J13" s="778">
        <f>'[19]1981-I to 2012-II'!$BX$173</f>
        <v>434155</v>
      </c>
      <c r="K13" s="778">
        <f>'[19]1981-I to 2012-II'!$CB$173</f>
        <v>459626</v>
      </c>
      <c r="L13" s="778">
        <f>'[19]1981-I to 2012-II'!$CF$173</f>
        <v>462562</v>
      </c>
      <c r="M13" s="778">
        <f>'[19]1981-I to 2012-II'!$CJ$173</f>
        <v>480503</v>
      </c>
      <c r="N13" s="778">
        <f>'[19]1981-I to 2012-II'!$CN$173</f>
        <v>480756</v>
      </c>
      <c r="O13" s="778">
        <f>'[19]1981-I to 2012-II'!$CR$173</f>
        <v>501398</v>
      </c>
      <c r="P13" s="778">
        <f>'[19]1981-I to 2012-II'!$CV$173</f>
        <v>512080</v>
      </c>
      <c r="Q13" s="778">
        <f>'[19]1981-I to 2012-II'!$CZ$173</f>
        <v>522227</v>
      </c>
      <c r="R13" s="778">
        <f>'[19]1981-I to 2012-II'!$DD$173</f>
        <v>534293</v>
      </c>
      <c r="S13" s="778">
        <f>'[19]1981-I to 2012-II'!$DH$173</f>
        <v>529864</v>
      </c>
      <c r="T13" s="778">
        <f>'[19]1981-I to 2012-II'!$DL$173</f>
        <v>509873</v>
      </c>
      <c r="U13" s="778">
        <f>'[19]1981-I to 2012-II'!$DP$173</f>
        <v>528403</v>
      </c>
      <c r="V13" s="778">
        <f>'[19]1981-I to 2012-II'!$DT$173</f>
        <v>540267</v>
      </c>
      <c r="W13" s="782">
        <f>W10*W20</f>
        <v>550527.57603441295</v>
      </c>
      <c r="X13" s="781">
        <f>X10*X20</f>
        <v>561752.24242180691</v>
      </c>
      <c r="Y13" s="781">
        <f>Y10*Y20</f>
        <v>574451.73931739037</v>
      </c>
      <c r="Z13">
        <f>X13/W13</f>
        <v>1.0203889266878292</v>
      </c>
      <c r="AA13">
        <f>Y13/X13</f>
        <v>1.0226069358278551</v>
      </c>
    </row>
    <row r="14" spans="1:27" x14ac:dyDescent="0.2">
      <c r="A14" s="783"/>
      <c r="B14" s="788"/>
      <c r="C14" s="779"/>
      <c r="D14" s="779"/>
      <c r="E14" s="779"/>
      <c r="F14" s="779"/>
      <c r="G14" s="779"/>
      <c r="H14" s="779"/>
      <c r="I14" s="779"/>
      <c r="J14" s="779"/>
      <c r="K14" s="779"/>
      <c r="L14" s="779"/>
      <c r="M14" s="779"/>
      <c r="N14" s="779"/>
      <c r="O14" s="779"/>
      <c r="P14" s="779"/>
      <c r="Q14" s="779"/>
      <c r="R14" s="779"/>
      <c r="S14" s="779"/>
      <c r="T14" s="779"/>
      <c r="U14" s="779"/>
      <c r="V14" s="779"/>
      <c r="W14" s="782"/>
      <c r="X14" s="781"/>
      <c r="Y14" s="781"/>
    </row>
    <row r="15" spans="1:27" x14ac:dyDescent="0.2">
      <c r="A15" s="783"/>
      <c r="B15" s="789"/>
      <c r="C15" s="780"/>
      <c r="D15" s="780"/>
      <c r="E15" s="780"/>
      <c r="F15" s="780"/>
      <c r="G15" s="780"/>
      <c r="H15" s="780"/>
      <c r="I15" s="780"/>
      <c r="J15" s="780"/>
      <c r="K15" s="780"/>
      <c r="L15" s="780"/>
      <c r="M15" s="780"/>
      <c r="N15" s="780"/>
      <c r="O15" s="780"/>
      <c r="P15" s="780"/>
      <c r="Q15" s="780"/>
      <c r="R15" s="780"/>
      <c r="S15" s="780"/>
      <c r="T15" s="780"/>
      <c r="U15" s="780"/>
      <c r="V15" s="780"/>
      <c r="W15" s="782"/>
      <c r="X15" s="781"/>
      <c r="Y15" s="781"/>
    </row>
    <row r="16" spans="1:27" x14ac:dyDescent="0.2">
      <c r="A16" s="783" t="s">
        <v>260</v>
      </c>
      <c r="B16" s="784">
        <f>'[19]1981-I to 2012-II'!$AS$173</f>
        <v>325650</v>
      </c>
      <c r="C16" s="778">
        <f>'[19]1981-I to 2012-II'!$AW$173</f>
        <v>327855</v>
      </c>
      <c r="D16" s="778">
        <f>'[19]1981-I to 2012-II'!$BA$173</f>
        <v>332031</v>
      </c>
      <c r="E16" s="778">
        <f>'[19]1981-I to 2012-II'!$BE$173</f>
        <v>357555</v>
      </c>
      <c r="F16" s="778">
        <f>'[19]1981-I to 2012-II'!$BI$173</f>
        <v>366061</v>
      </c>
      <c r="G16" s="778">
        <f>'[19]1981-I to 2012-II'!$BM$173</f>
        <v>366982</v>
      </c>
      <c r="H16" s="778">
        <f>'[19]1981-I to 2012-II'!$BQ$173</f>
        <v>389432</v>
      </c>
      <c r="I16" s="778">
        <f>'[19]1981-I to 2012-II'!$BU$173</f>
        <v>405097</v>
      </c>
      <c r="J16" s="778">
        <f>'[19]1981-I to 2012-II'!$BY$173</f>
        <v>442628</v>
      </c>
      <c r="K16" s="778">
        <f>'[19]1981-I to 2012-II'!$CC$173</f>
        <v>459621</v>
      </c>
      <c r="L16" s="778">
        <f>'[19]1981-I to 2012-II'!$CG$173</f>
        <v>466198</v>
      </c>
      <c r="M16" s="778">
        <f>'[19]1981-I to 2012-II'!$CK$173</f>
        <v>483135</v>
      </c>
      <c r="N16" s="778">
        <f>'[19]1981-I to 2012-II'!$CO$173</f>
        <v>485322</v>
      </c>
      <c r="O16" s="778">
        <f>'[19]1981-I to 2012-II'!$CS$173</f>
        <v>503722</v>
      </c>
      <c r="P16" s="778">
        <f>'[19]1981-I to 2012-II'!$CW$173</f>
        <v>514981</v>
      </c>
      <c r="Q16" s="778">
        <f>'[19]1981-I to 2012-II'!$DA$173</f>
        <v>526180</v>
      </c>
      <c r="R16" s="778">
        <f>'[19]1981-I to 2012-II'!$DE$173</f>
        <v>535117</v>
      </c>
      <c r="S16" s="778">
        <f>'[19]1981-I to 2012-II'!$DI$173</f>
        <v>524698</v>
      </c>
      <c r="T16" s="778">
        <f>'[19]1981-I to 2012-II'!$DM$173</f>
        <v>518314</v>
      </c>
      <c r="U16" s="778">
        <f>'[19]1981-I to 2012-II'!$DQ$173</f>
        <v>532324</v>
      </c>
      <c r="V16" s="778">
        <f>'[19]1981-I to 2012-II'!$DU$173</f>
        <v>543777</v>
      </c>
      <c r="W16" s="782">
        <f>W13*W20</f>
        <v>551446.68396558717</v>
      </c>
      <c r="X16" s="781">
        <f>X13*X20</f>
        <v>565230.05055464036</v>
      </c>
      <c r="Y16" s="781">
        <f>Y13*Y20</f>
        <v>577558.94877535815</v>
      </c>
      <c r="Z16">
        <f>X16/W16</f>
        <v>1.0249949215215761</v>
      </c>
      <c r="AA16">
        <f>Y16/X16</f>
        <v>1.0218121775525202</v>
      </c>
    </row>
    <row r="17" spans="1:25" x14ac:dyDescent="0.2">
      <c r="A17" s="783"/>
      <c r="B17" s="785"/>
      <c r="C17" s="779"/>
      <c r="D17" s="779"/>
      <c r="E17" s="779"/>
      <c r="F17" s="779"/>
      <c r="G17" s="779"/>
      <c r="H17" s="779"/>
      <c r="I17" s="779"/>
      <c r="J17" s="779"/>
      <c r="K17" s="779"/>
      <c r="L17" s="779"/>
      <c r="M17" s="779"/>
      <c r="N17" s="779"/>
      <c r="O17" s="779"/>
      <c r="P17" s="779"/>
      <c r="Q17" s="779"/>
      <c r="R17" s="779"/>
      <c r="S17" s="779"/>
      <c r="T17" s="779"/>
      <c r="U17" s="779"/>
      <c r="V17" s="779"/>
      <c r="W17" s="782"/>
      <c r="X17" s="781"/>
      <c r="Y17" s="781"/>
    </row>
    <row r="18" spans="1:25" x14ac:dyDescent="0.2">
      <c r="A18" s="783"/>
      <c r="B18" s="786"/>
      <c r="C18" s="780"/>
      <c r="D18" s="780"/>
      <c r="E18" s="780"/>
      <c r="F18" s="780"/>
      <c r="G18" s="780"/>
      <c r="H18" s="780"/>
      <c r="I18" s="780"/>
      <c r="J18" s="780"/>
      <c r="K18" s="780"/>
      <c r="L18" s="780"/>
      <c r="M18" s="780"/>
      <c r="N18" s="780"/>
      <c r="O18" s="780"/>
      <c r="P18" s="780"/>
      <c r="Q18" s="780"/>
      <c r="R18" s="780"/>
      <c r="S18" s="780"/>
      <c r="T18" s="780"/>
      <c r="U18" s="780"/>
      <c r="V18" s="780"/>
      <c r="W18" s="782"/>
      <c r="X18" s="781"/>
      <c r="Y18" s="781"/>
    </row>
    <row r="19" spans="1:25" ht="15" x14ac:dyDescent="0.25">
      <c r="A19" s="292" t="s">
        <v>261</v>
      </c>
      <c r="B19" s="293"/>
      <c r="C19" s="294">
        <f>AVERAGE(C7:C18)</f>
        <v>325941</v>
      </c>
      <c r="D19" s="294">
        <f t="shared" ref="D19:V19" si="0">AVERAGE(D7:D18)</f>
        <v>329056.75</v>
      </c>
      <c r="E19" s="294">
        <f t="shared" si="0"/>
        <v>348503</v>
      </c>
      <c r="F19" s="294">
        <f t="shared" si="0"/>
        <v>360789.25</v>
      </c>
      <c r="G19" s="294">
        <f t="shared" si="0"/>
        <v>364762</v>
      </c>
      <c r="H19" s="294">
        <f t="shared" si="0"/>
        <v>381235</v>
      </c>
      <c r="I19" s="294">
        <f t="shared" si="0"/>
        <v>399655</v>
      </c>
      <c r="J19" s="294">
        <f t="shared" si="0"/>
        <v>429697</v>
      </c>
      <c r="K19" s="294">
        <f t="shared" si="0"/>
        <v>455234</v>
      </c>
      <c r="L19" s="294">
        <f t="shared" si="0"/>
        <v>463357</v>
      </c>
      <c r="M19" s="294">
        <f t="shared" si="0"/>
        <v>477763.25</v>
      </c>
      <c r="N19" s="294">
        <f t="shared" si="0"/>
        <v>484341</v>
      </c>
      <c r="O19" s="294">
        <f t="shared" si="0"/>
        <v>496780</v>
      </c>
      <c r="P19" s="294">
        <f t="shared" si="0"/>
        <v>510509</v>
      </c>
      <c r="Q19" s="294">
        <f t="shared" si="0"/>
        <v>522998</v>
      </c>
      <c r="R19" s="294">
        <f t="shared" si="0"/>
        <v>533233</v>
      </c>
      <c r="S19" s="294">
        <f t="shared" si="0"/>
        <v>529828</v>
      </c>
      <c r="T19" s="294">
        <f t="shared" si="0"/>
        <v>512685</v>
      </c>
      <c r="U19" s="294">
        <f t="shared" si="0"/>
        <v>527812.75</v>
      </c>
      <c r="V19" s="294">
        <f t="shared" si="0"/>
        <v>538815.75</v>
      </c>
      <c r="W19" s="295">
        <f>V19*(1+W3)</f>
        <v>549592.06500000006</v>
      </c>
      <c r="X19" s="295">
        <f>W19*(1+X3)</f>
        <v>560034.31423500006</v>
      </c>
      <c r="Y19" s="295">
        <f>X19*(1+Y3)</f>
        <v>572915.10346240504</v>
      </c>
    </row>
    <row r="20" spans="1:25" ht="15" x14ac:dyDescent="0.25">
      <c r="B20" s="332">
        <f>'[19]1981-I to 2012-II'!L$513</f>
        <v>323008</v>
      </c>
      <c r="C20" s="332">
        <f>'[19]1981-I to 2012-II'!M$513</f>
        <v>325941</v>
      </c>
      <c r="D20" s="332">
        <f>'[19]1981-I to 2012-II'!N$513</f>
        <v>329057</v>
      </c>
      <c r="E20" s="332">
        <f>'[19]1981-I to 2012-II'!O$513</f>
        <v>348503</v>
      </c>
      <c r="F20" s="332">
        <f>'[19]1981-I to 2012-II'!P$513</f>
        <v>360789</v>
      </c>
      <c r="G20" s="332">
        <f>'[19]1981-I to 2012-II'!Q$513</f>
        <v>364762</v>
      </c>
      <c r="H20" s="332">
        <f>'[19]1981-I to 2012-II'!R$513</f>
        <v>381235</v>
      </c>
      <c r="I20" s="332">
        <f>'[19]1981-I to 2012-II'!S$513</f>
        <v>399655</v>
      </c>
      <c r="J20" s="332">
        <f>'[19]1981-I to 2012-II'!T$513</f>
        <v>429697</v>
      </c>
      <c r="K20" s="332">
        <f>'[19]1981-I to 2012-II'!U$513</f>
        <v>455234</v>
      </c>
      <c r="L20" s="332">
        <f>'[19]1981-I to 2012-II'!V$513</f>
        <v>463357</v>
      </c>
      <c r="M20" s="332">
        <f>'[19]1981-I to 2012-II'!W$513</f>
        <v>477763</v>
      </c>
      <c r="N20" s="332">
        <f>'[19]1981-I to 2012-II'!X$513</f>
        <v>484341</v>
      </c>
      <c r="O20" s="332">
        <f>'[19]1981-I to 2012-II'!Y$513</f>
        <v>496780</v>
      </c>
      <c r="P20" s="332">
        <f>'[19]1981-I to 2012-II'!Z$513</f>
        <v>510509</v>
      </c>
      <c r="Q20" s="332">
        <f>'[19]1981-I to 2012-II'!AA$513</f>
        <v>522998</v>
      </c>
      <c r="R20" s="332">
        <f>'[19]1981-I to 2012-II'!AB$513</f>
        <v>533233</v>
      </c>
      <c r="S20" s="332">
        <f>'[19]1981-I to 2012-II'!AC$513</f>
        <v>529828</v>
      </c>
      <c r="T20" s="332">
        <f>'[19]1981-I to 2012-II'!AD$513</f>
        <v>512685</v>
      </c>
      <c r="U20" s="332">
        <f>'[19]1981-I to 2012-II'!AE$513</f>
        <v>527813</v>
      </c>
      <c r="V20" s="332">
        <f>'[19]1981-I to 2012-II'!AF$513</f>
        <v>538816</v>
      </c>
      <c r="W20" s="296">
        <f>1/2/W10*(-W10+POWER(POWER(W10,2)-4*W10*(W7+W10-4*W19),1/2))</f>
        <v>1.001669503892602</v>
      </c>
      <c r="X20" s="296">
        <v>1.0061910000000001</v>
      </c>
      <c r="Y20" s="296">
        <v>1.005409</v>
      </c>
    </row>
    <row r="21" spans="1:25" ht="15" x14ac:dyDescent="0.25">
      <c r="A21" t="s">
        <v>262</v>
      </c>
      <c r="F21" s="225"/>
      <c r="G21"/>
      <c r="W21" s="297">
        <f>AVERAGE(W7:W18)-W19</f>
        <v>0</v>
      </c>
      <c r="X21" s="297">
        <f>AVERAGE(X7:X18)-X19</f>
        <v>0.3898356658173725</v>
      </c>
      <c r="Y21" s="297">
        <f>AVERAGE(Y7:Y18)-Y19</f>
        <v>-0.27488070551771671</v>
      </c>
    </row>
    <row r="22" spans="1:25" x14ac:dyDescent="0.2">
      <c r="A22" s="218" t="s">
        <v>193</v>
      </c>
      <c r="B22" s="298"/>
      <c r="C22" s="66"/>
      <c r="D22" s="66"/>
      <c r="E22" s="66"/>
      <c r="F22" s="66"/>
      <c r="G22" s="66"/>
      <c r="H22" s="66"/>
      <c r="I22" s="66"/>
      <c r="J22" s="66"/>
      <c r="K22" s="66"/>
      <c r="L22" s="66"/>
      <c r="M22" s="66"/>
      <c r="N22" s="66"/>
      <c r="O22" s="66"/>
      <c r="P22" s="66"/>
      <c r="Q22" s="66"/>
      <c r="R22" s="66"/>
      <c r="S22" s="66"/>
      <c r="T22" s="66"/>
      <c r="U22" s="66"/>
      <c r="V22" s="66"/>
      <c r="W22" s="299"/>
    </row>
    <row r="23" spans="1:25" x14ac:dyDescent="0.2">
      <c r="A23" s="218" t="s">
        <v>194</v>
      </c>
      <c r="B23" s="298"/>
      <c r="C23" s="66"/>
      <c r="D23" s="66"/>
      <c r="E23" s="66"/>
      <c r="F23" s="66"/>
      <c r="G23" s="66"/>
      <c r="H23" s="66"/>
      <c r="I23" s="66"/>
      <c r="J23" s="66"/>
      <c r="K23" s="66"/>
      <c r="L23" s="66"/>
      <c r="M23" s="66"/>
      <c r="N23" s="66"/>
      <c r="O23" s="66"/>
      <c r="P23" s="66"/>
      <c r="Q23" s="66"/>
      <c r="R23" s="66"/>
      <c r="S23" s="66"/>
      <c r="T23" s="66"/>
      <c r="U23" s="66"/>
      <c r="V23" s="66"/>
    </row>
    <row r="24" spans="1:25" ht="15" x14ac:dyDescent="0.25">
      <c r="A24" s="218" t="s">
        <v>195</v>
      </c>
      <c r="B24" s="298"/>
      <c r="C24" s="66">
        <f>C7</f>
        <v>326410</v>
      </c>
      <c r="D24" s="66">
        <f t="shared" ref="D24:V24" si="1">D7</f>
        <v>325892</v>
      </c>
      <c r="E24" s="66">
        <f t="shared" si="1"/>
        <v>339055</v>
      </c>
      <c r="F24" s="66">
        <f t="shared" si="1"/>
        <v>357568</v>
      </c>
      <c r="G24" s="66">
        <f t="shared" si="1"/>
        <v>362092</v>
      </c>
      <c r="H24" s="66">
        <f t="shared" si="1"/>
        <v>373606</v>
      </c>
      <c r="I24" s="66">
        <f t="shared" si="1"/>
        <v>396394</v>
      </c>
      <c r="J24" s="66">
        <f t="shared" si="1"/>
        <v>416370</v>
      </c>
      <c r="K24" s="66">
        <f t="shared" si="1"/>
        <v>447722</v>
      </c>
      <c r="L24" s="66">
        <f t="shared" si="1"/>
        <v>460659</v>
      </c>
      <c r="M24" s="66">
        <f t="shared" si="1"/>
        <v>472866</v>
      </c>
      <c r="N24" s="66">
        <f t="shared" si="1"/>
        <v>486423</v>
      </c>
      <c r="O24" s="66">
        <f t="shared" si="1"/>
        <v>487149</v>
      </c>
      <c r="P24" s="66">
        <f t="shared" si="1"/>
        <v>506258</v>
      </c>
      <c r="Q24" s="66">
        <f t="shared" si="1"/>
        <v>520850</v>
      </c>
      <c r="R24" s="66">
        <f t="shared" si="1"/>
        <v>529139</v>
      </c>
      <c r="S24" s="66">
        <f t="shared" si="1"/>
        <v>531864</v>
      </c>
      <c r="T24" s="66">
        <f t="shared" si="1"/>
        <v>514008</v>
      </c>
      <c r="U24" s="66">
        <f t="shared" si="1"/>
        <v>524123</v>
      </c>
      <c r="V24" s="66">
        <f t="shared" si="1"/>
        <v>536012</v>
      </c>
      <c r="W24" s="66">
        <f>W7</f>
        <v>546784</v>
      </c>
      <c r="X24" s="295">
        <f>X7</f>
        <v>554860.69038601813</v>
      </c>
      <c r="Y24" s="295">
        <f>Y7</f>
        <v>568287.37989809038</v>
      </c>
    </row>
    <row r="25" spans="1:25" x14ac:dyDescent="0.2">
      <c r="A25" s="218" t="s">
        <v>196</v>
      </c>
      <c r="B25" s="298"/>
      <c r="C25" s="66"/>
      <c r="D25" s="66"/>
      <c r="E25" s="66"/>
      <c r="F25" s="66"/>
      <c r="G25" s="66"/>
      <c r="H25" s="66"/>
      <c r="I25" s="66"/>
      <c r="J25" s="66"/>
      <c r="K25" s="66"/>
      <c r="L25" s="66"/>
      <c r="M25" s="66"/>
      <c r="N25" s="66"/>
      <c r="O25" s="66"/>
      <c r="P25" s="66"/>
      <c r="Q25" s="66"/>
      <c r="R25" s="66"/>
      <c r="S25" s="66"/>
      <c r="T25" s="66"/>
      <c r="U25" s="66"/>
      <c r="V25" s="66"/>
    </row>
    <row r="26" spans="1:25" x14ac:dyDescent="0.2">
      <c r="A26" s="218" t="s">
        <v>86</v>
      </c>
      <c r="B26" s="298"/>
      <c r="C26" s="66"/>
      <c r="D26" s="66"/>
      <c r="E26" s="66"/>
      <c r="F26" s="66"/>
      <c r="G26" s="66"/>
      <c r="H26" s="66"/>
      <c r="I26" s="66"/>
      <c r="J26" s="66"/>
      <c r="K26" s="66"/>
      <c r="L26" s="66"/>
      <c r="M26" s="66"/>
      <c r="N26" s="66"/>
      <c r="O26" s="66"/>
      <c r="P26" s="66"/>
      <c r="Q26" s="66"/>
      <c r="R26" s="66"/>
      <c r="S26" s="66"/>
      <c r="T26" s="66"/>
      <c r="U26" s="66"/>
      <c r="V26" s="66"/>
    </row>
    <row r="27" spans="1:25" ht="15" x14ac:dyDescent="0.25">
      <c r="A27" s="218" t="s">
        <v>197</v>
      </c>
      <c r="B27" s="298"/>
      <c r="C27" s="66">
        <f>C10</f>
        <v>325879</v>
      </c>
      <c r="D27" s="66">
        <f t="shared" ref="D27:Y27" si="2">D10</f>
        <v>327423</v>
      </c>
      <c r="E27" s="66">
        <f t="shared" si="2"/>
        <v>345184</v>
      </c>
      <c r="F27" s="66">
        <f t="shared" si="2"/>
        <v>357881</v>
      </c>
      <c r="G27" s="66">
        <f t="shared" si="2"/>
        <v>363582</v>
      </c>
      <c r="H27" s="66">
        <f t="shared" si="2"/>
        <v>376846</v>
      </c>
      <c r="I27" s="66">
        <f t="shared" si="2"/>
        <v>396928</v>
      </c>
      <c r="J27" s="66">
        <f t="shared" si="2"/>
        <v>425635</v>
      </c>
      <c r="K27" s="66">
        <f t="shared" si="2"/>
        <v>453967</v>
      </c>
      <c r="L27" s="66">
        <f t="shared" si="2"/>
        <v>464009</v>
      </c>
      <c r="M27" s="66">
        <f t="shared" si="2"/>
        <v>474549</v>
      </c>
      <c r="N27" s="66">
        <f t="shared" si="2"/>
        <v>484863</v>
      </c>
      <c r="O27" s="66">
        <f t="shared" si="2"/>
        <v>494851</v>
      </c>
      <c r="P27" s="66">
        <f t="shared" si="2"/>
        <v>508717</v>
      </c>
      <c r="Q27" s="66">
        <f t="shared" si="2"/>
        <v>522735</v>
      </c>
      <c r="R27" s="66">
        <f t="shared" si="2"/>
        <v>534383</v>
      </c>
      <c r="S27" s="66">
        <f t="shared" si="2"/>
        <v>532886</v>
      </c>
      <c r="T27" s="66">
        <f t="shared" si="2"/>
        <v>508545</v>
      </c>
      <c r="U27" s="66">
        <f t="shared" si="2"/>
        <v>526401</v>
      </c>
      <c r="V27" s="66">
        <f t="shared" si="2"/>
        <v>535207</v>
      </c>
      <c r="W27" s="66">
        <f t="shared" si="2"/>
        <v>549610</v>
      </c>
      <c r="X27" s="295">
        <f t="shared" si="2"/>
        <v>558295.83292019798</v>
      </c>
      <c r="Y27" s="295">
        <f t="shared" si="2"/>
        <v>571361.24633595918</v>
      </c>
    </row>
    <row r="28" spans="1:25" x14ac:dyDescent="0.2">
      <c r="A28" s="218" t="s">
        <v>198</v>
      </c>
      <c r="B28" s="298"/>
      <c r="C28" s="66"/>
      <c r="D28" s="66"/>
      <c r="E28" s="66"/>
      <c r="F28" s="66"/>
      <c r="G28" s="66"/>
      <c r="H28" s="66"/>
      <c r="I28" s="66"/>
      <c r="J28" s="66"/>
      <c r="K28" s="66"/>
      <c r="L28" s="66"/>
      <c r="M28" s="66"/>
      <c r="N28" s="66"/>
      <c r="O28" s="66"/>
      <c r="P28" s="66"/>
      <c r="Q28" s="66"/>
      <c r="R28" s="66"/>
      <c r="S28" s="66"/>
      <c r="T28" s="66"/>
      <c r="U28" s="66"/>
      <c r="V28" s="66"/>
    </row>
    <row r="29" spans="1:25" x14ac:dyDescent="0.2">
      <c r="A29" s="218" t="s">
        <v>199</v>
      </c>
      <c r="B29" s="298"/>
      <c r="C29" s="66"/>
      <c r="D29" s="66"/>
      <c r="E29" s="66"/>
      <c r="F29" s="66"/>
      <c r="G29" s="66"/>
      <c r="H29" s="66"/>
      <c r="I29" s="66"/>
      <c r="J29" s="66"/>
      <c r="K29" s="66"/>
      <c r="L29" s="66"/>
      <c r="M29" s="66"/>
      <c r="N29" s="66"/>
      <c r="O29" s="66"/>
      <c r="P29" s="66"/>
      <c r="Q29" s="66"/>
      <c r="R29" s="66"/>
      <c r="S29" s="66"/>
      <c r="T29" s="66"/>
      <c r="U29" s="66"/>
      <c r="V29" s="66"/>
    </row>
    <row r="30" spans="1:25" ht="15" x14ac:dyDescent="0.25">
      <c r="A30" s="218" t="s">
        <v>200</v>
      </c>
      <c r="B30" s="298"/>
      <c r="C30" s="66">
        <f>C13</f>
        <v>323620</v>
      </c>
      <c r="D30" s="66">
        <f t="shared" ref="D30:Y30" si="3">D13</f>
        <v>330881</v>
      </c>
      <c r="E30" s="66">
        <f t="shared" si="3"/>
        <v>352218</v>
      </c>
      <c r="F30" s="66">
        <f t="shared" si="3"/>
        <v>361647</v>
      </c>
      <c r="G30" s="66">
        <f t="shared" si="3"/>
        <v>366392</v>
      </c>
      <c r="H30" s="66">
        <f t="shared" si="3"/>
        <v>385056</v>
      </c>
      <c r="I30" s="66">
        <f t="shared" si="3"/>
        <v>400201</v>
      </c>
      <c r="J30" s="66">
        <f t="shared" si="3"/>
        <v>434155</v>
      </c>
      <c r="K30" s="66">
        <f t="shared" si="3"/>
        <v>459626</v>
      </c>
      <c r="L30" s="66">
        <f t="shared" si="3"/>
        <v>462562</v>
      </c>
      <c r="M30" s="66">
        <f t="shared" si="3"/>
        <v>480503</v>
      </c>
      <c r="N30" s="66">
        <f t="shared" si="3"/>
        <v>480756</v>
      </c>
      <c r="O30" s="66">
        <f t="shared" si="3"/>
        <v>501398</v>
      </c>
      <c r="P30" s="66">
        <f t="shared" si="3"/>
        <v>512080</v>
      </c>
      <c r="Q30" s="66">
        <f t="shared" si="3"/>
        <v>522227</v>
      </c>
      <c r="R30" s="66">
        <f t="shared" si="3"/>
        <v>534293</v>
      </c>
      <c r="S30" s="66">
        <f t="shared" si="3"/>
        <v>529864</v>
      </c>
      <c r="T30" s="66">
        <f t="shared" si="3"/>
        <v>509873</v>
      </c>
      <c r="U30" s="66">
        <f t="shared" si="3"/>
        <v>528403</v>
      </c>
      <c r="V30" s="66">
        <f t="shared" si="3"/>
        <v>540267</v>
      </c>
      <c r="W30" s="295">
        <f t="shared" si="3"/>
        <v>550527.57603441295</v>
      </c>
      <c r="X30" s="295">
        <f t="shared" si="3"/>
        <v>561752.24242180691</v>
      </c>
      <c r="Y30" s="295">
        <f t="shared" si="3"/>
        <v>574451.73931739037</v>
      </c>
    </row>
    <row r="31" spans="1:25" x14ac:dyDescent="0.2">
      <c r="A31" s="218" t="s">
        <v>201</v>
      </c>
      <c r="B31" s="218"/>
      <c r="C31" s="66"/>
      <c r="D31" s="66"/>
      <c r="E31" s="66"/>
      <c r="F31" s="66"/>
      <c r="G31" s="66"/>
      <c r="H31" s="66"/>
      <c r="I31" s="66"/>
      <c r="J31" s="66"/>
      <c r="K31" s="66"/>
      <c r="L31" s="66"/>
      <c r="M31" s="66"/>
      <c r="N31" s="66"/>
      <c r="O31" s="66"/>
      <c r="P31" s="66"/>
      <c r="Q31" s="66"/>
      <c r="R31" s="66"/>
      <c r="S31" s="66"/>
      <c r="T31" s="66"/>
      <c r="U31" s="66"/>
      <c r="V31" s="66"/>
      <c r="W31" s="66"/>
      <c r="X31" s="66"/>
      <c r="Y31" s="66"/>
    </row>
    <row r="32" spans="1:25" x14ac:dyDescent="0.2">
      <c r="A32" s="218" t="s">
        <v>202</v>
      </c>
      <c r="B32" s="218"/>
      <c r="C32" s="66"/>
      <c r="D32" s="66"/>
      <c r="E32" s="66"/>
      <c r="F32" s="66"/>
      <c r="G32" s="66"/>
      <c r="H32" s="66"/>
      <c r="I32" s="66"/>
      <c r="J32" s="66"/>
      <c r="K32" s="66"/>
      <c r="L32" s="66"/>
      <c r="M32" s="66"/>
      <c r="N32" s="66"/>
      <c r="O32" s="66"/>
      <c r="P32" s="66"/>
      <c r="Q32" s="66"/>
      <c r="R32" s="66"/>
      <c r="S32" s="66"/>
      <c r="T32" s="66"/>
      <c r="U32" s="66"/>
      <c r="V32" s="66"/>
      <c r="W32" s="66"/>
      <c r="X32" s="66"/>
      <c r="Y32" s="66"/>
    </row>
    <row r="33" spans="1:27" ht="15" x14ac:dyDescent="0.25">
      <c r="A33" s="218" t="s">
        <v>203</v>
      </c>
      <c r="B33" s="66">
        <f>B16</f>
        <v>325650</v>
      </c>
      <c r="C33" s="66">
        <f>C16</f>
        <v>327855</v>
      </c>
      <c r="D33" s="66">
        <f t="shared" ref="D33:Y33" si="4">D16</f>
        <v>332031</v>
      </c>
      <c r="E33" s="66">
        <f t="shared" si="4"/>
        <v>357555</v>
      </c>
      <c r="F33" s="66">
        <f t="shared" si="4"/>
        <v>366061</v>
      </c>
      <c r="G33" s="66">
        <f t="shared" si="4"/>
        <v>366982</v>
      </c>
      <c r="H33" s="66">
        <f t="shared" si="4"/>
        <v>389432</v>
      </c>
      <c r="I33" s="66">
        <f t="shared" si="4"/>
        <v>405097</v>
      </c>
      <c r="J33" s="66">
        <f t="shared" si="4"/>
        <v>442628</v>
      </c>
      <c r="K33" s="66">
        <f t="shared" si="4"/>
        <v>459621</v>
      </c>
      <c r="L33" s="66">
        <f t="shared" si="4"/>
        <v>466198</v>
      </c>
      <c r="M33" s="66">
        <f t="shared" si="4"/>
        <v>483135</v>
      </c>
      <c r="N33" s="66">
        <f t="shared" si="4"/>
        <v>485322</v>
      </c>
      <c r="O33" s="66">
        <f t="shared" si="4"/>
        <v>503722</v>
      </c>
      <c r="P33" s="66">
        <f t="shared" si="4"/>
        <v>514981</v>
      </c>
      <c r="Q33" s="66">
        <f t="shared" si="4"/>
        <v>526180</v>
      </c>
      <c r="R33" s="66">
        <f t="shared" si="4"/>
        <v>535117</v>
      </c>
      <c r="S33" s="66">
        <f t="shared" si="4"/>
        <v>524698</v>
      </c>
      <c r="T33" s="66">
        <f t="shared" si="4"/>
        <v>518314</v>
      </c>
      <c r="U33" s="66">
        <f t="shared" si="4"/>
        <v>532324</v>
      </c>
      <c r="V33" s="66">
        <f t="shared" si="4"/>
        <v>543777</v>
      </c>
      <c r="W33" s="295">
        <f t="shared" si="4"/>
        <v>551446.68396558717</v>
      </c>
      <c r="X33" s="295">
        <f t="shared" si="4"/>
        <v>565230.05055464036</v>
      </c>
      <c r="Y33" s="295">
        <f t="shared" si="4"/>
        <v>577558.94877535815</v>
      </c>
    </row>
    <row r="34" spans="1:27" ht="15" x14ac:dyDescent="0.25">
      <c r="A34" s="288" t="s">
        <v>204</v>
      </c>
      <c r="B34" s="288"/>
      <c r="C34" s="294">
        <f t="shared" ref="C34:Y34" si="5">(SUM(C7:C18))-(SUM(C22:C33))</f>
        <v>0</v>
      </c>
      <c r="D34" s="294">
        <f t="shared" si="5"/>
        <v>0</v>
      </c>
      <c r="E34" s="294">
        <f t="shared" si="5"/>
        <v>0</v>
      </c>
      <c r="F34" s="294">
        <f t="shared" si="5"/>
        <v>0</v>
      </c>
      <c r="G34" s="294">
        <f t="shared" si="5"/>
        <v>0</v>
      </c>
      <c r="H34" s="294">
        <f t="shared" si="5"/>
        <v>0</v>
      </c>
      <c r="I34" s="294">
        <f t="shared" si="5"/>
        <v>0</v>
      </c>
      <c r="J34" s="294">
        <f t="shared" si="5"/>
        <v>0</v>
      </c>
      <c r="K34" s="294">
        <f t="shared" si="5"/>
        <v>0</v>
      </c>
      <c r="L34" s="294">
        <f t="shared" si="5"/>
        <v>0</v>
      </c>
      <c r="M34" s="294">
        <f t="shared" si="5"/>
        <v>0</v>
      </c>
      <c r="N34" s="294">
        <f t="shared" si="5"/>
        <v>0</v>
      </c>
      <c r="O34" s="294">
        <f t="shared" si="5"/>
        <v>0</v>
      </c>
      <c r="P34" s="294">
        <f t="shared" si="5"/>
        <v>0</v>
      </c>
      <c r="Q34" s="294">
        <f t="shared" si="5"/>
        <v>0</v>
      </c>
      <c r="R34" s="294">
        <f t="shared" si="5"/>
        <v>0</v>
      </c>
      <c r="S34" s="294">
        <f t="shared" si="5"/>
        <v>0</v>
      </c>
      <c r="T34" s="294">
        <f t="shared" si="5"/>
        <v>0</v>
      </c>
      <c r="U34" s="294">
        <f t="shared" si="5"/>
        <v>0</v>
      </c>
      <c r="V34" s="294">
        <f t="shared" si="5"/>
        <v>0</v>
      </c>
      <c r="W34" s="294">
        <f t="shared" si="5"/>
        <v>0</v>
      </c>
      <c r="X34" s="294">
        <f t="shared" si="5"/>
        <v>0</v>
      </c>
      <c r="Y34" s="294">
        <f t="shared" si="5"/>
        <v>0</v>
      </c>
    </row>
    <row r="35" spans="1:27" x14ac:dyDescent="0.2">
      <c r="F35"/>
      <c r="G35"/>
      <c r="M35" s="225"/>
    </row>
    <row r="36" spans="1:27" x14ac:dyDescent="0.2">
      <c r="F36"/>
      <c r="G36"/>
    </row>
    <row r="37" spans="1:27" x14ac:dyDescent="0.2">
      <c r="A37" t="s">
        <v>263</v>
      </c>
      <c r="C37" s="300"/>
      <c r="F37" s="225"/>
      <c r="G37"/>
    </row>
    <row r="38" spans="1:27" x14ac:dyDescent="0.2">
      <c r="A38" s="218" t="s">
        <v>193</v>
      </c>
      <c r="B38" s="298"/>
    </row>
    <row r="39" spans="1:27" x14ac:dyDescent="0.2">
      <c r="A39" s="218" t="s">
        <v>194</v>
      </c>
      <c r="B39" s="298"/>
    </row>
    <row r="40" spans="1:27" ht="15" x14ac:dyDescent="0.25">
      <c r="A40" s="218" t="s">
        <v>195</v>
      </c>
      <c r="B40" s="298"/>
      <c r="C40" s="300">
        <f t="shared" ref="C40:Y40" si="6">C24/$H$33*100</f>
        <v>83.816943651266456</v>
      </c>
      <c r="D40" s="300">
        <f t="shared" si="6"/>
        <v>83.683929415148214</v>
      </c>
      <c r="E40" s="300">
        <f t="shared" si="6"/>
        <v>87.063980361141361</v>
      </c>
      <c r="F40" s="300">
        <f t="shared" si="6"/>
        <v>91.817826989050715</v>
      </c>
      <c r="G40" s="300">
        <f t="shared" si="6"/>
        <v>92.979518889048663</v>
      </c>
      <c r="H40" s="300">
        <f t="shared" si="6"/>
        <v>95.936132623924081</v>
      </c>
      <c r="I40" s="300">
        <f t="shared" si="6"/>
        <v>101.78773187616837</v>
      </c>
      <c r="J40" s="300">
        <f t="shared" si="6"/>
        <v>106.91725384662791</v>
      </c>
      <c r="K40" s="300">
        <f t="shared" si="6"/>
        <v>114.96795332689661</v>
      </c>
      <c r="L40" s="300">
        <f t="shared" si="6"/>
        <v>118.28997103473777</v>
      </c>
      <c r="M40" s="300">
        <f t="shared" si="6"/>
        <v>121.42453624766327</v>
      </c>
      <c r="N40" s="300">
        <f t="shared" si="6"/>
        <v>124.90576018406294</v>
      </c>
      <c r="O40" s="300">
        <f t="shared" si="6"/>
        <v>125.09218554202018</v>
      </c>
      <c r="P40" s="300">
        <f t="shared" si="6"/>
        <v>129.9990755767374</v>
      </c>
      <c r="Q40" s="300">
        <f t="shared" si="6"/>
        <v>133.74607120113396</v>
      </c>
      <c r="R40" s="300">
        <f t="shared" si="6"/>
        <v>135.87455576326548</v>
      </c>
      <c r="S40" s="300">
        <f t="shared" si="6"/>
        <v>136.57429281620412</v>
      </c>
      <c r="T40" s="300">
        <f t="shared" si="6"/>
        <v>131.98915343371885</v>
      </c>
      <c r="U40" s="300">
        <f t="shared" si="6"/>
        <v>134.58652601737916</v>
      </c>
      <c r="V40" s="300">
        <f t="shared" si="6"/>
        <v>137.6394338421085</v>
      </c>
      <c r="W40" s="300">
        <f t="shared" si="6"/>
        <v>140.40551367119292</v>
      </c>
      <c r="X40" s="301">
        <f t="shared" si="6"/>
        <v>142.47948047053609</v>
      </c>
      <c r="Y40" s="301">
        <f t="shared" si="6"/>
        <v>145.92724272737999</v>
      </c>
      <c r="Z40">
        <f>X40/W40</f>
        <v>1.0147712632154893</v>
      </c>
      <c r="AA40">
        <f>Y40/X40</f>
        <v>1.0241983073313976</v>
      </c>
    </row>
    <row r="41" spans="1:27" x14ac:dyDescent="0.2">
      <c r="A41" s="218" t="s">
        <v>196</v>
      </c>
      <c r="B41" s="298"/>
    </row>
    <row r="42" spans="1:27" x14ac:dyDescent="0.2">
      <c r="A42" s="218" t="s">
        <v>86</v>
      </c>
      <c r="B42" s="298"/>
      <c r="C42" s="302"/>
      <c r="D42" s="302"/>
      <c r="E42" s="302"/>
      <c r="F42" s="302"/>
      <c r="G42" s="302"/>
      <c r="H42" s="302"/>
      <c r="I42" s="302"/>
      <c r="J42" s="302"/>
      <c r="K42" s="302"/>
      <c r="L42" s="302"/>
      <c r="M42" s="302"/>
      <c r="N42" s="302"/>
      <c r="O42" s="302"/>
      <c r="P42" s="302"/>
      <c r="Q42" s="302"/>
      <c r="R42" s="302"/>
      <c r="S42" s="302"/>
      <c r="T42" s="302"/>
      <c r="U42" s="302"/>
      <c r="V42" s="302"/>
      <c r="W42" s="302"/>
      <c r="X42" s="302"/>
      <c r="Y42" s="302"/>
    </row>
    <row r="43" spans="1:27" ht="15" x14ac:dyDescent="0.25">
      <c r="A43" s="218" t="s">
        <v>197</v>
      </c>
      <c r="B43" s="298"/>
      <c r="C43" s="300">
        <f t="shared" ref="C43:Y43" si="7">C27/$H$33*100</f>
        <v>83.680591220033278</v>
      </c>
      <c r="D43" s="300">
        <f t="shared" si="7"/>
        <v>84.077066085991902</v>
      </c>
      <c r="E43" s="300">
        <f t="shared" si="7"/>
        <v>88.637810965714166</v>
      </c>
      <c r="F43" s="300">
        <f t="shared" si="7"/>
        <v>91.898200456048812</v>
      </c>
      <c r="G43" s="300">
        <f t="shared" si="7"/>
        <v>93.362127406068325</v>
      </c>
      <c r="H43" s="300">
        <f t="shared" si="7"/>
        <v>96.768113560262123</v>
      </c>
      <c r="I43" s="300">
        <f t="shared" si="7"/>
        <v>101.92485466012037</v>
      </c>
      <c r="J43" s="300">
        <f t="shared" si="7"/>
        <v>109.29635982661927</v>
      </c>
      <c r="K43" s="300">
        <f t="shared" si="7"/>
        <v>116.57157090326425</v>
      </c>
      <c r="L43" s="300">
        <f t="shared" si="7"/>
        <v>119.15019823743297</v>
      </c>
      <c r="M43" s="300">
        <f t="shared" si="7"/>
        <v>121.85670412292775</v>
      </c>
      <c r="N43" s="300">
        <f t="shared" si="7"/>
        <v>124.50517677027055</v>
      </c>
      <c r="O43" s="300">
        <f t="shared" si="7"/>
        <v>127.06993775550033</v>
      </c>
      <c r="P43" s="300">
        <f t="shared" si="7"/>
        <v>130.63050802193965</v>
      </c>
      <c r="Q43" s="300">
        <f t="shared" si="7"/>
        <v>134.23010949279976</v>
      </c>
      <c r="R43" s="300">
        <f t="shared" si="7"/>
        <v>137.221132315783</v>
      </c>
      <c r="S43" s="300">
        <f t="shared" si="7"/>
        <v>136.83672630908606</v>
      </c>
      <c r="T43" s="300">
        <f t="shared" si="7"/>
        <v>130.58634113272666</v>
      </c>
      <c r="U43" s="300">
        <f t="shared" si="7"/>
        <v>135.1714805152119</v>
      </c>
      <c r="V43" s="300">
        <f t="shared" si="7"/>
        <v>137.43272252922205</v>
      </c>
      <c r="W43" s="300">
        <f t="shared" si="7"/>
        <v>141.13118593233222</v>
      </c>
      <c r="X43" s="301">
        <f t="shared" si="7"/>
        <v>143.36157093412919</v>
      </c>
      <c r="Y43" s="301">
        <f t="shared" si="7"/>
        <v>146.71656318329238</v>
      </c>
      <c r="Z43">
        <f>X43/W43</f>
        <v>1.015803629701421</v>
      </c>
      <c r="AA43">
        <f>Y43/X43</f>
        <v>1.023402312260548</v>
      </c>
    </row>
    <row r="44" spans="1:27" x14ac:dyDescent="0.2">
      <c r="A44" s="218" t="s">
        <v>198</v>
      </c>
      <c r="B44" s="298"/>
    </row>
    <row r="45" spans="1:27" x14ac:dyDescent="0.2">
      <c r="A45" s="218" t="s">
        <v>199</v>
      </c>
      <c r="B45" s="298"/>
      <c r="C45" s="302"/>
      <c r="D45" s="302"/>
      <c r="E45" s="302"/>
      <c r="F45" s="302"/>
      <c r="G45" s="302"/>
      <c r="H45" s="302"/>
      <c r="I45" s="302"/>
      <c r="J45" s="302"/>
      <c r="K45" s="302"/>
      <c r="L45" s="302"/>
      <c r="M45" s="302"/>
      <c r="N45" s="302"/>
      <c r="O45" s="302"/>
      <c r="P45" s="302"/>
      <c r="Q45" s="302"/>
      <c r="R45" s="302"/>
      <c r="S45" s="302"/>
      <c r="T45" s="302"/>
      <c r="U45" s="302"/>
      <c r="V45" s="302"/>
      <c r="W45" s="302"/>
      <c r="X45" s="302"/>
      <c r="Y45" s="302"/>
    </row>
    <row r="46" spans="1:27" ht="15" x14ac:dyDescent="0.25">
      <c r="A46" s="218" t="s">
        <v>200</v>
      </c>
      <c r="B46" s="298"/>
      <c r="C46" s="300">
        <f t="shared" ref="C46:Y46" si="8">C30/$H$33*100</f>
        <v>83.100515622753136</v>
      </c>
      <c r="D46" s="300">
        <f t="shared" si="8"/>
        <v>84.965025986565053</v>
      </c>
      <c r="E46" s="300">
        <f t="shared" si="8"/>
        <v>90.444031307134495</v>
      </c>
      <c r="F46" s="300">
        <f t="shared" si="8"/>
        <v>92.865249902421994</v>
      </c>
      <c r="G46" s="300">
        <f t="shared" si="8"/>
        <v>94.083691119373853</v>
      </c>
      <c r="H46" s="300">
        <f t="shared" si="8"/>
        <v>98.876312167464405</v>
      </c>
      <c r="I46" s="300">
        <f t="shared" si="8"/>
        <v>102.76530947636557</v>
      </c>
      <c r="J46" s="300">
        <f t="shared" si="8"/>
        <v>111.48416154810081</v>
      </c>
      <c r="K46" s="300">
        <f t="shared" si="8"/>
        <v>118.02471291522012</v>
      </c>
      <c r="L46" s="300">
        <f t="shared" si="8"/>
        <v>118.77863144271656</v>
      </c>
      <c r="M46" s="300">
        <f t="shared" si="8"/>
        <v>123.38559748556872</v>
      </c>
      <c r="N46" s="300">
        <f t="shared" si="8"/>
        <v>123.45056389819018</v>
      </c>
      <c r="O46" s="300">
        <f t="shared" si="8"/>
        <v>128.75110417223033</v>
      </c>
      <c r="P46" s="300">
        <f t="shared" si="8"/>
        <v>131.49407341974978</v>
      </c>
      <c r="Q46" s="300">
        <f t="shared" si="8"/>
        <v>134.09966309907765</v>
      </c>
      <c r="R46" s="300">
        <f t="shared" si="8"/>
        <v>137.19802173421806</v>
      </c>
      <c r="S46" s="300">
        <f t="shared" si="8"/>
        <v>136.06072433698307</v>
      </c>
      <c r="T46" s="300">
        <f t="shared" si="8"/>
        <v>130.92735060292938</v>
      </c>
      <c r="U46" s="300">
        <f t="shared" si="8"/>
        <v>135.68556256291214</v>
      </c>
      <c r="V46" s="300">
        <f t="shared" si="8"/>
        <v>138.73205078165122</v>
      </c>
      <c r="W46" s="301">
        <f t="shared" si="8"/>
        <v>141.36680499661378</v>
      </c>
      <c r="X46" s="301">
        <f t="shared" si="8"/>
        <v>144.2491224197824</v>
      </c>
      <c r="Y46" s="301">
        <f t="shared" si="8"/>
        <v>147.51015307355081</v>
      </c>
      <c r="Z46">
        <f>X46/W46</f>
        <v>1.0203889266878292</v>
      </c>
      <c r="AA46">
        <f>Y46/X46</f>
        <v>1.0226069358278549</v>
      </c>
    </row>
    <row r="47" spans="1:27" x14ac:dyDescent="0.2">
      <c r="A47" s="218" t="s">
        <v>201</v>
      </c>
      <c r="B47" s="218"/>
    </row>
    <row r="48" spans="1:27" x14ac:dyDescent="0.2">
      <c r="A48" s="218" t="s">
        <v>202</v>
      </c>
      <c r="B48" s="218"/>
      <c r="C48" s="302"/>
      <c r="D48" s="302"/>
      <c r="E48" s="302"/>
      <c r="F48" s="302"/>
      <c r="G48" s="302"/>
      <c r="H48" s="302"/>
      <c r="I48" s="302"/>
      <c r="J48" s="302"/>
      <c r="K48" s="302"/>
      <c r="L48" s="302"/>
      <c r="M48" s="302"/>
      <c r="N48" s="302"/>
      <c r="O48" s="302"/>
      <c r="P48" s="302"/>
      <c r="Q48" s="302"/>
      <c r="R48" s="302"/>
      <c r="S48" s="302"/>
      <c r="T48" s="302"/>
      <c r="U48" s="302"/>
      <c r="V48" s="302"/>
      <c r="W48" s="302"/>
      <c r="X48" s="302"/>
      <c r="Y48" s="302"/>
    </row>
    <row r="49" spans="1:27" ht="15" x14ac:dyDescent="0.25">
      <c r="A49" s="218" t="s">
        <v>203</v>
      </c>
      <c r="B49" s="300">
        <f t="shared" ref="B49:Y49" si="9">B33/$H$33*100</f>
        <v>83.621787629162469</v>
      </c>
      <c r="C49" s="300">
        <f t="shared" si="9"/>
        <v>84.18799687750365</v>
      </c>
      <c r="D49" s="300">
        <f t="shared" si="9"/>
        <v>85.260327862117137</v>
      </c>
      <c r="E49" s="300">
        <f t="shared" si="9"/>
        <v>91.81448879393578</v>
      </c>
      <c r="F49" s="300">
        <f t="shared" si="9"/>
        <v>93.998695536062783</v>
      </c>
      <c r="G49" s="300">
        <f t="shared" si="9"/>
        <v>94.235193820744058</v>
      </c>
      <c r="H49" s="303">
        <f t="shared" si="9"/>
        <v>100</v>
      </c>
      <c r="I49" s="300">
        <f t="shared" si="9"/>
        <v>104.02252511349863</v>
      </c>
      <c r="J49" s="300">
        <f t="shared" si="9"/>
        <v>113.65989441032067</v>
      </c>
      <c r="K49" s="300">
        <f t="shared" si="9"/>
        <v>118.02342899402207</v>
      </c>
      <c r="L49" s="300">
        <f t="shared" si="9"/>
        <v>119.71229893794037</v>
      </c>
      <c r="M49" s="300">
        <f t="shared" si="9"/>
        <v>124.06145360422359</v>
      </c>
      <c r="N49" s="300">
        <f t="shared" si="9"/>
        <v>124.62304073625177</v>
      </c>
      <c r="O49" s="300">
        <f t="shared" si="9"/>
        <v>129.34787074508515</v>
      </c>
      <c r="P49" s="300">
        <f t="shared" si="9"/>
        <v>132.23900449885988</v>
      </c>
      <c r="Q49" s="300">
        <f t="shared" si="9"/>
        <v>135.11473119825797</v>
      </c>
      <c r="R49" s="300">
        <f t="shared" si="9"/>
        <v>137.40961194765711</v>
      </c>
      <c r="S49" s="300">
        <f t="shared" si="9"/>
        <v>134.73417695515519</v>
      </c>
      <c r="T49" s="300">
        <f t="shared" si="9"/>
        <v>133.09486636948171</v>
      </c>
      <c r="U49" s="300">
        <f t="shared" si="9"/>
        <v>136.69241356642493</v>
      </c>
      <c r="V49" s="300">
        <f t="shared" si="9"/>
        <v>139.63336346268412</v>
      </c>
      <c r="W49" s="301">
        <f t="shared" si="9"/>
        <v>141.60281742784034</v>
      </c>
      <c r="X49" s="301">
        <f t="shared" si="9"/>
        <v>145.14216873668326</v>
      </c>
      <c r="Y49" s="301">
        <f t="shared" si="9"/>
        <v>148.30803549152566</v>
      </c>
      <c r="Z49">
        <f>X49/W49</f>
        <v>1.0249949215215759</v>
      </c>
      <c r="AA49">
        <f>Y49/X49</f>
        <v>1.0218121775525204</v>
      </c>
    </row>
    <row r="50" spans="1:27" x14ac:dyDescent="0.2">
      <c r="F50"/>
      <c r="G50"/>
      <c r="K50" s="225"/>
      <c r="M50" s="225"/>
    </row>
    <row r="51" spans="1:27" x14ac:dyDescent="0.2">
      <c r="A51" t="s">
        <v>264</v>
      </c>
      <c r="C51" s="300"/>
      <c r="F51" s="225"/>
      <c r="G51"/>
    </row>
    <row r="52" spans="1:27" x14ac:dyDescent="0.2">
      <c r="A52" s="218" t="s">
        <v>193</v>
      </c>
      <c r="B52" s="298"/>
      <c r="C52" s="302"/>
      <c r="D52" s="302"/>
      <c r="E52" s="302"/>
      <c r="F52" s="302"/>
      <c r="G52" s="302"/>
      <c r="H52" s="302"/>
      <c r="I52" s="302"/>
      <c r="J52" s="302"/>
      <c r="K52" s="302"/>
      <c r="L52" s="302"/>
      <c r="M52" s="302"/>
      <c r="N52" s="302"/>
      <c r="O52" s="302"/>
      <c r="P52" s="302"/>
      <c r="Q52" s="302"/>
      <c r="R52" s="302"/>
      <c r="S52" s="302"/>
      <c r="T52" s="302"/>
      <c r="U52" s="302"/>
      <c r="V52" s="302"/>
      <c r="W52" s="302"/>
    </row>
    <row r="53" spans="1:27" x14ac:dyDescent="0.2">
      <c r="A53" s="218" t="s">
        <v>194</v>
      </c>
      <c r="B53" s="298"/>
    </row>
    <row r="54" spans="1:27" ht="15" x14ac:dyDescent="0.25">
      <c r="A54" s="218" t="s">
        <v>195</v>
      </c>
      <c r="B54" s="298"/>
      <c r="C54" s="302">
        <f>C40/B49</f>
        <v>1.0023337939505603</v>
      </c>
      <c r="D54" s="302">
        <f>D40/C49</f>
        <v>0.99401259703222455</v>
      </c>
      <c r="E54" s="302">
        <f t="shared" ref="E54:Y54" si="10">E40/D49</f>
        <v>1.0211546512223257</v>
      </c>
      <c r="F54" s="302">
        <f t="shared" si="10"/>
        <v>1.0000363580428187</v>
      </c>
      <c r="G54" s="302">
        <f t="shared" si="10"/>
        <v>0.98915754478078777</v>
      </c>
      <c r="H54" s="302">
        <f t="shared" si="10"/>
        <v>1.018049931604275</v>
      </c>
      <c r="I54" s="302">
        <f t="shared" si="10"/>
        <v>1.0178773187616836</v>
      </c>
      <c r="J54" s="302">
        <f t="shared" si="10"/>
        <v>1.0278279029467017</v>
      </c>
      <c r="K54" s="302">
        <f t="shared" si="10"/>
        <v>1.0115085353841149</v>
      </c>
      <c r="L54" s="302">
        <f t="shared" si="10"/>
        <v>1.0022583824498881</v>
      </c>
      <c r="M54" s="302">
        <f t="shared" si="10"/>
        <v>1.0143029356625297</v>
      </c>
      <c r="N54" s="302">
        <f t="shared" si="10"/>
        <v>1.0068055512434413</v>
      </c>
      <c r="O54" s="302">
        <f t="shared" si="10"/>
        <v>1.00376451098446</v>
      </c>
      <c r="P54" s="302">
        <f t="shared" si="10"/>
        <v>1.0050345230107083</v>
      </c>
      <c r="Q54" s="302">
        <f t="shared" si="10"/>
        <v>1.0113965369596158</v>
      </c>
      <c r="R54" s="302">
        <f t="shared" si="10"/>
        <v>1.0056235508761262</v>
      </c>
      <c r="S54" s="302">
        <f t="shared" si="10"/>
        <v>0.99392095560410154</v>
      </c>
      <c r="T54" s="302">
        <f t="shared" si="10"/>
        <v>0.97962637555317544</v>
      </c>
      <c r="U54" s="302">
        <f t="shared" si="10"/>
        <v>1.0112074919836238</v>
      </c>
      <c r="V54" s="302">
        <f t="shared" si="10"/>
        <v>1.006928111450921</v>
      </c>
      <c r="W54" s="302">
        <f t="shared" si="10"/>
        <v>1.0055298403573525</v>
      </c>
      <c r="X54" s="304">
        <f t="shared" si="10"/>
        <v>1.0061910000000001</v>
      </c>
      <c r="Y54" s="304">
        <f t="shared" si="10"/>
        <v>1.005409</v>
      </c>
      <c r="Z54" s="305"/>
    </row>
    <row r="55" spans="1:27" ht="15" x14ac:dyDescent="0.25">
      <c r="A55" s="218" t="s">
        <v>196</v>
      </c>
      <c r="B55" s="298"/>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5"/>
    </row>
    <row r="56" spans="1:27" ht="15" x14ac:dyDescent="0.25">
      <c r="A56" s="218" t="s">
        <v>86</v>
      </c>
      <c r="B56" s="298"/>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5"/>
    </row>
    <row r="57" spans="1:27" ht="15" x14ac:dyDescent="0.25">
      <c r="A57" s="218" t="s">
        <v>197</v>
      </c>
      <c r="B57" s="298"/>
      <c r="C57" s="302">
        <f>C43/C40</f>
        <v>0.99837321160503667</v>
      </c>
      <c r="D57" s="302">
        <f t="shared" ref="D57:Y57" si="11">D43/D40</f>
        <v>1.0046978753697544</v>
      </c>
      <c r="E57" s="302">
        <f t="shared" si="11"/>
        <v>1.0180767132176194</v>
      </c>
      <c r="F57" s="302">
        <f t="shared" si="11"/>
        <v>1.0008753579738681</v>
      </c>
      <c r="G57" s="302">
        <f t="shared" si="11"/>
        <v>1.0041149763043646</v>
      </c>
      <c r="H57" s="302">
        <f t="shared" si="11"/>
        <v>1.0086722375978971</v>
      </c>
      <c r="I57" s="302">
        <f t="shared" si="11"/>
        <v>1.0013471445077373</v>
      </c>
      <c r="J57" s="302">
        <f t="shared" si="11"/>
        <v>1.0222518433124383</v>
      </c>
      <c r="K57" s="302">
        <f t="shared" si="11"/>
        <v>1.0139483876155293</v>
      </c>
      <c r="L57" s="302">
        <f t="shared" si="11"/>
        <v>1.0072721904923163</v>
      </c>
      <c r="M57" s="302">
        <f t="shared" si="11"/>
        <v>1.003559147834693</v>
      </c>
      <c r="N57" s="302">
        <f t="shared" si="11"/>
        <v>0.9967929148087159</v>
      </c>
      <c r="O57" s="302">
        <f t="shared" si="11"/>
        <v>1.0158103578166024</v>
      </c>
      <c r="P57" s="302">
        <f t="shared" si="11"/>
        <v>1.0048572071947506</v>
      </c>
      <c r="Q57" s="302">
        <f t="shared" si="11"/>
        <v>1.0036190841893058</v>
      </c>
      <c r="R57" s="302">
        <f t="shared" si="11"/>
        <v>1.0099104394119505</v>
      </c>
      <c r="S57" s="302">
        <f t="shared" si="11"/>
        <v>1.0019215438533158</v>
      </c>
      <c r="T57" s="302">
        <f t="shared" si="11"/>
        <v>0.98937176075080557</v>
      </c>
      <c r="U57" s="302">
        <f t="shared" si="11"/>
        <v>1.0043463080231168</v>
      </c>
      <c r="V57" s="302">
        <f t="shared" si="11"/>
        <v>0.99849816795146384</v>
      </c>
      <c r="W57" s="302">
        <f t="shared" si="11"/>
        <v>1.0051684028793819</v>
      </c>
      <c r="X57" s="304">
        <f t="shared" si="11"/>
        <v>1.0061910000000001</v>
      </c>
      <c r="Y57" s="304">
        <f t="shared" si="11"/>
        <v>1.005409</v>
      </c>
      <c r="Z57" s="305"/>
    </row>
    <row r="58" spans="1:27" ht="15" x14ac:dyDescent="0.25">
      <c r="A58" s="218" t="s">
        <v>198</v>
      </c>
      <c r="B58" s="298"/>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5"/>
    </row>
    <row r="59" spans="1:27" ht="15" x14ac:dyDescent="0.25">
      <c r="A59" s="218" t="s">
        <v>199</v>
      </c>
      <c r="B59" s="298"/>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5"/>
    </row>
    <row r="60" spans="1:27" ht="15" x14ac:dyDescent="0.25">
      <c r="A60" s="218" t="s">
        <v>200</v>
      </c>
      <c r="B60" s="298"/>
      <c r="C60" s="302">
        <f t="shared" ref="C60:Y60" si="12">C46/C43</f>
        <v>0.99306797921928081</v>
      </c>
      <c r="D60" s="302">
        <f t="shared" si="12"/>
        <v>1.0105612617317661</v>
      </c>
      <c r="E60" s="302">
        <f t="shared" si="12"/>
        <v>1.0203775377769537</v>
      </c>
      <c r="F60" s="302">
        <f t="shared" si="12"/>
        <v>1.0105230509582794</v>
      </c>
      <c r="G60" s="302">
        <f t="shared" si="12"/>
        <v>1.0077286554339873</v>
      </c>
      <c r="H60" s="302">
        <f t="shared" si="12"/>
        <v>1.0217860876856859</v>
      </c>
      <c r="I60" s="302">
        <f t="shared" si="12"/>
        <v>1.008245827958723</v>
      </c>
      <c r="J60" s="302">
        <f t="shared" si="12"/>
        <v>1.0200171508452078</v>
      </c>
      <c r="K60" s="302">
        <f t="shared" si="12"/>
        <v>1.0124656638037566</v>
      </c>
      <c r="L60" s="302">
        <f t="shared" si="12"/>
        <v>0.99688152600488344</v>
      </c>
      <c r="M60" s="302">
        <f t="shared" si="12"/>
        <v>1.0125466495556834</v>
      </c>
      <c r="N60" s="302">
        <f t="shared" si="12"/>
        <v>0.99152956608361531</v>
      </c>
      <c r="O60" s="302">
        <f t="shared" si="12"/>
        <v>1.0132302450636654</v>
      </c>
      <c r="P60" s="302">
        <f t="shared" si="12"/>
        <v>1.006610748215609</v>
      </c>
      <c r="Q60" s="302">
        <f t="shared" si="12"/>
        <v>0.99902818827895612</v>
      </c>
      <c r="R60" s="302">
        <f t="shared" si="12"/>
        <v>0.99983158146872197</v>
      </c>
      <c r="S60" s="302">
        <f t="shared" si="12"/>
        <v>0.99432899344325032</v>
      </c>
      <c r="T60" s="302">
        <f t="shared" si="12"/>
        <v>1.0026113716583585</v>
      </c>
      <c r="U60" s="302">
        <f t="shared" si="12"/>
        <v>1.0038031842644677</v>
      </c>
      <c r="V60" s="302">
        <f t="shared" si="12"/>
        <v>1.0094542859118061</v>
      </c>
      <c r="W60" s="304">
        <f t="shared" si="12"/>
        <v>1.001669503892602</v>
      </c>
      <c r="X60" s="304">
        <f t="shared" si="12"/>
        <v>1.0061910000000001</v>
      </c>
      <c r="Y60" s="304">
        <f t="shared" si="12"/>
        <v>1.005409</v>
      </c>
      <c r="Z60" s="305"/>
    </row>
    <row r="61" spans="1:27" ht="15" x14ac:dyDescent="0.25">
      <c r="A61" s="218" t="s">
        <v>201</v>
      </c>
      <c r="B61" s="218"/>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5"/>
    </row>
    <row r="62" spans="1:27" ht="15" x14ac:dyDescent="0.25">
      <c r="A62" s="218" t="s">
        <v>202</v>
      </c>
      <c r="B62" s="218"/>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5"/>
    </row>
    <row r="63" spans="1:27" ht="15" x14ac:dyDescent="0.25">
      <c r="A63" s="218" t="s">
        <v>203</v>
      </c>
      <c r="B63" s="218"/>
      <c r="C63" s="302">
        <f t="shared" ref="C63:Y63" si="13">C49/C46</f>
        <v>1.0130863358259687</v>
      </c>
      <c r="D63" s="302">
        <f t="shared" si="13"/>
        <v>1.0034755697667741</v>
      </c>
      <c r="E63" s="302">
        <f t="shared" si="13"/>
        <v>1.0151525475699708</v>
      </c>
      <c r="F63" s="302">
        <f t="shared" si="13"/>
        <v>1.0122052719917489</v>
      </c>
      <c r="G63" s="302">
        <f t="shared" si="13"/>
        <v>1.0016102971680605</v>
      </c>
      <c r="H63" s="302">
        <f t="shared" si="13"/>
        <v>1.0113645807363085</v>
      </c>
      <c r="I63" s="302">
        <f t="shared" si="13"/>
        <v>1.0122338524891243</v>
      </c>
      <c r="J63" s="302">
        <f t="shared" si="13"/>
        <v>1.0195160714491369</v>
      </c>
      <c r="K63" s="302">
        <f t="shared" si="13"/>
        <v>0.9999891215901624</v>
      </c>
      <c r="L63" s="302">
        <f t="shared" si="13"/>
        <v>1.0078605678806301</v>
      </c>
      <c r="M63" s="302">
        <f t="shared" si="13"/>
        <v>1.0054775932720503</v>
      </c>
      <c r="N63" s="302">
        <f t="shared" si="13"/>
        <v>1.0094975413723386</v>
      </c>
      <c r="O63" s="302">
        <f t="shared" si="13"/>
        <v>1.0046350404269662</v>
      </c>
      <c r="P63" s="302">
        <f t="shared" si="13"/>
        <v>1.0056651304483675</v>
      </c>
      <c r="Q63" s="302">
        <f t="shared" si="13"/>
        <v>1.007569505215165</v>
      </c>
      <c r="R63" s="302">
        <f t="shared" si="13"/>
        <v>1.0015422249589645</v>
      </c>
      <c r="S63" s="302">
        <f t="shared" si="13"/>
        <v>0.99025032838615201</v>
      </c>
      <c r="T63" s="302">
        <f t="shared" si="13"/>
        <v>1.0165551029373983</v>
      </c>
      <c r="U63" s="302">
        <f t="shared" si="13"/>
        <v>1.0074204726316844</v>
      </c>
      <c r="V63" s="302">
        <f t="shared" si="13"/>
        <v>1.0064967876994153</v>
      </c>
      <c r="W63" s="304">
        <f t="shared" si="13"/>
        <v>1.001669503892602</v>
      </c>
      <c r="X63" s="304">
        <f t="shared" si="13"/>
        <v>1.0061909999999998</v>
      </c>
      <c r="Y63" s="304">
        <f t="shared" si="13"/>
        <v>1.005409</v>
      </c>
      <c r="Z63" s="305"/>
    </row>
    <row r="64" spans="1:27" ht="15" x14ac:dyDescent="0.25">
      <c r="A64" s="218"/>
      <c r="B64" s="218"/>
      <c r="C64" s="300"/>
      <c r="D64" s="300"/>
      <c r="E64" s="300"/>
      <c r="F64" s="300"/>
      <c r="G64" s="300"/>
      <c r="H64" s="300"/>
      <c r="I64" s="300"/>
      <c r="J64" s="300"/>
      <c r="K64" s="300"/>
      <c r="L64" s="300"/>
      <c r="M64" s="300"/>
      <c r="N64" s="300"/>
      <c r="O64" s="300"/>
      <c r="P64" s="300"/>
      <c r="Q64" s="300"/>
      <c r="R64" s="300"/>
      <c r="S64" s="300"/>
      <c r="T64" s="300"/>
      <c r="U64" s="300"/>
      <c r="V64" s="300"/>
      <c r="Z64" s="305"/>
    </row>
    <row r="65" spans="1:26" ht="15" x14ac:dyDescent="0.25">
      <c r="A65" t="s">
        <v>265</v>
      </c>
      <c r="C65" s="300"/>
      <c r="F65"/>
      <c r="H65" s="212"/>
      <c r="Z65" s="305"/>
    </row>
    <row r="66" spans="1:26" ht="15" x14ac:dyDescent="0.25">
      <c r="A66" s="218" t="s">
        <v>193</v>
      </c>
      <c r="B66" s="298"/>
      <c r="C66" s="302">
        <f>C67</f>
        <v>1.0007773269231448</v>
      </c>
      <c r="D66" s="302">
        <f t="shared" ref="D66:Y66" si="14">D67</f>
        <v>0.99800020248650334</v>
      </c>
      <c r="E66" s="302">
        <f t="shared" si="14"/>
        <v>1.0070024023181297</v>
      </c>
      <c r="F66" s="302">
        <f t="shared" si="14"/>
        <v>1.0000121192007305</v>
      </c>
      <c r="G66" s="302">
        <f t="shared" si="14"/>
        <v>0.9963727069135343</v>
      </c>
      <c r="H66" s="302">
        <f t="shared" si="14"/>
        <v>1.0059808025577559</v>
      </c>
      <c r="I66" s="302">
        <f t="shared" si="14"/>
        <v>1.0059239438466572</v>
      </c>
      <c r="J66" s="302">
        <f t="shared" si="14"/>
        <v>1.0091912301167505</v>
      </c>
      <c r="K66" s="302">
        <f t="shared" si="14"/>
        <v>1.0038215555706937</v>
      </c>
      <c r="L66" s="302">
        <f t="shared" si="14"/>
        <v>1.0007522281608745</v>
      </c>
      <c r="M66" s="302">
        <f t="shared" si="14"/>
        <v>1.0047450936933109</v>
      </c>
      <c r="N66" s="302">
        <f t="shared" si="14"/>
        <v>1.0022633902805176</v>
      </c>
      <c r="O66" s="302">
        <f t="shared" si="14"/>
        <v>1.0012532656638382</v>
      </c>
      <c r="P66" s="302">
        <f t="shared" si="14"/>
        <v>1.0016753659184412</v>
      </c>
      <c r="Q66" s="302">
        <f t="shared" si="14"/>
        <v>1.0037845051064729</v>
      </c>
      <c r="R66" s="302">
        <f t="shared" si="14"/>
        <v>1.0018710140817324</v>
      </c>
      <c r="S66" s="302">
        <f t="shared" si="14"/>
        <v>0.99796953185756165</v>
      </c>
      <c r="T66" s="302">
        <f t="shared" si="14"/>
        <v>0.9931621421216732</v>
      </c>
      <c r="U66" s="302">
        <f t="shared" si="14"/>
        <v>1.0037219604845988</v>
      </c>
      <c r="V66" s="302">
        <f t="shared" si="14"/>
        <v>1.0023040577244726</v>
      </c>
      <c r="W66" s="302">
        <f t="shared" si="14"/>
        <v>1.0018398928373262</v>
      </c>
      <c r="X66" s="304">
        <f t="shared" si="14"/>
        <v>1.0020594225340043</v>
      </c>
      <c r="Y66" s="304">
        <f t="shared" si="14"/>
        <v>1.0017997589245944</v>
      </c>
      <c r="Z66" s="305"/>
    </row>
    <row r="67" spans="1:26" ht="15" x14ac:dyDescent="0.25">
      <c r="A67" s="218" t="s">
        <v>194</v>
      </c>
      <c r="B67" s="298"/>
      <c r="C67" s="302">
        <f t="shared" ref="C67:Y67" si="15">POWER(C54,1/3)</f>
        <v>1.0007773269231448</v>
      </c>
      <c r="D67" s="302">
        <f t="shared" si="15"/>
        <v>0.99800020248650334</v>
      </c>
      <c r="E67" s="302">
        <f t="shared" si="15"/>
        <v>1.0070024023181297</v>
      </c>
      <c r="F67" s="302">
        <f t="shared" si="15"/>
        <v>1.0000121192007305</v>
      </c>
      <c r="G67" s="302">
        <f t="shared" si="15"/>
        <v>0.9963727069135343</v>
      </c>
      <c r="H67" s="302">
        <f t="shared" si="15"/>
        <v>1.0059808025577559</v>
      </c>
      <c r="I67" s="302">
        <f t="shared" si="15"/>
        <v>1.0059239438466572</v>
      </c>
      <c r="J67" s="302">
        <f t="shared" si="15"/>
        <v>1.0091912301167505</v>
      </c>
      <c r="K67" s="302">
        <f t="shared" si="15"/>
        <v>1.0038215555706937</v>
      </c>
      <c r="L67" s="302">
        <f t="shared" si="15"/>
        <v>1.0007522281608745</v>
      </c>
      <c r="M67" s="302">
        <f t="shared" si="15"/>
        <v>1.0047450936933109</v>
      </c>
      <c r="N67" s="302">
        <f t="shared" si="15"/>
        <v>1.0022633902805176</v>
      </c>
      <c r="O67" s="302">
        <f t="shared" si="15"/>
        <v>1.0012532656638382</v>
      </c>
      <c r="P67" s="302">
        <f t="shared" si="15"/>
        <v>1.0016753659184412</v>
      </c>
      <c r="Q67" s="302">
        <f t="shared" si="15"/>
        <v>1.0037845051064729</v>
      </c>
      <c r="R67" s="302">
        <f t="shared" si="15"/>
        <v>1.0018710140817324</v>
      </c>
      <c r="S67" s="302">
        <f t="shared" si="15"/>
        <v>0.99796953185756165</v>
      </c>
      <c r="T67" s="302">
        <f t="shared" si="15"/>
        <v>0.9931621421216732</v>
      </c>
      <c r="U67" s="302">
        <f t="shared" si="15"/>
        <v>1.0037219604845988</v>
      </c>
      <c r="V67" s="302">
        <f t="shared" si="15"/>
        <v>1.0023040577244726</v>
      </c>
      <c r="W67" s="302">
        <f t="shared" si="15"/>
        <v>1.0018398928373262</v>
      </c>
      <c r="X67" s="304">
        <f t="shared" si="15"/>
        <v>1.0020594225340043</v>
      </c>
      <c r="Y67" s="304">
        <f t="shared" si="15"/>
        <v>1.0017997589245944</v>
      </c>
      <c r="Z67" s="305"/>
    </row>
    <row r="68" spans="1:26" ht="15" x14ac:dyDescent="0.25">
      <c r="A68" s="218" t="s">
        <v>195</v>
      </c>
      <c r="B68" s="298"/>
      <c r="C68" s="302">
        <f>C67</f>
        <v>1.0007773269231448</v>
      </c>
      <c r="D68" s="302">
        <f t="shared" ref="D68:Y68" si="16">D67</f>
        <v>0.99800020248650334</v>
      </c>
      <c r="E68" s="302">
        <f t="shared" si="16"/>
        <v>1.0070024023181297</v>
      </c>
      <c r="F68" s="302">
        <f t="shared" si="16"/>
        <v>1.0000121192007305</v>
      </c>
      <c r="G68" s="302">
        <f t="shared" si="16"/>
        <v>0.9963727069135343</v>
      </c>
      <c r="H68" s="302">
        <f t="shared" si="16"/>
        <v>1.0059808025577559</v>
      </c>
      <c r="I68" s="302">
        <f t="shared" si="16"/>
        <v>1.0059239438466572</v>
      </c>
      <c r="J68" s="302">
        <f t="shared" si="16"/>
        <v>1.0091912301167505</v>
      </c>
      <c r="K68" s="302">
        <f t="shared" si="16"/>
        <v>1.0038215555706937</v>
      </c>
      <c r="L68" s="302">
        <f t="shared" si="16"/>
        <v>1.0007522281608745</v>
      </c>
      <c r="M68" s="302">
        <f t="shared" si="16"/>
        <v>1.0047450936933109</v>
      </c>
      <c r="N68" s="302">
        <f t="shared" si="16"/>
        <v>1.0022633902805176</v>
      </c>
      <c r="O68" s="302">
        <f t="shared" si="16"/>
        <v>1.0012532656638382</v>
      </c>
      <c r="P68" s="302">
        <f t="shared" si="16"/>
        <v>1.0016753659184412</v>
      </c>
      <c r="Q68" s="302">
        <f t="shared" si="16"/>
        <v>1.0037845051064729</v>
      </c>
      <c r="R68" s="302">
        <f t="shared" si="16"/>
        <v>1.0018710140817324</v>
      </c>
      <c r="S68" s="302">
        <f t="shared" si="16"/>
        <v>0.99796953185756165</v>
      </c>
      <c r="T68" s="302">
        <f t="shared" si="16"/>
        <v>0.9931621421216732</v>
      </c>
      <c r="U68" s="302">
        <f t="shared" si="16"/>
        <v>1.0037219604845988</v>
      </c>
      <c r="V68" s="302">
        <f t="shared" si="16"/>
        <v>1.0023040577244726</v>
      </c>
      <c r="W68" s="302">
        <f t="shared" si="16"/>
        <v>1.0018398928373262</v>
      </c>
      <c r="X68" s="304">
        <f t="shared" si="16"/>
        <v>1.0020594225340043</v>
      </c>
      <c r="Y68" s="304">
        <f t="shared" si="16"/>
        <v>1.0017997589245944</v>
      </c>
      <c r="Z68" s="305"/>
    </row>
    <row r="69" spans="1:26" ht="15" x14ac:dyDescent="0.25">
      <c r="A69" s="218" t="s">
        <v>196</v>
      </c>
      <c r="B69" s="298"/>
      <c r="C69" s="302">
        <f>C70</f>
        <v>0.99945744288669491</v>
      </c>
      <c r="D69" s="302">
        <f t="shared" ref="D69:Y69" si="17">D70</f>
        <v>1.0015635126108609</v>
      </c>
      <c r="E69" s="302">
        <f t="shared" si="17"/>
        <v>1.0059896238515524</v>
      </c>
      <c r="F69" s="302">
        <f t="shared" si="17"/>
        <v>1.0002917008936045</v>
      </c>
      <c r="G69" s="302">
        <f t="shared" si="17"/>
        <v>1.0013697816097553</v>
      </c>
      <c r="H69" s="302">
        <f t="shared" si="17"/>
        <v>1.0028824294834466</v>
      </c>
      <c r="I69" s="302">
        <f t="shared" si="17"/>
        <v>1.0004488466757653</v>
      </c>
      <c r="J69" s="302">
        <f t="shared" si="17"/>
        <v>1.0073629352337408</v>
      </c>
      <c r="K69" s="302">
        <f t="shared" si="17"/>
        <v>1.0046280110109296</v>
      </c>
      <c r="L69" s="302">
        <f t="shared" si="17"/>
        <v>1.0024182110391155</v>
      </c>
      <c r="M69" s="302">
        <f t="shared" si="17"/>
        <v>1.0011849778843402</v>
      </c>
      <c r="N69" s="302">
        <f t="shared" si="17"/>
        <v>0.99892982674064634</v>
      </c>
      <c r="O69" s="302">
        <f t="shared" si="17"/>
        <v>1.0052425865283638</v>
      </c>
      <c r="P69" s="302">
        <f t="shared" si="17"/>
        <v>1.001616454731127</v>
      </c>
      <c r="Q69" s="302">
        <f t="shared" si="17"/>
        <v>1.0012049090076207</v>
      </c>
      <c r="R69" s="302">
        <f t="shared" si="17"/>
        <v>1.0032926265157294</v>
      </c>
      <c r="S69" s="302">
        <f t="shared" si="17"/>
        <v>1.0006401047961975</v>
      </c>
      <c r="T69" s="302">
        <f t="shared" si="17"/>
        <v>0.99644462789354937</v>
      </c>
      <c r="U69" s="302">
        <f t="shared" si="17"/>
        <v>1.0014466754619122</v>
      </c>
      <c r="V69" s="302">
        <f t="shared" si="17"/>
        <v>0.99949913849679162</v>
      </c>
      <c r="W69" s="302">
        <f t="shared" si="17"/>
        <v>1.0017198414096395</v>
      </c>
      <c r="X69" s="304">
        <f t="shared" si="17"/>
        <v>1.0020594225340043</v>
      </c>
      <c r="Y69" s="304">
        <f t="shared" si="17"/>
        <v>1.0017997589245944</v>
      </c>
      <c r="Z69" s="305"/>
    </row>
    <row r="70" spans="1:26" ht="15" x14ac:dyDescent="0.25">
      <c r="A70" s="218" t="s">
        <v>86</v>
      </c>
      <c r="B70" s="298"/>
      <c r="C70" s="302">
        <f t="shared" ref="C70:Y70" si="18">POWER(C57,1/3)</f>
        <v>0.99945744288669491</v>
      </c>
      <c r="D70" s="302">
        <f t="shared" si="18"/>
        <v>1.0015635126108609</v>
      </c>
      <c r="E70" s="302">
        <f t="shared" si="18"/>
        <v>1.0059896238515524</v>
      </c>
      <c r="F70" s="302">
        <f t="shared" si="18"/>
        <v>1.0002917008936045</v>
      </c>
      <c r="G70" s="302">
        <f t="shared" si="18"/>
        <v>1.0013697816097553</v>
      </c>
      <c r="H70" s="302">
        <f t="shared" si="18"/>
        <v>1.0028824294834466</v>
      </c>
      <c r="I70" s="302">
        <f t="shared" si="18"/>
        <v>1.0004488466757653</v>
      </c>
      <c r="J70" s="302">
        <f t="shared" si="18"/>
        <v>1.0073629352337408</v>
      </c>
      <c r="K70" s="302">
        <f t="shared" si="18"/>
        <v>1.0046280110109296</v>
      </c>
      <c r="L70" s="302">
        <f t="shared" si="18"/>
        <v>1.0024182110391155</v>
      </c>
      <c r="M70" s="302">
        <f t="shared" si="18"/>
        <v>1.0011849778843402</v>
      </c>
      <c r="N70" s="302">
        <f t="shared" si="18"/>
        <v>0.99892982674064634</v>
      </c>
      <c r="O70" s="302">
        <f t="shared" si="18"/>
        <v>1.0052425865283638</v>
      </c>
      <c r="P70" s="302">
        <f t="shared" si="18"/>
        <v>1.001616454731127</v>
      </c>
      <c r="Q70" s="302">
        <f t="shared" si="18"/>
        <v>1.0012049090076207</v>
      </c>
      <c r="R70" s="302">
        <f t="shared" si="18"/>
        <v>1.0032926265157294</v>
      </c>
      <c r="S70" s="302">
        <f t="shared" si="18"/>
        <v>1.0006401047961975</v>
      </c>
      <c r="T70" s="302">
        <f t="shared" si="18"/>
        <v>0.99644462789354937</v>
      </c>
      <c r="U70" s="302">
        <f t="shared" si="18"/>
        <v>1.0014466754619122</v>
      </c>
      <c r="V70" s="302">
        <f t="shared" si="18"/>
        <v>0.99949913849679162</v>
      </c>
      <c r="W70" s="302">
        <f t="shared" si="18"/>
        <v>1.0017198414096395</v>
      </c>
      <c r="X70" s="304">
        <f t="shared" si="18"/>
        <v>1.0020594225340043</v>
      </c>
      <c r="Y70" s="304">
        <f t="shared" si="18"/>
        <v>1.0017997589245944</v>
      </c>
      <c r="Z70" s="305"/>
    </row>
    <row r="71" spans="1:26" ht="15" x14ac:dyDescent="0.25">
      <c r="A71" s="218" t="s">
        <v>197</v>
      </c>
      <c r="B71" s="298"/>
      <c r="C71" s="302">
        <f>C70</f>
        <v>0.99945744288669491</v>
      </c>
      <c r="D71" s="302">
        <f t="shared" ref="D71:Y71" si="19">D70</f>
        <v>1.0015635126108609</v>
      </c>
      <c r="E71" s="302">
        <f t="shared" si="19"/>
        <v>1.0059896238515524</v>
      </c>
      <c r="F71" s="302">
        <f t="shared" si="19"/>
        <v>1.0002917008936045</v>
      </c>
      <c r="G71" s="302">
        <f t="shared" si="19"/>
        <v>1.0013697816097553</v>
      </c>
      <c r="H71" s="302">
        <f t="shared" si="19"/>
        <v>1.0028824294834466</v>
      </c>
      <c r="I71" s="302">
        <f t="shared" si="19"/>
        <v>1.0004488466757653</v>
      </c>
      <c r="J71" s="302">
        <f t="shared" si="19"/>
        <v>1.0073629352337408</v>
      </c>
      <c r="K71" s="302">
        <f t="shared" si="19"/>
        <v>1.0046280110109296</v>
      </c>
      <c r="L71" s="302">
        <f t="shared" si="19"/>
        <v>1.0024182110391155</v>
      </c>
      <c r="M71" s="302">
        <f t="shared" si="19"/>
        <v>1.0011849778843402</v>
      </c>
      <c r="N71" s="302">
        <f t="shared" si="19"/>
        <v>0.99892982674064634</v>
      </c>
      <c r="O71" s="302">
        <f t="shared" si="19"/>
        <v>1.0052425865283638</v>
      </c>
      <c r="P71" s="302">
        <f t="shared" si="19"/>
        <v>1.001616454731127</v>
      </c>
      <c r="Q71" s="302">
        <f t="shared" si="19"/>
        <v>1.0012049090076207</v>
      </c>
      <c r="R71" s="302">
        <f t="shared" si="19"/>
        <v>1.0032926265157294</v>
      </c>
      <c r="S71" s="302">
        <f t="shared" si="19"/>
        <v>1.0006401047961975</v>
      </c>
      <c r="T71" s="302">
        <f t="shared" si="19"/>
        <v>0.99644462789354937</v>
      </c>
      <c r="U71" s="302">
        <f t="shared" si="19"/>
        <v>1.0014466754619122</v>
      </c>
      <c r="V71" s="302">
        <f t="shared" si="19"/>
        <v>0.99949913849679162</v>
      </c>
      <c r="W71" s="302">
        <f t="shared" si="19"/>
        <v>1.0017198414096395</v>
      </c>
      <c r="X71" s="304">
        <f t="shared" si="19"/>
        <v>1.0020594225340043</v>
      </c>
      <c r="Y71" s="304">
        <f t="shared" si="19"/>
        <v>1.0017997589245944</v>
      </c>
      <c r="Z71" s="305"/>
    </row>
    <row r="72" spans="1:26" ht="15" x14ac:dyDescent="0.25">
      <c r="A72" s="218" t="s">
        <v>198</v>
      </c>
      <c r="B72" s="298"/>
      <c r="C72" s="302">
        <f>C73</f>
        <v>0.99768396653649916</v>
      </c>
      <c r="D72" s="302">
        <f t="shared" ref="D72:Y72" si="20">D73</f>
        <v>1.0035080994245682</v>
      </c>
      <c r="E72" s="302">
        <f t="shared" si="20"/>
        <v>1.0067468896977472</v>
      </c>
      <c r="F72" s="302">
        <f t="shared" si="20"/>
        <v>1.0034954512373901</v>
      </c>
      <c r="G72" s="302">
        <f t="shared" si="20"/>
        <v>1.0025696099271961</v>
      </c>
      <c r="H72" s="302">
        <f t="shared" si="20"/>
        <v>1.0072099213319186</v>
      </c>
      <c r="I72" s="302">
        <f t="shared" si="20"/>
        <v>1.002741088886173</v>
      </c>
      <c r="J72" s="302">
        <f t="shared" si="20"/>
        <v>1.0066283514991687</v>
      </c>
      <c r="K72" s="302">
        <f t="shared" si="20"/>
        <v>1.0041380739919041</v>
      </c>
      <c r="L72" s="302">
        <f t="shared" si="20"/>
        <v>0.99895942625014111</v>
      </c>
      <c r="M72" s="302">
        <f t="shared" si="20"/>
        <v>1.0041648464911981</v>
      </c>
      <c r="N72" s="302">
        <f t="shared" si="20"/>
        <v>0.99716851227210224</v>
      </c>
      <c r="O72" s="302">
        <f t="shared" si="20"/>
        <v>1.0043907745701262</v>
      </c>
      <c r="P72" s="302">
        <f t="shared" si="20"/>
        <v>1.0021987447169449</v>
      </c>
      <c r="Q72" s="302">
        <f t="shared" si="20"/>
        <v>0.99967595776762552</v>
      </c>
      <c r="R72" s="302">
        <f t="shared" si="20"/>
        <v>0.99994385733763447</v>
      </c>
      <c r="S72" s="302">
        <f t="shared" si="20"/>
        <v>0.99810607981185973</v>
      </c>
      <c r="T72" s="302">
        <f t="shared" si="20"/>
        <v>1.0008697006210081</v>
      </c>
      <c r="U72" s="302">
        <f t="shared" si="20"/>
        <v>1.0012661243407472</v>
      </c>
      <c r="V72" s="302">
        <f t="shared" si="20"/>
        <v>1.0031415489723288</v>
      </c>
      <c r="W72" s="304">
        <f t="shared" si="20"/>
        <v>1.0005561918907622</v>
      </c>
      <c r="X72" s="304">
        <f t="shared" si="20"/>
        <v>1.0020594225340043</v>
      </c>
      <c r="Y72" s="304">
        <f t="shared" si="20"/>
        <v>1.0017997589245944</v>
      </c>
      <c r="Z72" s="305"/>
    </row>
    <row r="73" spans="1:26" ht="15" x14ac:dyDescent="0.25">
      <c r="A73" s="218" t="s">
        <v>199</v>
      </c>
      <c r="B73" s="298"/>
      <c r="C73" s="302">
        <f t="shared" ref="C73:Y73" si="21">POWER(C60,1/3)</f>
        <v>0.99768396653649916</v>
      </c>
      <c r="D73" s="302">
        <f t="shared" si="21"/>
        <v>1.0035080994245682</v>
      </c>
      <c r="E73" s="302">
        <f t="shared" si="21"/>
        <v>1.0067468896977472</v>
      </c>
      <c r="F73" s="302">
        <f t="shared" si="21"/>
        <v>1.0034954512373901</v>
      </c>
      <c r="G73" s="302">
        <f t="shared" si="21"/>
        <v>1.0025696099271961</v>
      </c>
      <c r="H73" s="302">
        <f t="shared" si="21"/>
        <v>1.0072099213319186</v>
      </c>
      <c r="I73" s="302">
        <f t="shared" si="21"/>
        <v>1.002741088886173</v>
      </c>
      <c r="J73" s="302">
        <f t="shared" si="21"/>
        <v>1.0066283514991687</v>
      </c>
      <c r="K73" s="302">
        <f t="shared" si="21"/>
        <v>1.0041380739919041</v>
      </c>
      <c r="L73" s="302">
        <f t="shared" si="21"/>
        <v>0.99895942625014111</v>
      </c>
      <c r="M73" s="302">
        <f t="shared" si="21"/>
        <v>1.0041648464911981</v>
      </c>
      <c r="N73" s="302">
        <f t="shared" si="21"/>
        <v>0.99716851227210224</v>
      </c>
      <c r="O73" s="302">
        <f t="shared" si="21"/>
        <v>1.0043907745701262</v>
      </c>
      <c r="P73" s="302">
        <f t="shared" si="21"/>
        <v>1.0021987447169449</v>
      </c>
      <c r="Q73" s="302">
        <f t="shared" si="21"/>
        <v>0.99967595776762552</v>
      </c>
      <c r="R73" s="302">
        <f t="shared" si="21"/>
        <v>0.99994385733763447</v>
      </c>
      <c r="S73" s="302">
        <f t="shared" si="21"/>
        <v>0.99810607981185973</v>
      </c>
      <c r="T73" s="302">
        <f t="shared" si="21"/>
        <v>1.0008697006210081</v>
      </c>
      <c r="U73" s="302">
        <f t="shared" si="21"/>
        <v>1.0012661243407472</v>
      </c>
      <c r="V73" s="302">
        <f t="shared" si="21"/>
        <v>1.0031415489723288</v>
      </c>
      <c r="W73" s="304">
        <f t="shared" si="21"/>
        <v>1.0005561918907622</v>
      </c>
      <c r="X73" s="304">
        <f t="shared" si="21"/>
        <v>1.0020594225340043</v>
      </c>
      <c r="Y73" s="304">
        <f t="shared" si="21"/>
        <v>1.0017997589245944</v>
      </c>
      <c r="Z73" s="305"/>
    </row>
    <row r="74" spans="1:26" ht="15" x14ac:dyDescent="0.25">
      <c r="A74" s="218" t="s">
        <v>200</v>
      </c>
      <c r="B74" s="298"/>
      <c r="C74" s="302">
        <f>C73</f>
        <v>0.99768396653649916</v>
      </c>
      <c r="D74" s="302">
        <f t="shared" ref="D74:Y74" si="22">D73</f>
        <v>1.0035080994245682</v>
      </c>
      <c r="E74" s="302">
        <f t="shared" si="22"/>
        <v>1.0067468896977472</v>
      </c>
      <c r="F74" s="302">
        <f t="shared" si="22"/>
        <v>1.0034954512373901</v>
      </c>
      <c r="G74" s="302">
        <f t="shared" si="22"/>
        <v>1.0025696099271961</v>
      </c>
      <c r="H74" s="302">
        <f t="shared" si="22"/>
        <v>1.0072099213319186</v>
      </c>
      <c r="I74" s="302">
        <f t="shared" si="22"/>
        <v>1.002741088886173</v>
      </c>
      <c r="J74" s="302">
        <f t="shared" si="22"/>
        <v>1.0066283514991687</v>
      </c>
      <c r="K74" s="302">
        <f t="shared" si="22"/>
        <v>1.0041380739919041</v>
      </c>
      <c r="L74" s="302">
        <f t="shared" si="22"/>
        <v>0.99895942625014111</v>
      </c>
      <c r="M74" s="302">
        <f t="shared" si="22"/>
        <v>1.0041648464911981</v>
      </c>
      <c r="N74" s="302">
        <f t="shared" si="22"/>
        <v>0.99716851227210224</v>
      </c>
      <c r="O74" s="302">
        <f t="shared" si="22"/>
        <v>1.0043907745701262</v>
      </c>
      <c r="P74" s="302">
        <f t="shared" si="22"/>
        <v>1.0021987447169449</v>
      </c>
      <c r="Q74" s="302">
        <f t="shared" si="22"/>
        <v>0.99967595776762552</v>
      </c>
      <c r="R74" s="302">
        <f t="shared" si="22"/>
        <v>0.99994385733763447</v>
      </c>
      <c r="S74" s="302">
        <f t="shared" si="22"/>
        <v>0.99810607981185973</v>
      </c>
      <c r="T74" s="302">
        <f t="shared" si="22"/>
        <v>1.0008697006210081</v>
      </c>
      <c r="U74" s="302">
        <f t="shared" si="22"/>
        <v>1.0012661243407472</v>
      </c>
      <c r="V74" s="302">
        <f t="shared" si="22"/>
        <v>1.0031415489723288</v>
      </c>
      <c r="W74" s="304">
        <f t="shared" si="22"/>
        <v>1.0005561918907622</v>
      </c>
      <c r="X74" s="304">
        <f t="shared" si="22"/>
        <v>1.0020594225340043</v>
      </c>
      <c r="Y74" s="304">
        <f t="shared" si="22"/>
        <v>1.0017997589245944</v>
      </c>
      <c r="Z74" s="305"/>
    </row>
    <row r="75" spans="1:26" ht="15" x14ac:dyDescent="0.25">
      <c r="A75" s="218" t="s">
        <v>201</v>
      </c>
      <c r="B75" s="218"/>
      <c r="C75" s="302">
        <f>C76</f>
        <v>1.004343221063235</v>
      </c>
      <c r="D75" s="302">
        <f t="shared" ref="D75:Y75" si="23">D76</f>
        <v>1.0011571836650386</v>
      </c>
      <c r="E75" s="302">
        <f t="shared" si="23"/>
        <v>1.005025550721234</v>
      </c>
      <c r="F75" s="302">
        <f t="shared" si="23"/>
        <v>1.0040519832530455</v>
      </c>
      <c r="G75" s="302">
        <f t="shared" si="23"/>
        <v>1.0005364778627219</v>
      </c>
      <c r="H75" s="302">
        <f t="shared" si="23"/>
        <v>1.0037739330909579</v>
      </c>
      <c r="I75" s="302">
        <f t="shared" si="23"/>
        <v>1.0040614332581588</v>
      </c>
      <c r="J75" s="302">
        <f t="shared" si="23"/>
        <v>1.0064634904333449</v>
      </c>
      <c r="K75" s="302">
        <f t="shared" si="23"/>
        <v>0.99999637385023854</v>
      </c>
      <c r="L75" s="302">
        <f t="shared" si="23"/>
        <v>1.0026133537264414</v>
      </c>
      <c r="M75" s="302">
        <f t="shared" si="23"/>
        <v>1.0018225407512764</v>
      </c>
      <c r="N75" s="302">
        <f t="shared" si="23"/>
        <v>1.003155877086876</v>
      </c>
      <c r="O75" s="302">
        <f t="shared" si="23"/>
        <v>1.0015426325368364</v>
      </c>
      <c r="P75" s="302">
        <f t="shared" si="23"/>
        <v>1.00188482203006</v>
      </c>
      <c r="Q75" s="302">
        <f t="shared" si="23"/>
        <v>1.0025168286643074</v>
      </c>
      <c r="R75" s="302">
        <f t="shared" si="23"/>
        <v>1.0005138109394245</v>
      </c>
      <c r="S75" s="302">
        <f t="shared" si="23"/>
        <v>0.99673949009126428</v>
      </c>
      <c r="T75" s="302">
        <f t="shared" si="23"/>
        <v>1.0054881922892789</v>
      </c>
      <c r="U75" s="302">
        <f t="shared" si="23"/>
        <v>1.0024673978180203</v>
      </c>
      <c r="V75" s="302">
        <f t="shared" si="23"/>
        <v>1.0021609229482769</v>
      </c>
      <c r="W75" s="304">
        <f t="shared" si="23"/>
        <v>1.0005561918907622</v>
      </c>
      <c r="X75" s="304">
        <f t="shared" si="23"/>
        <v>1.0020594225340043</v>
      </c>
      <c r="Y75" s="304">
        <f t="shared" si="23"/>
        <v>1.0017997589245944</v>
      </c>
      <c r="Z75" s="305"/>
    </row>
    <row r="76" spans="1:26" ht="15" x14ac:dyDescent="0.25">
      <c r="A76" s="218" t="s">
        <v>202</v>
      </c>
      <c r="B76" s="218"/>
      <c r="C76" s="302">
        <f t="shared" ref="C76:Y76" si="24">POWER(C63,1/3)</f>
        <v>1.004343221063235</v>
      </c>
      <c r="D76" s="302">
        <f t="shared" si="24"/>
        <v>1.0011571836650386</v>
      </c>
      <c r="E76" s="302">
        <f t="shared" si="24"/>
        <v>1.005025550721234</v>
      </c>
      <c r="F76" s="302">
        <f t="shared" si="24"/>
        <v>1.0040519832530455</v>
      </c>
      <c r="G76" s="302">
        <f t="shared" si="24"/>
        <v>1.0005364778627219</v>
      </c>
      <c r="H76" s="302">
        <f t="shared" si="24"/>
        <v>1.0037739330909579</v>
      </c>
      <c r="I76" s="302">
        <f t="shared" si="24"/>
        <v>1.0040614332581588</v>
      </c>
      <c r="J76" s="302">
        <f t="shared" si="24"/>
        <v>1.0064634904333449</v>
      </c>
      <c r="K76" s="302">
        <f t="shared" si="24"/>
        <v>0.99999637385023854</v>
      </c>
      <c r="L76" s="302">
        <f t="shared" si="24"/>
        <v>1.0026133537264414</v>
      </c>
      <c r="M76" s="302">
        <f t="shared" si="24"/>
        <v>1.0018225407512764</v>
      </c>
      <c r="N76" s="302">
        <f t="shared" si="24"/>
        <v>1.003155877086876</v>
      </c>
      <c r="O76" s="302">
        <f t="shared" si="24"/>
        <v>1.0015426325368364</v>
      </c>
      <c r="P76" s="302">
        <f t="shared" si="24"/>
        <v>1.00188482203006</v>
      </c>
      <c r="Q76" s="302">
        <f t="shared" si="24"/>
        <v>1.0025168286643074</v>
      </c>
      <c r="R76" s="302">
        <f t="shared" si="24"/>
        <v>1.0005138109394245</v>
      </c>
      <c r="S76" s="302">
        <f t="shared" si="24"/>
        <v>0.99673949009126428</v>
      </c>
      <c r="T76" s="302">
        <f t="shared" si="24"/>
        <v>1.0054881922892789</v>
      </c>
      <c r="U76" s="302">
        <f t="shared" si="24"/>
        <v>1.0024673978180203</v>
      </c>
      <c r="V76" s="302">
        <f t="shared" si="24"/>
        <v>1.0021609229482769</v>
      </c>
      <c r="W76" s="304">
        <f t="shared" si="24"/>
        <v>1.0005561918907622</v>
      </c>
      <c r="X76" s="304">
        <f t="shared" si="24"/>
        <v>1.0020594225340043</v>
      </c>
      <c r="Y76" s="304">
        <f t="shared" si="24"/>
        <v>1.0017997589245944</v>
      </c>
      <c r="Z76" s="305"/>
    </row>
    <row r="77" spans="1:26" ht="15" x14ac:dyDescent="0.25">
      <c r="A77" s="218" t="s">
        <v>203</v>
      </c>
      <c r="B77" s="218"/>
      <c r="C77" s="302">
        <f>C76</f>
        <v>1.004343221063235</v>
      </c>
      <c r="D77" s="302">
        <f t="shared" ref="D77:Y77" si="25">D76</f>
        <v>1.0011571836650386</v>
      </c>
      <c r="E77" s="302">
        <f t="shared" si="25"/>
        <v>1.005025550721234</v>
      </c>
      <c r="F77" s="302">
        <f t="shared" si="25"/>
        <v>1.0040519832530455</v>
      </c>
      <c r="G77" s="302">
        <f t="shared" si="25"/>
        <v>1.0005364778627219</v>
      </c>
      <c r="H77" s="302">
        <f t="shared" si="25"/>
        <v>1.0037739330909579</v>
      </c>
      <c r="I77" s="302">
        <f t="shared" si="25"/>
        <v>1.0040614332581588</v>
      </c>
      <c r="J77" s="302">
        <f t="shared" si="25"/>
        <v>1.0064634904333449</v>
      </c>
      <c r="K77" s="302">
        <f t="shared" si="25"/>
        <v>0.99999637385023854</v>
      </c>
      <c r="L77" s="302">
        <f t="shared" si="25"/>
        <v>1.0026133537264414</v>
      </c>
      <c r="M77" s="302">
        <f t="shared" si="25"/>
        <v>1.0018225407512764</v>
      </c>
      <c r="N77" s="302">
        <f t="shared" si="25"/>
        <v>1.003155877086876</v>
      </c>
      <c r="O77" s="302">
        <f t="shared" si="25"/>
        <v>1.0015426325368364</v>
      </c>
      <c r="P77" s="302">
        <f t="shared" si="25"/>
        <v>1.00188482203006</v>
      </c>
      <c r="Q77" s="302">
        <f t="shared" si="25"/>
        <v>1.0025168286643074</v>
      </c>
      <c r="R77" s="302">
        <f t="shared" si="25"/>
        <v>1.0005138109394245</v>
      </c>
      <c r="S77" s="302">
        <f t="shared" si="25"/>
        <v>0.99673949009126428</v>
      </c>
      <c r="T77" s="302">
        <f t="shared" si="25"/>
        <v>1.0054881922892789</v>
      </c>
      <c r="U77" s="302">
        <f t="shared" si="25"/>
        <v>1.0024673978180203</v>
      </c>
      <c r="V77" s="302">
        <f t="shared" si="25"/>
        <v>1.0021609229482769</v>
      </c>
      <c r="W77" s="304">
        <f t="shared" si="25"/>
        <v>1.0005561918907622</v>
      </c>
      <c r="X77" s="304">
        <f t="shared" si="25"/>
        <v>1.0020594225340043</v>
      </c>
      <c r="Y77" s="304">
        <f t="shared" si="25"/>
        <v>1.0017997589245944</v>
      </c>
      <c r="Z77" s="305"/>
    </row>
    <row r="78" spans="1:26" ht="15" x14ac:dyDescent="0.25">
      <c r="F78"/>
      <c r="G78"/>
      <c r="K78" s="225"/>
      <c r="M78" s="225"/>
      <c r="Z78" s="305"/>
    </row>
    <row r="79" spans="1:26" ht="15" x14ac:dyDescent="0.25">
      <c r="A79" t="s">
        <v>5</v>
      </c>
      <c r="F79"/>
      <c r="H79" s="212"/>
      <c r="W79" s="31" t="s">
        <v>157</v>
      </c>
      <c r="X79" s="306" t="s">
        <v>266</v>
      </c>
      <c r="Y79" s="307" t="s">
        <v>266</v>
      </c>
      <c r="Z79" s="305"/>
    </row>
    <row r="80" spans="1:26" ht="15" x14ac:dyDescent="0.25">
      <c r="A80" s="218" t="s">
        <v>193</v>
      </c>
      <c r="B80" s="298"/>
      <c r="C80" s="300">
        <f t="shared" ref="C80:Y80" si="26">B91*C67</f>
        <v>83.686789096048116</v>
      </c>
      <c r="D80" s="300">
        <f t="shared" si="26"/>
        <v>84.019637930681753</v>
      </c>
      <c r="E80" s="300">
        <f t="shared" si="26"/>
        <v>85.85735497958332</v>
      </c>
      <c r="F80" s="300">
        <f t="shared" si="26"/>
        <v>91.815601512155439</v>
      </c>
      <c r="G80" s="300">
        <f t="shared" si="26"/>
        <v>93.657734717608022</v>
      </c>
      <c r="H80" s="300">
        <f t="shared" si="26"/>
        <v>94.798795908977795</v>
      </c>
      <c r="I80" s="300">
        <f t="shared" si="26"/>
        <v>100.59239438466572</v>
      </c>
      <c r="J80" s="300">
        <f t="shared" si="26"/>
        <v>104.97862007914226</v>
      </c>
      <c r="K80" s="300">
        <f t="shared" si="26"/>
        <v>114.09425201296889</v>
      </c>
      <c r="L80" s="300">
        <f t="shared" si="26"/>
        <v>118.11220954095434</v>
      </c>
      <c r="M80" s="300">
        <f t="shared" si="26"/>
        <v>120.28034501264254</v>
      </c>
      <c r="N80" s="300">
        <f t="shared" si="26"/>
        <v>124.34225309249827</v>
      </c>
      <c r="O80" s="300">
        <f t="shared" si="26"/>
        <v>124.77922651412962</v>
      </c>
      <c r="P80" s="300">
        <f t="shared" si="26"/>
        <v>129.5645757593544</v>
      </c>
      <c r="Q80" s="300">
        <f t="shared" si="26"/>
        <v>132.73946368666071</v>
      </c>
      <c r="R80" s="300">
        <f t="shared" si="26"/>
        <v>135.36753276297941</v>
      </c>
      <c r="S80" s="300">
        <f t="shared" si="26"/>
        <v>137.13060610813258</v>
      </c>
      <c r="T80" s="300">
        <f t="shared" si="26"/>
        <v>133.8128838017825</v>
      </c>
      <c r="U80" s="300">
        <f t="shared" si="26"/>
        <v>133.59024020281188</v>
      </c>
      <c r="V80" s="300">
        <f t="shared" si="26"/>
        <v>137.00736077777947</v>
      </c>
      <c r="W80" s="300">
        <f t="shared" si="26"/>
        <v>139.89027388797086</v>
      </c>
      <c r="X80" s="301">
        <f t="shared" si="26"/>
        <v>141.89443746092971</v>
      </c>
      <c r="Y80" s="301">
        <f t="shared" si="26"/>
        <v>145.40338965020209</v>
      </c>
      <c r="Z80" s="305"/>
    </row>
    <row r="81" spans="1:26" ht="15" x14ac:dyDescent="0.25">
      <c r="A81" s="218" t="s">
        <v>194</v>
      </c>
      <c r="B81" s="298"/>
      <c r="C81" s="300">
        <f t="shared" ref="C81:Y81" si="27">B91*C67*C67</f>
        <v>83.751841090324021</v>
      </c>
      <c r="D81" s="300">
        <f t="shared" si="27"/>
        <v>83.851615667663083</v>
      </c>
      <c r="E81" s="300">
        <f t="shared" si="27"/>
        <v>86.458562721120842</v>
      </c>
      <c r="F81" s="300">
        <f t="shared" si="27"/>
        <v>91.816714243860361</v>
      </c>
      <c r="G81" s="300">
        <f t="shared" si="27"/>
        <v>93.3180106639728</v>
      </c>
      <c r="H81" s="300">
        <f t="shared" si="27"/>
        <v>95.365768790022386</v>
      </c>
      <c r="I81" s="300">
        <f t="shared" si="27"/>
        <v>101.18829808040128</v>
      </c>
      <c r="J81" s="300">
        <f t="shared" si="27"/>
        <v>105.94350273362858</v>
      </c>
      <c r="K81" s="300">
        <f t="shared" si="27"/>
        <v>114.5302695373332</v>
      </c>
      <c r="L81" s="300">
        <f t="shared" si="27"/>
        <v>118.20105687111416</v>
      </c>
      <c r="M81" s="300">
        <f t="shared" si="27"/>
        <v>120.85108651919128</v>
      </c>
      <c r="N81" s="300">
        <f t="shared" si="27"/>
        <v>124.62368813960549</v>
      </c>
      <c r="O81" s="300">
        <f t="shared" si="27"/>
        <v>124.93560803428007</v>
      </c>
      <c r="P81" s="300">
        <f t="shared" si="27"/>
        <v>129.78164383381892</v>
      </c>
      <c r="Q81" s="300">
        <f t="shared" si="27"/>
        <v>133.24181686481336</v>
      </c>
      <c r="R81" s="300">
        <f t="shared" si="27"/>
        <v>135.62080732298833</v>
      </c>
      <c r="S81" s="300">
        <f t="shared" si="27"/>
        <v>136.85216678107676</v>
      </c>
      <c r="T81" s="300">
        <f t="shared" si="27"/>
        <v>132.89789032005686</v>
      </c>
      <c r="U81" s="300">
        <f t="shared" si="27"/>
        <v>134.08745779797482</v>
      </c>
      <c r="V81" s="300">
        <f t="shared" si="27"/>
        <v>137.32303364568912</v>
      </c>
      <c r="W81" s="300">
        <f t="shared" si="27"/>
        <v>140.14765700090894</v>
      </c>
      <c r="X81" s="301">
        <f t="shared" si="27"/>
        <v>142.18665806288661</v>
      </c>
      <c r="Y81" s="301">
        <f t="shared" si="27"/>
        <v>145.66508069839131</v>
      </c>
      <c r="Z81" s="305"/>
    </row>
    <row r="82" spans="1:26" ht="15" x14ac:dyDescent="0.25">
      <c r="A82" s="218" t="s">
        <v>195</v>
      </c>
      <c r="B82" s="298"/>
      <c r="C82" s="300">
        <f>C40</f>
        <v>83.816943651266456</v>
      </c>
      <c r="D82" s="300">
        <f t="shared" ref="D82:Y82" si="28">D40</f>
        <v>83.683929415148214</v>
      </c>
      <c r="E82" s="300">
        <f t="shared" si="28"/>
        <v>87.063980361141361</v>
      </c>
      <c r="F82" s="300">
        <f t="shared" si="28"/>
        <v>91.817826989050715</v>
      </c>
      <c r="G82" s="300">
        <f t="shared" si="28"/>
        <v>92.979518889048663</v>
      </c>
      <c r="H82" s="300">
        <f t="shared" si="28"/>
        <v>95.936132623924081</v>
      </c>
      <c r="I82" s="300">
        <f t="shared" si="28"/>
        <v>101.78773187616837</v>
      </c>
      <c r="J82" s="300">
        <f t="shared" si="28"/>
        <v>106.91725384662791</v>
      </c>
      <c r="K82" s="300">
        <f t="shared" si="28"/>
        <v>114.96795332689661</v>
      </c>
      <c r="L82" s="300">
        <f t="shared" si="28"/>
        <v>118.28997103473777</v>
      </c>
      <c r="M82" s="300">
        <f t="shared" si="28"/>
        <v>121.42453624766327</v>
      </c>
      <c r="N82" s="300">
        <f t="shared" si="28"/>
        <v>124.90576018406294</v>
      </c>
      <c r="O82" s="300">
        <f t="shared" si="28"/>
        <v>125.09218554202018</v>
      </c>
      <c r="P82" s="300">
        <f t="shared" si="28"/>
        <v>129.9990755767374</v>
      </c>
      <c r="Q82" s="300">
        <f t="shared" si="28"/>
        <v>133.74607120113396</v>
      </c>
      <c r="R82" s="300">
        <f t="shared" si="28"/>
        <v>135.87455576326548</v>
      </c>
      <c r="S82" s="300">
        <f t="shared" si="28"/>
        <v>136.57429281620412</v>
      </c>
      <c r="T82" s="300">
        <f t="shared" si="28"/>
        <v>131.98915343371885</v>
      </c>
      <c r="U82" s="300">
        <f t="shared" si="28"/>
        <v>134.58652601737916</v>
      </c>
      <c r="V82" s="300">
        <f t="shared" si="28"/>
        <v>137.6394338421085</v>
      </c>
      <c r="W82" s="300">
        <f t="shared" si="28"/>
        <v>140.40551367119292</v>
      </c>
      <c r="X82" s="301">
        <f t="shared" si="28"/>
        <v>142.47948047053609</v>
      </c>
      <c r="Y82" s="301">
        <f t="shared" si="28"/>
        <v>145.92724272737999</v>
      </c>
      <c r="Z82" s="305"/>
    </row>
    <row r="83" spans="1:26" ht="15" x14ac:dyDescent="0.25">
      <c r="A83" s="218" t="s">
        <v>196</v>
      </c>
      <c r="B83" s="298"/>
      <c r="C83" s="300">
        <f t="shared" ref="C83:Y83" si="29">C82*C70</f>
        <v>83.771468172272975</v>
      </c>
      <c r="D83" s="300">
        <f t="shared" si="29"/>
        <v>83.814770294115192</v>
      </c>
      <c r="E83" s="300">
        <f t="shared" si="29"/>
        <v>87.585460854523546</v>
      </c>
      <c r="F83" s="300">
        <f t="shared" si="29"/>
        <v>91.844610331232246</v>
      </c>
      <c r="G83" s="300">
        <f t="shared" si="29"/>
        <v>93.106880524106785</v>
      </c>
      <c r="H83" s="300">
        <f t="shared" si="29"/>
        <v>96.212661761127123</v>
      </c>
      <c r="I83" s="300">
        <f t="shared" si="29"/>
        <v>101.83341896125467</v>
      </c>
      <c r="J83" s="300">
        <f t="shared" si="29"/>
        <v>107.70447866207006</v>
      </c>
      <c r="K83" s="300">
        <f t="shared" si="29"/>
        <v>115.50002628079753</v>
      </c>
      <c r="L83" s="300">
        <f t="shared" si="29"/>
        <v>118.57602114851063</v>
      </c>
      <c r="M83" s="300">
        <f t="shared" si="29"/>
        <v>121.56842163773302</v>
      </c>
      <c r="N83" s="300">
        <f t="shared" si="29"/>
        <v>124.77208937957472</v>
      </c>
      <c r="O83" s="300">
        <f t="shared" si="29"/>
        <v>125.74799214874636</v>
      </c>
      <c r="P83" s="300">
        <f t="shared" si="29"/>
        <v>130.20921319749556</v>
      </c>
      <c r="Q83" s="300">
        <f t="shared" si="29"/>
        <v>133.9072230470581</v>
      </c>
      <c r="R83" s="300">
        <f t="shared" si="29"/>
        <v>136.32193992838455</v>
      </c>
      <c r="S83" s="300">
        <f t="shared" si="29"/>
        <v>136.66171467607305</v>
      </c>
      <c r="T83" s="300">
        <f t="shared" si="29"/>
        <v>131.51988287924658</v>
      </c>
      <c r="U83" s="300">
        <f t="shared" si="29"/>
        <v>134.78122904207251</v>
      </c>
      <c r="V83" s="300">
        <f t="shared" si="29"/>
        <v>137.5704955483736</v>
      </c>
      <c r="W83" s="300">
        <f t="shared" si="29"/>
        <v>140.64698888774635</v>
      </c>
      <c r="X83" s="301">
        <f t="shared" si="29"/>
        <v>142.77290592325033</v>
      </c>
      <c r="Y83" s="301">
        <f t="shared" si="29"/>
        <v>146.18987658482004</v>
      </c>
      <c r="Z83" s="305"/>
    </row>
    <row r="84" spans="1:26" ht="15" x14ac:dyDescent="0.25">
      <c r="A84" s="218" t="s">
        <v>86</v>
      </c>
      <c r="B84" s="298"/>
      <c r="C84" s="300">
        <f t="shared" ref="C84:Y84" si="30">C82*C70*C70</f>
        <v>83.726017366324101</v>
      </c>
      <c r="D84" s="300">
        <f t="shared" si="30"/>
        <v>83.945815744446449</v>
      </c>
      <c r="E84" s="300">
        <f t="shared" si="30"/>
        <v>88.110064819907009</v>
      </c>
      <c r="F84" s="300">
        <f t="shared" si="30"/>
        <v>91.871401486138623</v>
      </c>
      <c r="G84" s="300">
        <f t="shared" si="30"/>
        <v>93.234416616790398</v>
      </c>
      <c r="H84" s="300">
        <f t="shared" si="30"/>
        <v>96.489987974068271</v>
      </c>
      <c r="I84" s="300">
        <f t="shared" si="30"/>
        <v>101.87912655283723</v>
      </c>
      <c r="J84" s="300">
        <f t="shared" si="30"/>
        <v>108.49749976284269</v>
      </c>
      <c r="K84" s="300">
        <f t="shared" si="30"/>
        <v>116.03456167418771</v>
      </c>
      <c r="L84" s="300">
        <f t="shared" si="30"/>
        <v>118.86276299182636</v>
      </c>
      <c r="M84" s="300">
        <f t="shared" si="30"/>
        <v>121.7124775288079</v>
      </c>
      <c r="N84" s="300">
        <f t="shared" si="30"/>
        <v>124.63856162600702</v>
      </c>
      <c r="O84" s="300">
        <f t="shared" si="30"/>
        <v>126.40723687835418</v>
      </c>
      <c r="P84" s="300">
        <f t="shared" si="30"/>
        <v>130.41969049620496</v>
      </c>
      <c r="Q84" s="300">
        <f t="shared" si="30"/>
        <v>134.06856906629298</v>
      </c>
      <c r="R84" s="300">
        <f t="shared" si="30"/>
        <v>136.77079716246843</v>
      </c>
      <c r="S84" s="300">
        <f t="shared" si="30"/>
        <v>136.74919249509378</v>
      </c>
      <c r="T84" s="300">
        <f t="shared" si="30"/>
        <v>131.05228075621406</v>
      </c>
      <c r="U84" s="300">
        <f t="shared" si="30"/>
        <v>134.97621373885406</v>
      </c>
      <c r="V84" s="300">
        <f t="shared" si="30"/>
        <v>137.50159178317611</v>
      </c>
      <c r="W84" s="300">
        <f t="shared" si="30"/>
        <v>140.88887940337659</v>
      </c>
      <c r="X84" s="301">
        <f t="shared" si="30"/>
        <v>143.06693566295394</v>
      </c>
      <c r="Y84" s="301">
        <f t="shared" si="30"/>
        <v>146.45298311988893</v>
      </c>
      <c r="Z84" s="305"/>
    </row>
    <row r="85" spans="1:26" ht="15" x14ac:dyDescent="0.25">
      <c r="A85" s="218" t="s">
        <v>197</v>
      </c>
      <c r="B85" s="298"/>
      <c r="C85" s="300">
        <f>C43</f>
        <v>83.680591220033278</v>
      </c>
      <c r="D85" s="300">
        <f t="shared" ref="D85:Y85" si="31">D43</f>
        <v>84.077066085991902</v>
      </c>
      <c r="E85" s="300">
        <f t="shared" si="31"/>
        <v>88.637810965714166</v>
      </c>
      <c r="F85" s="300">
        <f t="shared" si="31"/>
        <v>91.898200456048812</v>
      </c>
      <c r="G85" s="300">
        <f t="shared" si="31"/>
        <v>93.362127406068325</v>
      </c>
      <c r="H85" s="300">
        <f t="shared" si="31"/>
        <v>96.768113560262123</v>
      </c>
      <c r="I85" s="300">
        <f t="shared" si="31"/>
        <v>101.92485466012037</v>
      </c>
      <c r="J85" s="300">
        <f t="shared" si="31"/>
        <v>109.29635982661927</v>
      </c>
      <c r="K85" s="300">
        <f t="shared" si="31"/>
        <v>116.57157090326425</v>
      </c>
      <c r="L85" s="300">
        <f t="shared" si="31"/>
        <v>119.15019823743297</v>
      </c>
      <c r="M85" s="300">
        <f t="shared" si="31"/>
        <v>121.85670412292775</v>
      </c>
      <c r="N85" s="300">
        <f t="shared" si="31"/>
        <v>124.50517677027055</v>
      </c>
      <c r="O85" s="300">
        <f t="shared" si="31"/>
        <v>127.06993775550033</v>
      </c>
      <c r="P85" s="300">
        <f t="shared" si="31"/>
        <v>130.63050802193965</v>
      </c>
      <c r="Q85" s="300">
        <f t="shared" si="31"/>
        <v>134.23010949279976</v>
      </c>
      <c r="R85" s="300">
        <f t="shared" si="31"/>
        <v>137.221132315783</v>
      </c>
      <c r="S85" s="300">
        <f t="shared" si="31"/>
        <v>136.83672630908606</v>
      </c>
      <c r="T85" s="300">
        <f t="shared" si="31"/>
        <v>130.58634113272666</v>
      </c>
      <c r="U85" s="300">
        <f t="shared" si="31"/>
        <v>135.1714805152119</v>
      </c>
      <c r="V85" s="300">
        <f t="shared" si="31"/>
        <v>137.43272252922205</v>
      </c>
      <c r="W85" s="300">
        <f t="shared" si="31"/>
        <v>141.13118593233222</v>
      </c>
      <c r="X85" s="301">
        <f t="shared" si="31"/>
        <v>143.36157093412919</v>
      </c>
      <c r="Y85" s="301">
        <f t="shared" si="31"/>
        <v>146.71656318329238</v>
      </c>
      <c r="Z85" s="305"/>
    </row>
    <row r="86" spans="1:26" ht="15" x14ac:dyDescent="0.25">
      <c r="A86" s="218" t="s">
        <v>198</v>
      </c>
      <c r="B86" s="298"/>
      <c r="C86" s="300">
        <f t="shared" ref="C86:Y86" si="32">C85*C73</f>
        <v>83.486784170522142</v>
      </c>
      <c r="D86" s="300">
        <f t="shared" si="32"/>
        <v>84.372016793147552</v>
      </c>
      <c r="E86" s="300">
        <f t="shared" si="32"/>
        <v>89.235840499349607</v>
      </c>
      <c r="F86" s="300">
        <f t="shared" si="32"/>
        <v>92.219426134546836</v>
      </c>
      <c r="G86" s="300">
        <f t="shared" si="32"/>
        <v>93.602031655475102</v>
      </c>
      <c r="H86" s="300">
        <f t="shared" si="32"/>
        <v>97.465804046469771</v>
      </c>
      <c r="I86" s="300">
        <f t="shared" si="32"/>
        <v>102.20423974645402</v>
      </c>
      <c r="J86" s="300">
        <f t="shared" si="32"/>
        <v>110.02081451712972</v>
      </c>
      <c r="K86" s="300">
        <f t="shared" si="32"/>
        <v>117.05395268901445</v>
      </c>
      <c r="L86" s="300">
        <f t="shared" si="32"/>
        <v>119.02621366885661</v>
      </c>
      <c r="M86" s="300">
        <f t="shared" si="32"/>
        <v>122.36421858952309</v>
      </c>
      <c r="N86" s="300">
        <f t="shared" si="32"/>
        <v>124.15264189018579</v>
      </c>
      <c r="O86" s="300">
        <f t="shared" si="32"/>
        <v>127.6278732068247</v>
      </c>
      <c r="P86" s="300">
        <f t="shared" si="32"/>
        <v>130.91773116132472</v>
      </c>
      <c r="Q86" s="300">
        <f t="shared" si="32"/>
        <v>134.18661326846785</v>
      </c>
      <c r="R86" s="300">
        <f t="shared" si="32"/>
        <v>137.21342835608198</v>
      </c>
      <c r="S86" s="300">
        <f t="shared" si="32"/>
        <v>136.57756847065025</v>
      </c>
      <c r="T86" s="300">
        <f t="shared" si="32"/>
        <v>130.69991215470498</v>
      </c>
      <c r="U86" s="300">
        <f t="shared" si="32"/>
        <v>135.34262441686704</v>
      </c>
      <c r="V86" s="300">
        <f t="shared" si="32"/>
        <v>137.86447415744806</v>
      </c>
      <c r="W86" s="301">
        <f t="shared" si="32"/>
        <v>141.20968195348144</v>
      </c>
      <c r="X86" s="301">
        <f t="shared" si="32"/>
        <v>143.6568129838212</v>
      </c>
      <c r="Y86" s="301">
        <f t="shared" si="32"/>
        <v>146.98061762726732</v>
      </c>
      <c r="Z86" s="305"/>
    </row>
    <row r="87" spans="1:26" ht="15" x14ac:dyDescent="0.25">
      <c r="A87" s="218" t="s">
        <v>199</v>
      </c>
      <c r="B87" s="298"/>
      <c r="C87" s="300">
        <f t="shared" ref="C87:Y87" si="33">C85*C73*C73</f>
        <v>83.293425984623141</v>
      </c>
      <c r="D87" s="300">
        <f t="shared" si="33"/>
        <v>84.668002216709255</v>
      </c>
      <c r="E87" s="300">
        <f t="shared" si="33"/>
        <v>89.837904872284483</v>
      </c>
      <c r="F87" s="300">
        <f t="shared" si="33"/>
        <v>92.541774641740247</v>
      </c>
      <c r="G87" s="300">
        <f t="shared" si="33"/>
        <v>93.84255236522273</v>
      </c>
      <c r="H87" s="300">
        <f t="shared" si="33"/>
        <v>98.168524826197</v>
      </c>
      <c r="I87" s="300">
        <f t="shared" si="33"/>
        <v>102.48439065214278</v>
      </c>
      <c r="J87" s="300">
        <f t="shared" si="33"/>
        <v>110.75007114797411</v>
      </c>
      <c r="K87" s="300">
        <f t="shared" si="33"/>
        <v>117.53833060628644</v>
      </c>
      <c r="L87" s="300">
        <f t="shared" si="33"/>
        <v>118.9023581153677</v>
      </c>
      <c r="M87" s="300">
        <f t="shared" si="33"/>
        <v>122.87384677596386</v>
      </c>
      <c r="N87" s="300">
        <f t="shared" si="33"/>
        <v>123.80110520828764</v>
      </c>
      <c r="O87" s="300">
        <f t="shared" si="33"/>
        <v>128.18825842694051</v>
      </c>
      <c r="P87" s="300">
        <f t="shared" si="33"/>
        <v>131.2055858310701</v>
      </c>
      <c r="Q87" s="300">
        <f t="shared" si="33"/>
        <v>134.14313113874957</v>
      </c>
      <c r="R87" s="300">
        <f t="shared" si="33"/>
        <v>137.20572482890177</v>
      </c>
      <c r="S87" s="300">
        <f t="shared" si="33"/>
        <v>136.31890145647657</v>
      </c>
      <c r="T87" s="300">
        <f t="shared" si="33"/>
        <v>130.81358194947163</v>
      </c>
      <c r="U87" s="300">
        <f t="shared" si="33"/>
        <v>135.51398500798186</v>
      </c>
      <c r="V87" s="300">
        <f t="shared" si="33"/>
        <v>138.29758215455803</v>
      </c>
      <c r="W87" s="301">
        <f t="shared" si="33"/>
        <v>141.28822163348107</v>
      </c>
      <c r="X87" s="301">
        <f t="shared" si="33"/>
        <v>143.95266306164331</v>
      </c>
      <c r="Y87" s="301">
        <f t="shared" si="33"/>
        <v>147.2451473055844</v>
      </c>
      <c r="Z87" s="305"/>
    </row>
    <row r="88" spans="1:26" ht="15" x14ac:dyDescent="0.25">
      <c r="A88" s="218" t="s">
        <v>200</v>
      </c>
      <c r="B88" s="298"/>
      <c r="C88" s="300">
        <f>C46</f>
        <v>83.100515622753136</v>
      </c>
      <c r="D88" s="300">
        <f t="shared" ref="D88:Y88" si="34">D46</f>
        <v>84.965025986565053</v>
      </c>
      <c r="E88" s="300">
        <f t="shared" si="34"/>
        <v>90.444031307134495</v>
      </c>
      <c r="F88" s="300">
        <f t="shared" si="34"/>
        <v>92.865249902421994</v>
      </c>
      <c r="G88" s="300">
        <f t="shared" si="34"/>
        <v>94.083691119373853</v>
      </c>
      <c r="H88" s="300">
        <f t="shared" si="34"/>
        <v>98.876312167464405</v>
      </c>
      <c r="I88" s="300">
        <f t="shared" si="34"/>
        <v>102.76530947636557</v>
      </c>
      <c r="J88" s="300">
        <f t="shared" si="34"/>
        <v>111.48416154810081</v>
      </c>
      <c r="K88" s="300">
        <f t="shared" si="34"/>
        <v>118.02471291522012</v>
      </c>
      <c r="L88" s="300">
        <f t="shared" si="34"/>
        <v>118.77863144271656</v>
      </c>
      <c r="M88" s="300">
        <f t="shared" si="34"/>
        <v>123.38559748556872</v>
      </c>
      <c r="N88" s="300">
        <f t="shared" si="34"/>
        <v>123.45056389819018</v>
      </c>
      <c r="O88" s="300">
        <f t="shared" si="34"/>
        <v>128.75110417223033</v>
      </c>
      <c r="P88" s="300">
        <f t="shared" si="34"/>
        <v>131.49407341974978</v>
      </c>
      <c r="Q88" s="300">
        <f t="shared" si="34"/>
        <v>134.09966309907765</v>
      </c>
      <c r="R88" s="300">
        <f t="shared" si="34"/>
        <v>137.19802173421806</v>
      </c>
      <c r="S88" s="300">
        <f t="shared" si="34"/>
        <v>136.06072433698307</v>
      </c>
      <c r="T88" s="300">
        <f t="shared" si="34"/>
        <v>130.92735060292938</v>
      </c>
      <c r="U88" s="300">
        <f t="shared" si="34"/>
        <v>135.68556256291214</v>
      </c>
      <c r="V88" s="300">
        <f t="shared" si="34"/>
        <v>138.73205078165122</v>
      </c>
      <c r="W88" s="301">
        <f t="shared" si="34"/>
        <v>141.36680499661378</v>
      </c>
      <c r="X88" s="301">
        <f t="shared" si="34"/>
        <v>144.2491224197824</v>
      </c>
      <c r="Y88" s="301">
        <f t="shared" si="34"/>
        <v>147.51015307355081</v>
      </c>
      <c r="Z88" s="305"/>
    </row>
    <row r="89" spans="1:26" ht="15" x14ac:dyDescent="0.25">
      <c r="A89" s="218" t="s">
        <v>201</v>
      </c>
      <c r="B89" s="218"/>
      <c r="C89" s="300">
        <f t="shared" ref="C89:Y89" si="35">C88*C76</f>
        <v>83.461439532571575</v>
      </c>
      <c r="D89" s="300">
        <f t="shared" si="35"/>
        <v>85.063346126736278</v>
      </c>
      <c r="E89" s="300">
        <f t="shared" si="35"/>
        <v>90.89856237390137</v>
      </c>
      <c r="F89" s="300">
        <f t="shared" si="35"/>
        <v>93.241538339816486</v>
      </c>
      <c r="G89" s="300">
        <f t="shared" si="35"/>
        <v>94.134164936902565</v>
      </c>
      <c r="H89" s="300">
        <f t="shared" si="35"/>
        <v>99.249464753865084</v>
      </c>
      <c r="I89" s="300">
        <f t="shared" si="35"/>
        <v>103.18268392205786</v>
      </c>
      <c r="J89" s="300">
        <f t="shared" si="35"/>
        <v>112.20473835973644</v>
      </c>
      <c r="K89" s="300">
        <f t="shared" si="35"/>
        <v>118.02428493993554</v>
      </c>
      <c r="L89" s="300">
        <f t="shared" si="35"/>
        <v>119.089042021819</v>
      </c>
      <c r="M89" s="300">
        <f t="shared" si="35"/>
        <v>123.61047276510676</v>
      </c>
      <c r="N89" s="300">
        <f t="shared" si="35"/>
        <v>123.84015870415841</v>
      </c>
      <c r="O89" s="300">
        <f t="shared" si="35"/>
        <v>128.94971981468001</v>
      </c>
      <c r="P89" s="300">
        <f t="shared" si="35"/>
        <v>131.74191634615366</v>
      </c>
      <c r="Q89" s="300">
        <f t="shared" si="35"/>
        <v>134.43716897503936</v>
      </c>
      <c r="R89" s="300">
        <f t="shared" si="35"/>
        <v>137.26851557865251</v>
      </c>
      <c r="S89" s="300">
        <f t="shared" si="35"/>
        <v>135.61709699709257</v>
      </c>
      <c r="T89" s="300">
        <f t="shared" si="35"/>
        <v>131.64590507896409</v>
      </c>
      <c r="U89" s="300">
        <f t="shared" si="35"/>
        <v>136.02035282391674</v>
      </c>
      <c r="V89" s="300">
        <f t="shared" si="35"/>
        <v>139.03184005384679</v>
      </c>
      <c r="W89" s="301">
        <f t="shared" si="35"/>
        <v>141.44543206717586</v>
      </c>
      <c r="X89" s="301">
        <f t="shared" si="35"/>
        <v>144.54619231300404</v>
      </c>
      <c r="Y89" s="301">
        <f t="shared" si="35"/>
        <v>147.7756357880132</v>
      </c>
      <c r="Z89" s="305"/>
    </row>
    <row r="90" spans="1:26" ht="15" x14ac:dyDescent="0.25">
      <c r="A90" s="218" t="s">
        <v>202</v>
      </c>
      <c r="B90" s="218"/>
      <c r="C90" s="300">
        <f t="shared" ref="C90:Y90" si="36">C88*C76*C76</f>
        <v>83.82393101471736</v>
      </c>
      <c r="D90" s="300">
        <f t="shared" si="36"/>
        <v>85.161780041367663</v>
      </c>
      <c r="E90" s="300">
        <f t="shared" si="36"/>
        <v>91.35537770959867</v>
      </c>
      <c r="F90" s="300">
        <f t="shared" si="36"/>
        <v>93.619351491657625</v>
      </c>
      <c r="G90" s="300">
        <f t="shared" si="36"/>
        <v>94.184665832517027</v>
      </c>
      <c r="H90" s="300">
        <f t="shared" si="36"/>
        <v>99.624025593159544</v>
      </c>
      <c r="I90" s="300">
        <f t="shared" si="36"/>
        <v>103.60175350620499</v>
      </c>
      <c r="J90" s="300">
        <f t="shared" si="36"/>
        <v>112.92997261270057</v>
      </c>
      <c r="K90" s="300">
        <f t="shared" si="36"/>
        <v>118.02385696620286</v>
      </c>
      <c r="L90" s="300">
        <f t="shared" si="36"/>
        <v>119.40026381356506</v>
      </c>
      <c r="M90" s="300">
        <f t="shared" si="36"/>
        <v>123.83575788900572</v>
      </c>
      <c r="N90" s="300">
        <f t="shared" si="36"/>
        <v>124.23098302344796</v>
      </c>
      <c r="O90" s="300">
        <f t="shared" si="36"/>
        <v>129.14864184808206</v>
      </c>
      <c r="P90" s="300">
        <f t="shared" si="36"/>
        <v>131.99022641236522</v>
      </c>
      <c r="Q90" s="300">
        <f t="shared" si="36"/>
        <v>134.77552429546407</v>
      </c>
      <c r="R90" s="300">
        <f t="shared" si="36"/>
        <v>137.33904564359537</v>
      </c>
      <c r="S90" s="300">
        <f t="shared" si="36"/>
        <v>135.17491610853958</v>
      </c>
      <c r="T90" s="300">
        <f t="shared" si="36"/>
        <v>132.36840312013359</v>
      </c>
      <c r="U90" s="300">
        <f t="shared" si="36"/>
        <v>136.35596914568083</v>
      </c>
      <c r="V90" s="300">
        <f t="shared" si="36"/>
        <v>139.33227714756032</v>
      </c>
      <c r="W90" s="301">
        <f t="shared" si="36"/>
        <v>141.52410286947696</v>
      </c>
      <c r="X90" s="301">
        <f t="shared" si="36"/>
        <v>144.84387399865795</v>
      </c>
      <c r="Y90" s="301">
        <f t="shared" si="36"/>
        <v>148.04159630736029</v>
      </c>
      <c r="Z90" s="305"/>
    </row>
    <row r="91" spans="1:26" ht="15" x14ac:dyDescent="0.25">
      <c r="A91" s="218" t="s">
        <v>203</v>
      </c>
      <c r="B91" s="300">
        <f>B49</f>
        <v>83.621787629162469</v>
      </c>
      <c r="C91" s="300">
        <f>C49</f>
        <v>84.18799687750365</v>
      </c>
      <c r="D91" s="300">
        <f t="shared" ref="D91:Y91" si="37">D49</f>
        <v>85.260327862117137</v>
      </c>
      <c r="E91" s="300">
        <f t="shared" si="37"/>
        <v>91.81448879393578</v>
      </c>
      <c r="F91" s="300">
        <f t="shared" si="37"/>
        <v>93.998695536062783</v>
      </c>
      <c r="G91" s="300">
        <f t="shared" si="37"/>
        <v>94.235193820744058</v>
      </c>
      <c r="H91" s="303">
        <f t="shared" si="37"/>
        <v>100</v>
      </c>
      <c r="I91" s="300">
        <f t="shared" si="37"/>
        <v>104.02252511349863</v>
      </c>
      <c r="J91" s="300">
        <f t="shared" si="37"/>
        <v>113.65989441032067</v>
      </c>
      <c r="K91" s="300">
        <f t="shared" si="37"/>
        <v>118.02342899402207</v>
      </c>
      <c r="L91" s="300">
        <f t="shared" si="37"/>
        <v>119.71229893794037</v>
      </c>
      <c r="M91" s="300">
        <f t="shared" si="37"/>
        <v>124.06145360422359</v>
      </c>
      <c r="N91" s="300">
        <f t="shared" si="37"/>
        <v>124.62304073625177</v>
      </c>
      <c r="O91" s="300">
        <f t="shared" si="37"/>
        <v>129.34787074508515</v>
      </c>
      <c r="P91" s="300">
        <f t="shared" si="37"/>
        <v>132.23900449885988</v>
      </c>
      <c r="Q91" s="300">
        <f t="shared" si="37"/>
        <v>135.11473119825797</v>
      </c>
      <c r="R91" s="300">
        <f t="shared" si="37"/>
        <v>137.40961194765711</v>
      </c>
      <c r="S91" s="300">
        <f t="shared" si="37"/>
        <v>134.73417695515519</v>
      </c>
      <c r="T91" s="300">
        <f t="shared" si="37"/>
        <v>133.09486636948171</v>
      </c>
      <c r="U91" s="300">
        <f t="shared" si="37"/>
        <v>136.69241356642493</v>
      </c>
      <c r="V91" s="300">
        <f t="shared" si="37"/>
        <v>139.63336346268412</v>
      </c>
      <c r="W91" s="301">
        <f t="shared" si="37"/>
        <v>141.60281742784034</v>
      </c>
      <c r="X91" s="301">
        <f t="shared" si="37"/>
        <v>145.14216873668326</v>
      </c>
      <c r="Y91" s="301">
        <f t="shared" si="37"/>
        <v>148.30803549152566</v>
      </c>
      <c r="Z91" s="305"/>
    </row>
    <row r="92" spans="1:26" x14ac:dyDescent="0.2">
      <c r="C92" s="300"/>
      <c r="D92" s="300"/>
      <c r="E92" s="300"/>
      <c r="F92" s="300"/>
      <c r="G92" s="300"/>
      <c r="H92" s="300"/>
      <c r="I92" s="300"/>
      <c r="J92" s="300"/>
      <c r="K92" s="300"/>
      <c r="L92" s="300"/>
      <c r="M92" s="300"/>
      <c r="N92" s="300"/>
      <c r="O92" s="300"/>
      <c r="P92" s="300"/>
      <c r="Q92" s="300"/>
      <c r="R92" s="300"/>
      <c r="S92" s="300"/>
      <c r="T92" s="300"/>
      <c r="U92" s="300"/>
      <c r="V92" s="300"/>
      <c r="W92" s="300"/>
      <c r="X92" s="300"/>
    </row>
    <row r="93" spans="1:26" x14ac:dyDescent="0.2">
      <c r="C93" s="300"/>
      <c r="D93" s="300"/>
      <c r="E93" s="300"/>
      <c r="F93" s="300"/>
      <c r="G93" s="300"/>
      <c r="H93" s="300"/>
      <c r="I93" s="300"/>
      <c r="J93" s="300"/>
      <c r="K93" s="300"/>
      <c r="L93" s="300"/>
      <c r="M93" s="300"/>
      <c r="N93" s="300"/>
      <c r="O93" s="300"/>
      <c r="P93" s="300"/>
      <c r="Q93" s="300"/>
      <c r="R93" s="300"/>
      <c r="S93" s="300"/>
      <c r="T93" s="300"/>
      <c r="U93" s="300"/>
      <c r="V93" s="300"/>
      <c r="W93" s="300"/>
      <c r="X93" s="300"/>
    </row>
    <row r="94" spans="1:26" x14ac:dyDescent="0.2">
      <c r="C94" s="300"/>
      <c r="D94" s="300"/>
      <c r="E94" s="300"/>
      <c r="F94" s="300"/>
      <c r="G94" s="300"/>
      <c r="H94" s="300"/>
      <c r="I94" s="300"/>
      <c r="J94" s="300"/>
      <c r="K94" s="300"/>
      <c r="L94" s="300"/>
      <c r="M94" s="300"/>
      <c r="N94" s="300"/>
      <c r="O94" s="300"/>
      <c r="P94" s="300"/>
      <c r="Q94" s="300"/>
      <c r="R94" s="300"/>
      <c r="S94" s="300"/>
      <c r="T94" s="300"/>
      <c r="U94" s="300"/>
      <c r="V94" s="300"/>
      <c r="W94" s="300"/>
      <c r="X94" s="300"/>
    </row>
    <row r="95" spans="1:26" x14ac:dyDescent="0.2">
      <c r="F95"/>
      <c r="H95" s="212"/>
    </row>
    <row r="96" spans="1:26" x14ac:dyDescent="0.2">
      <c r="F96"/>
      <c r="H96" s="212"/>
    </row>
    <row r="97" spans="6:25" ht="15" x14ac:dyDescent="0.25">
      <c r="F97"/>
      <c r="H97" s="212"/>
      <c r="W97" s="293" t="s">
        <v>81</v>
      </c>
      <c r="X97" s="293"/>
      <c r="Y97" s="293"/>
    </row>
    <row r="98" spans="6:25" ht="15" x14ac:dyDescent="0.25">
      <c r="F98"/>
      <c r="H98" s="212"/>
      <c r="W98" s="308">
        <f>W91/$H91*$H33</f>
        <v>551446.68396558717</v>
      </c>
      <c r="X98" s="308">
        <f>X91/$H91*$H33</f>
        <v>565230.05055464036</v>
      </c>
      <c r="Y98" s="308">
        <f>Y91/$H91*$H33</f>
        <v>577558.94877535815</v>
      </c>
    </row>
    <row r="99" spans="6:25" ht="15" x14ac:dyDescent="0.25">
      <c r="F99"/>
      <c r="H99" s="212"/>
      <c r="W99" s="308">
        <f>W98-W33</f>
        <v>0</v>
      </c>
      <c r="X99" s="308">
        <f>X98-X33</f>
        <v>0</v>
      </c>
      <c r="Y99" s="308">
        <f>Y98-Y33</f>
        <v>0</v>
      </c>
    </row>
    <row r="100" spans="6:25" x14ac:dyDescent="0.2">
      <c r="F100"/>
      <c r="H100" s="212"/>
    </row>
    <row r="101" spans="6:25" x14ac:dyDescent="0.2">
      <c r="F101"/>
      <c r="H101" s="212"/>
    </row>
    <row r="102" spans="6:25" x14ac:dyDescent="0.2">
      <c r="F102"/>
      <c r="H102" s="212"/>
    </row>
    <row r="103" spans="6:25" x14ac:dyDescent="0.2">
      <c r="F103"/>
      <c r="H103" s="212"/>
    </row>
    <row r="104" spans="6:25" x14ac:dyDescent="0.2">
      <c r="F104"/>
      <c r="H104" s="212"/>
    </row>
    <row r="105" spans="6:25" x14ac:dyDescent="0.2">
      <c r="F105"/>
      <c r="H105" s="212"/>
    </row>
    <row r="106" spans="6:25" x14ac:dyDescent="0.2">
      <c r="F106"/>
      <c r="H106" s="212"/>
    </row>
    <row r="107" spans="6:25" x14ac:dyDescent="0.2">
      <c r="F107"/>
      <c r="H107" s="212"/>
    </row>
    <row r="108" spans="6:25" x14ac:dyDescent="0.2">
      <c r="F108"/>
      <c r="H108" s="212"/>
    </row>
    <row r="109" spans="6:25" x14ac:dyDescent="0.2">
      <c r="F109"/>
      <c r="H109" s="212"/>
    </row>
    <row r="110" spans="6:25" x14ac:dyDescent="0.2">
      <c r="F110"/>
      <c r="H110" s="212"/>
    </row>
    <row r="111" spans="6:25" x14ac:dyDescent="0.2">
      <c r="F111"/>
      <c r="H111" s="212"/>
    </row>
    <row r="112" spans="6:25" x14ac:dyDescent="0.2">
      <c r="F112"/>
      <c r="H112" s="212"/>
    </row>
    <row r="113" spans="6:8" x14ac:dyDescent="0.2">
      <c r="F113"/>
      <c r="H113" s="212"/>
    </row>
    <row r="114" spans="6:8" x14ac:dyDescent="0.2">
      <c r="F114"/>
      <c r="H114" s="212"/>
    </row>
    <row r="115" spans="6:8" x14ac:dyDescent="0.2">
      <c r="F115"/>
      <c r="H115" s="212"/>
    </row>
    <row r="116" spans="6:8" x14ac:dyDescent="0.2">
      <c r="F116"/>
      <c r="H116" s="212"/>
    </row>
    <row r="117" spans="6:8" x14ac:dyDescent="0.2">
      <c r="F117"/>
      <c r="H117" s="212"/>
    </row>
    <row r="118" spans="6:8" x14ac:dyDescent="0.2">
      <c r="F118"/>
      <c r="H118" s="212"/>
    </row>
    <row r="119" spans="6:8" x14ac:dyDescent="0.2">
      <c r="F119"/>
      <c r="H119" s="212"/>
    </row>
    <row r="120" spans="6:8" x14ac:dyDescent="0.2">
      <c r="F120"/>
      <c r="H120" s="212"/>
    </row>
    <row r="121" spans="6:8" x14ac:dyDescent="0.2">
      <c r="F121"/>
      <c r="H121" s="212"/>
    </row>
    <row r="122" spans="6:8" x14ac:dyDescent="0.2">
      <c r="F122"/>
      <c r="H122" s="212"/>
    </row>
    <row r="123" spans="6:8" x14ac:dyDescent="0.2">
      <c r="F123"/>
      <c r="H123" s="212"/>
    </row>
    <row r="124" spans="6:8" x14ac:dyDescent="0.2">
      <c r="F124"/>
      <c r="H124" s="212"/>
    </row>
    <row r="125" spans="6:8" x14ac:dyDescent="0.2">
      <c r="F125"/>
      <c r="H125" s="212"/>
    </row>
    <row r="126" spans="6:8" x14ac:dyDescent="0.2">
      <c r="F126"/>
      <c r="H126" s="212"/>
    </row>
    <row r="127" spans="6:8" x14ac:dyDescent="0.2">
      <c r="F127"/>
      <c r="H127" s="212"/>
    </row>
    <row r="128" spans="6:8" x14ac:dyDescent="0.2">
      <c r="F128"/>
      <c r="H128" s="212"/>
    </row>
    <row r="129" spans="6:8" x14ac:dyDescent="0.2">
      <c r="F129"/>
      <c r="H129" s="212"/>
    </row>
    <row r="130" spans="6:8" x14ac:dyDescent="0.2">
      <c r="F130"/>
      <c r="H130" s="212"/>
    </row>
    <row r="131" spans="6:8" x14ac:dyDescent="0.2">
      <c r="F131"/>
      <c r="H131" s="212"/>
    </row>
    <row r="132" spans="6:8" x14ac:dyDescent="0.2">
      <c r="F132"/>
      <c r="H132" s="212"/>
    </row>
    <row r="133" spans="6:8" x14ac:dyDescent="0.2">
      <c r="F133"/>
      <c r="H133" s="212"/>
    </row>
    <row r="134" spans="6:8" x14ac:dyDescent="0.2">
      <c r="F134"/>
      <c r="H134" s="212"/>
    </row>
    <row r="135" spans="6:8" x14ac:dyDescent="0.2">
      <c r="F135"/>
      <c r="H135" s="212"/>
    </row>
    <row r="136" spans="6:8" x14ac:dyDescent="0.2">
      <c r="F136"/>
      <c r="H136" s="212"/>
    </row>
    <row r="137" spans="6:8" x14ac:dyDescent="0.2">
      <c r="F137"/>
      <c r="H137" s="212"/>
    </row>
    <row r="138" spans="6:8" x14ac:dyDescent="0.2">
      <c r="F138"/>
      <c r="H138" s="212"/>
    </row>
    <row r="139" spans="6:8" x14ac:dyDescent="0.2">
      <c r="F139"/>
      <c r="H139" s="212"/>
    </row>
    <row r="140" spans="6:8" x14ac:dyDescent="0.2">
      <c r="F140"/>
      <c r="H140" s="212"/>
    </row>
    <row r="141" spans="6:8" x14ac:dyDescent="0.2">
      <c r="F141"/>
      <c r="H141" s="212"/>
    </row>
    <row r="142" spans="6:8" x14ac:dyDescent="0.2">
      <c r="F142"/>
      <c r="H142" s="212"/>
    </row>
    <row r="143" spans="6:8" x14ac:dyDescent="0.2">
      <c r="F143"/>
      <c r="H143" s="212"/>
    </row>
    <row r="144" spans="6:8" x14ac:dyDescent="0.2">
      <c r="F144"/>
      <c r="H144" s="212"/>
    </row>
    <row r="145" spans="6:8" x14ac:dyDescent="0.2">
      <c r="F145"/>
      <c r="H145" s="212"/>
    </row>
    <row r="146" spans="6:8" x14ac:dyDescent="0.2">
      <c r="F146"/>
      <c r="H146" s="212"/>
    </row>
    <row r="147" spans="6:8" x14ac:dyDescent="0.2">
      <c r="F147"/>
      <c r="H147" s="212"/>
    </row>
    <row r="148" spans="6:8" x14ac:dyDescent="0.2">
      <c r="F148"/>
      <c r="H148" s="212"/>
    </row>
    <row r="149" spans="6:8" x14ac:dyDescent="0.2">
      <c r="F149"/>
      <c r="H149" s="212"/>
    </row>
    <row r="150" spans="6:8" x14ac:dyDescent="0.2">
      <c r="F150"/>
      <c r="H150" s="212"/>
    </row>
    <row r="151" spans="6:8" x14ac:dyDescent="0.2">
      <c r="F151"/>
      <c r="H151" s="212"/>
    </row>
    <row r="152" spans="6:8" x14ac:dyDescent="0.2">
      <c r="F152"/>
      <c r="H152" s="212"/>
    </row>
    <row r="153" spans="6:8" x14ac:dyDescent="0.2">
      <c r="F153"/>
      <c r="H153" s="212"/>
    </row>
    <row r="154" spans="6:8" x14ac:dyDescent="0.2">
      <c r="F154"/>
      <c r="H154" s="212"/>
    </row>
    <row r="155" spans="6:8" x14ac:dyDescent="0.2">
      <c r="F155"/>
      <c r="H155" s="212"/>
    </row>
    <row r="156" spans="6:8" x14ac:dyDescent="0.2">
      <c r="F156"/>
      <c r="H156" s="212"/>
    </row>
    <row r="157" spans="6:8" x14ac:dyDescent="0.2">
      <c r="F157"/>
      <c r="H157" s="212"/>
    </row>
    <row r="158" spans="6:8" x14ac:dyDescent="0.2">
      <c r="F158"/>
      <c r="H158" s="212"/>
    </row>
    <row r="159" spans="6:8" x14ac:dyDescent="0.2">
      <c r="F159"/>
      <c r="H159" s="212"/>
    </row>
    <row r="160" spans="6:8" x14ac:dyDescent="0.2">
      <c r="F160"/>
      <c r="H160" s="212"/>
    </row>
    <row r="161" spans="6:8" x14ac:dyDescent="0.2">
      <c r="F161"/>
      <c r="H161" s="212"/>
    </row>
    <row r="162" spans="6:8" x14ac:dyDescent="0.2">
      <c r="F162"/>
      <c r="H162" s="212"/>
    </row>
    <row r="163" spans="6:8" x14ac:dyDescent="0.2">
      <c r="F163"/>
      <c r="H163" s="212"/>
    </row>
    <row r="164" spans="6:8" x14ac:dyDescent="0.2">
      <c r="F164"/>
      <c r="H164" s="212"/>
    </row>
    <row r="165" spans="6:8" x14ac:dyDescent="0.2">
      <c r="F165"/>
      <c r="H165" s="212"/>
    </row>
    <row r="166" spans="6:8" x14ac:dyDescent="0.2">
      <c r="F166"/>
      <c r="H166" s="212"/>
    </row>
    <row r="167" spans="6:8" x14ac:dyDescent="0.2">
      <c r="F167"/>
      <c r="H167" s="212"/>
    </row>
    <row r="168" spans="6:8" x14ac:dyDescent="0.2">
      <c r="F168"/>
      <c r="H168" s="212"/>
    </row>
    <row r="169" spans="6:8" x14ac:dyDescent="0.2">
      <c r="F169"/>
      <c r="H169" s="212"/>
    </row>
    <row r="170" spans="6:8" x14ac:dyDescent="0.2">
      <c r="F170"/>
      <c r="H170" s="212"/>
    </row>
    <row r="171" spans="6:8" x14ac:dyDescent="0.2">
      <c r="F171"/>
      <c r="H171" s="212"/>
    </row>
    <row r="172" spans="6:8" x14ac:dyDescent="0.2">
      <c r="F172"/>
      <c r="H172" s="212"/>
    </row>
    <row r="173" spans="6:8" x14ac:dyDescent="0.2">
      <c r="F173"/>
      <c r="H173" s="212"/>
    </row>
    <row r="174" spans="6:8" x14ac:dyDescent="0.2">
      <c r="F174"/>
      <c r="H174" s="212"/>
    </row>
    <row r="175" spans="6:8" x14ac:dyDescent="0.2">
      <c r="F175"/>
      <c r="H175" s="212"/>
    </row>
    <row r="176" spans="6:8" x14ac:dyDescent="0.2">
      <c r="F176"/>
      <c r="H176" s="212"/>
    </row>
    <row r="177" spans="6:8" x14ac:dyDescent="0.2">
      <c r="F177"/>
      <c r="H177" s="212"/>
    </row>
    <row r="178" spans="6:8" x14ac:dyDescent="0.2">
      <c r="F178"/>
      <c r="H178" s="212"/>
    </row>
    <row r="179" spans="6:8" x14ac:dyDescent="0.2">
      <c r="F179"/>
      <c r="H179" s="212"/>
    </row>
    <row r="180" spans="6:8" x14ac:dyDescent="0.2">
      <c r="F180"/>
      <c r="H180" s="212"/>
    </row>
    <row r="181" spans="6:8" x14ac:dyDescent="0.2">
      <c r="F181"/>
      <c r="H181" s="212"/>
    </row>
    <row r="182" spans="6:8" x14ac:dyDescent="0.2">
      <c r="F182"/>
      <c r="H182" s="212"/>
    </row>
    <row r="183" spans="6:8" x14ac:dyDescent="0.2">
      <c r="F183"/>
      <c r="H183" s="212"/>
    </row>
    <row r="184" spans="6:8" x14ac:dyDescent="0.2">
      <c r="F184"/>
      <c r="H184" s="212"/>
    </row>
    <row r="185" spans="6:8" x14ac:dyDescent="0.2">
      <c r="F185"/>
      <c r="H185" s="212"/>
    </row>
    <row r="186" spans="6:8" x14ac:dyDescent="0.2">
      <c r="F186"/>
      <c r="H186" s="212"/>
    </row>
    <row r="187" spans="6:8" x14ac:dyDescent="0.2">
      <c r="F187"/>
      <c r="H187" s="212"/>
    </row>
    <row r="188" spans="6:8" x14ac:dyDescent="0.2">
      <c r="F188"/>
      <c r="H188" s="212"/>
    </row>
    <row r="189" spans="6:8" x14ac:dyDescent="0.2">
      <c r="F189"/>
      <c r="H189" s="212"/>
    </row>
    <row r="190" spans="6:8" x14ac:dyDescent="0.2">
      <c r="F190"/>
      <c r="H190" s="212"/>
    </row>
    <row r="191" spans="6:8" x14ac:dyDescent="0.2">
      <c r="F191"/>
      <c r="H191" s="212"/>
    </row>
    <row r="192" spans="6:8" x14ac:dyDescent="0.2">
      <c r="F192"/>
      <c r="H192" s="212"/>
    </row>
    <row r="193" spans="6:8" x14ac:dyDescent="0.2">
      <c r="F193"/>
      <c r="H193" s="212"/>
    </row>
    <row r="194" spans="6:8" x14ac:dyDescent="0.2">
      <c r="F194"/>
      <c r="H194" s="212"/>
    </row>
    <row r="195" spans="6:8" x14ac:dyDescent="0.2">
      <c r="F195"/>
      <c r="H195" s="212"/>
    </row>
    <row r="196" spans="6:8" x14ac:dyDescent="0.2">
      <c r="F196"/>
      <c r="H196" s="212"/>
    </row>
    <row r="197" spans="6:8" x14ac:dyDescent="0.2">
      <c r="F197"/>
      <c r="H197" s="212"/>
    </row>
    <row r="198" spans="6:8" x14ac:dyDescent="0.2">
      <c r="F198"/>
      <c r="H198" s="212"/>
    </row>
    <row r="199" spans="6:8" x14ac:dyDescent="0.2">
      <c r="F199"/>
      <c r="H199" s="212"/>
    </row>
    <row r="200" spans="6:8" x14ac:dyDescent="0.2">
      <c r="F200"/>
      <c r="H200" s="212"/>
    </row>
    <row r="201" spans="6:8" x14ac:dyDescent="0.2">
      <c r="F201"/>
      <c r="H201" s="212"/>
    </row>
    <row r="202" spans="6:8" x14ac:dyDescent="0.2">
      <c r="F202"/>
      <c r="H202" s="212"/>
    </row>
    <row r="203" spans="6:8" x14ac:dyDescent="0.2">
      <c r="F203"/>
      <c r="H203" s="212"/>
    </row>
    <row r="204" spans="6:8" x14ac:dyDescent="0.2">
      <c r="F204"/>
      <c r="H204" s="212"/>
    </row>
    <row r="205" spans="6:8" x14ac:dyDescent="0.2">
      <c r="F205"/>
      <c r="H205" s="212"/>
    </row>
    <row r="206" spans="6:8" x14ac:dyDescent="0.2">
      <c r="F206"/>
      <c r="H206" s="212"/>
    </row>
    <row r="207" spans="6:8" x14ac:dyDescent="0.2">
      <c r="F207"/>
      <c r="H207" s="212"/>
    </row>
    <row r="208" spans="6:8" x14ac:dyDescent="0.2">
      <c r="F208"/>
      <c r="H208" s="212"/>
    </row>
    <row r="209" spans="6:8" x14ac:dyDescent="0.2">
      <c r="F209"/>
      <c r="H209" s="212"/>
    </row>
    <row r="210" spans="6:8" x14ac:dyDescent="0.2">
      <c r="F210"/>
      <c r="H210" s="212"/>
    </row>
    <row r="211" spans="6:8" x14ac:dyDescent="0.2">
      <c r="F211"/>
      <c r="H211" s="212"/>
    </row>
    <row r="212" spans="6:8" x14ac:dyDescent="0.2">
      <c r="F212"/>
      <c r="H212" s="212"/>
    </row>
    <row r="213" spans="6:8" x14ac:dyDescent="0.2">
      <c r="F213"/>
      <c r="H213" s="212"/>
    </row>
    <row r="214" spans="6:8" x14ac:dyDescent="0.2">
      <c r="F214"/>
      <c r="H214" s="212"/>
    </row>
    <row r="215" spans="6:8" x14ac:dyDescent="0.2">
      <c r="F215"/>
      <c r="H215" s="212"/>
    </row>
    <row r="216" spans="6:8" x14ac:dyDescent="0.2">
      <c r="F216"/>
      <c r="H216" s="212"/>
    </row>
    <row r="217" spans="6:8" x14ac:dyDescent="0.2">
      <c r="F217"/>
      <c r="H217" s="212"/>
    </row>
    <row r="218" spans="6:8" x14ac:dyDescent="0.2">
      <c r="F218"/>
      <c r="H218" s="212"/>
    </row>
    <row r="219" spans="6:8" x14ac:dyDescent="0.2">
      <c r="F219"/>
      <c r="H219" s="212"/>
    </row>
    <row r="220" spans="6:8" x14ac:dyDescent="0.2">
      <c r="F220"/>
      <c r="H220" s="212"/>
    </row>
    <row r="221" spans="6:8" x14ac:dyDescent="0.2">
      <c r="F221"/>
      <c r="H221" s="212"/>
    </row>
    <row r="222" spans="6:8" x14ac:dyDescent="0.2">
      <c r="F222"/>
      <c r="H222" s="212"/>
    </row>
    <row r="223" spans="6:8" x14ac:dyDescent="0.2">
      <c r="F223"/>
      <c r="H223" s="212"/>
    </row>
    <row r="224" spans="6:8" x14ac:dyDescent="0.2">
      <c r="F224"/>
      <c r="H224" s="212"/>
    </row>
    <row r="225" spans="6:8" x14ac:dyDescent="0.2">
      <c r="F225"/>
      <c r="H225" s="212"/>
    </row>
    <row r="226" spans="6:8" x14ac:dyDescent="0.2">
      <c r="F226"/>
      <c r="H226" s="212"/>
    </row>
    <row r="227" spans="6:8" x14ac:dyDescent="0.2">
      <c r="F227"/>
      <c r="H227" s="212"/>
    </row>
    <row r="228" spans="6:8" x14ac:dyDescent="0.2">
      <c r="F228"/>
      <c r="H228" s="212"/>
    </row>
  </sheetData>
  <mergeCells count="102">
    <mergeCell ref="W1:Y1"/>
    <mergeCell ref="W2:Y2"/>
    <mergeCell ref="A7:A9"/>
    <mergeCell ref="B7:B9"/>
    <mergeCell ref="C7:C9"/>
    <mergeCell ref="D7:D9"/>
    <mergeCell ref="E7:E9"/>
    <mergeCell ref="F7:F9"/>
    <mergeCell ref="G7:G9"/>
    <mergeCell ref="H7:H9"/>
    <mergeCell ref="U7:U9"/>
    <mergeCell ref="V7:V9"/>
    <mergeCell ref="W7:W9"/>
    <mergeCell ref="X7:X9"/>
    <mergeCell ref="Y7:Y9"/>
    <mergeCell ref="S7:S9"/>
    <mergeCell ref="T7:T9"/>
    <mergeCell ref="A10:A12"/>
    <mergeCell ref="B10:B12"/>
    <mergeCell ref="C10:C12"/>
    <mergeCell ref="D10:D12"/>
    <mergeCell ref="E10:E12"/>
    <mergeCell ref="O7:O9"/>
    <mergeCell ref="P7:P9"/>
    <mergeCell ref="Q7:Q9"/>
    <mergeCell ref="R7:R9"/>
    <mergeCell ref="I7:I9"/>
    <mergeCell ref="J7:J9"/>
    <mergeCell ref="K7:K9"/>
    <mergeCell ref="L7:L9"/>
    <mergeCell ref="M7:M9"/>
    <mergeCell ref="N7:N9"/>
    <mergeCell ref="H10:H12"/>
    <mergeCell ref="I10:I12"/>
    <mergeCell ref="J10:J12"/>
    <mergeCell ref="K10:K12"/>
    <mergeCell ref="X10:X12"/>
    <mergeCell ref="Y10:Y12"/>
    <mergeCell ref="A13:A15"/>
    <mergeCell ref="B13:B15"/>
    <mergeCell ref="C13:C15"/>
    <mergeCell ref="D13:D15"/>
    <mergeCell ref="E13:E15"/>
    <mergeCell ref="F13:F15"/>
    <mergeCell ref="G13:G15"/>
    <mergeCell ref="H13:H15"/>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A16:A18"/>
    <mergeCell ref="B16:B18"/>
    <mergeCell ref="C16:C18"/>
    <mergeCell ref="D16:D18"/>
    <mergeCell ref="E16:E18"/>
    <mergeCell ref="O13:O15"/>
    <mergeCell ref="P13:P15"/>
    <mergeCell ref="Q13:Q15"/>
    <mergeCell ref="R13:R15"/>
    <mergeCell ref="I13:I15"/>
    <mergeCell ref="J13:J15"/>
    <mergeCell ref="K13:K15"/>
    <mergeCell ref="L13:L15"/>
    <mergeCell ref="M13:M15"/>
    <mergeCell ref="N13:N15"/>
    <mergeCell ref="F16:F18"/>
    <mergeCell ref="G16:G18"/>
    <mergeCell ref="H16:H18"/>
    <mergeCell ref="I16:I18"/>
    <mergeCell ref="J16:J18"/>
    <mergeCell ref="K16:K18"/>
    <mergeCell ref="L16:L18"/>
    <mergeCell ref="M16:M18"/>
    <mergeCell ref="N16:N18"/>
    <mergeCell ref="O16:O18"/>
    <mergeCell ref="P16:P18"/>
    <mergeCell ref="Q16:Q18"/>
    <mergeCell ref="X13:X15"/>
    <mergeCell ref="Y13:Y15"/>
    <mergeCell ref="S13:S15"/>
    <mergeCell ref="T13:T15"/>
    <mergeCell ref="U13:U15"/>
    <mergeCell ref="V13:V15"/>
    <mergeCell ref="W13:W15"/>
    <mergeCell ref="X16:X18"/>
    <mergeCell ref="Y16:Y18"/>
    <mergeCell ref="R16:R18"/>
    <mergeCell ref="S16:S18"/>
    <mergeCell ref="T16:T18"/>
    <mergeCell ref="U16:U18"/>
    <mergeCell ref="V16:V18"/>
    <mergeCell ref="W16:W18"/>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Z287"/>
  <sheetViews>
    <sheetView workbookViewId="0">
      <selection activeCell="H33" sqref="H33"/>
    </sheetView>
  </sheetViews>
  <sheetFormatPr defaultRowHeight="12.75" x14ac:dyDescent="0.2"/>
  <cols>
    <col min="1" max="1" width="11.85546875" customWidth="1"/>
    <col min="2" max="2" width="14.42578125" style="37" customWidth="1"/>
    <col min="9" max="9" width="9.85546875" bestFit="1" customWidth="1"/>
  </cols>
  <sheetData>
    <row r="1" spans="1:26" ht="38.25" x14ac:dyDescent="0.2">
      <c r="B1" s="35" t="s">
        <v>5</v>
      </c>
      <c r="C1" s="20" t="s">
        <v>251</v>
      </c>
      <c r="D1" s="223"/>
      <c r="E1" s="223"/>
      <c r="F1" s="223"/>
      <c r="G1" s="223"/>
      <c r="H1" s="217"/>
      <c r="I1" s="217"/>
    </row>
    <row r="2" spans="1:26" x14ac:dyDescent="0.2">
      <c r="A2" s="3">
        <v>33604</v>
      </c>
      <c r="B2" s="37">
        <f>'[20]Annual conv to Monthly'!$B39</f>
        <v>84.786892247640637</v>
      </c>
      <c r="C2" s="537" t="s">
        <v>385</v>
      </c>
      <c r="D2" s="214"/>
      <c r="E2" s="214"/>
      <c r="F2" s="214"/>
      <c r="G2" s="214"/>
      <c r="H2" s="215"/>
      <c r="I2" s="215"/>
    </row>
    <row r="3" spans="1:26" x14ac:dyDescent="0.2">
      <c r="A3" s="3">
        <v>33635</v>
      </c>
      <c r="B3" s="37">
        <f>'[20]Annual conv to Monthly'!$B40</f>
        <v>84.84928948001577</v>
      </c>
      <c r="C3" s="216" t="s">
        <v>192</v>
      </c>
      <c r="D3" s="216">
        <v>1992</v>
      </c>
      <c r="E3" s="216">
        <v>1993</v>
      </c>
      <c r="F3" s="216">
        <v>1994</v>
      </c>
      <c r="G3" s="216">
        <v>1995</v>
      </c>
      <c r="H3" s="216">
        <v>1996</v>
      </c>
      <c r="I3" s="216">
        <v>1997</v>
      </c>
      <c r="J3" s="216">
        <v>1998</v>
      </c>
      <c r="K3" s="216">
        <v>1999</v>
      </c>
      <c r="L3" s="216">
        <v>2000</v>
      </c>
      <c r="M3" s="216">
        <v>2001</v>
      </c>
      <c r="N3" s="216">
        <v>2002</v>
      </c>
      <c r="O3" s="216">
        <v>2003</v>
      </c>
      <c r="P3" s="216">
        <v>2004</v>
      </c>
      <c r="Q3" s="216">
        <v>2005</v>
      </c>
      <c r="R3" s="216">
        <v>2006</v>
      </c>
      <c r="S3" s="216">
        <v>2007</v>
      </c>
      <c r="T3" s="216">
        <v>2008</v>
      </c>
      <c r="U3" s="216">
        <v>2009</v>
      </c>
      <c r="V3" s="216">
        <v>2010</v>
      </c>
      <c r="W3" s="216">
        <v>2011</v>
      </c>
      <c r="X3" s="216">
        <v>2012</v>
      </c>
      <c r="Y3" s="216">
        <v>2013</v>
      </c>
      <c r="Z3" s="216">
        <v>2014</v>
      </c>
    </row>
    <row r="4" spans="1:26" x14ac:dyDescent="0.2">
      <c r="A4" s="3">
        <v>33664</v>
      </c>
      <c r="B4" s="37">
        <f>'[20]Annual conv to Monthly'!$B41</f>
        <v>84.911732632396991</v>
      </c>
      <c r="C4" s="214"/>
      <c r="D4" s="214"/>
      <c r="E4" s="214"/>
      <c r="F4" s="214"/>
      <c r="G4" s="214"/>
      <c r="H4" s="217"/>
      <c r="I4" s="217"/>
    </row>
    <row r="5" spans="1:26" x14ac:dyDescent="0.2">
      <c r="A5" s="3">
        <v>33695</v>
      </c>
      <c r="B5" s="37">
        <f>'[20]Annual conv to Monthly'!$B42</f>
        <v>84.974221738578223</v>
      </c>
      <c r="C5" s="218"/>
      <c r="D5" s="218"/>
      <c r="E5" s="218"/>
      <c r="F5" s="218"/>
      <c r="G5" s="218"/>
      <c r="H5" s="217"/>
      <c r="I5" s="217"/>
      <c r="J5" s="217"/>
      <c r="K5" s="217"/>
    </row>
    <row r="6" spans="1:26" x14ac:dyDescent="0.2">
      <c r="A6" s="3">
        <v>33725</v>
      </c>
      <c r="B6" s="37">
        <f>'[20]Annual conv to Monthly'!$B43</f>
        <v>85.036756832378245</v>
      </c>
      <c r="C6" s="218" t="s">
        <v>193</v>
      </c>
      <c r="D6" s="224">
        <f>B2</f>
        <v>84.786892247640637</v>
      </c>
      <c r="E6" s="224">
        <f>B14</f>
        <v>85.545043949434969</v>
      </c>
      <c r="F6" s="224">
        <f>B26</f>
        <v>86.72377734139485</v>
      </c>
      <c r="G6" s="224">
        <f>B38</f>
        <v>91.667046632406738</v>
      </c>
      <c r="H6" s="224">
        <f t="shared" ref="H6:H17" si="0">B50</f>
        <v>94.715305091666934</v>
      </c>
      <c r="I6" s="224">
        <f t="shared" ref="I6:I17" si="1">B62</f>
        <v>96.013834907485574</v>
      </c>
      <c r="J6" s="224">
        <f t="shared" ref="J6:J17" si="2">B74</f>
        <v>100.39254461560812</v>
      </c>
      <c r="K6" s="224">
        <f t="shared" ref="K6:K17" si="3">B86</f>
        <v>105.44819844915847</v>
      </c>
      <c r="L6" s="224">
        <f t="shared" ref="L6:L17" si="4">B98</f>
        <v>113.20550742744629</v>
      </c>
      <c r="M6" s="224">
        <f t="shared" ref="M6:M17" si="5">B110</f>
        <v>119.23206305749976</v>
      </c>
      <c r="N6" s="224">
        <f t="shared" ref="N6:N17" si="6">B122</f>
        <v>121.50450639216388</v>
      </c>
      <c r="O6" s="224">
        <f t="shared" ref="O6:O17" si="7">B134</f>
        <v>125.66024937363977</v>
      </c>
      <c r="P6" s="224">
        <f t="shared" ref="P6:P17" si="8">B146</f>
        <v>127.53411264087498</v>
      </c>
      <c r="Q6" s="224">
        <f t="shared" ref="Q6:Q17" si="9">B158</f>
        <v>130.74370215685079</v>
      </c>
      <c r="R6" s="224">
        <f t="shared" ref="R6:R17" si="10">B170</f>
        <v>134.25197202423305</v>
      </c>
      <c r="S6" s="224">
        <f t="shared" ref="S6:S17" si="11">B182</f>
        <v>137.552207546647</v>
      </c>
      <c r="T6" s="224">
        <f t="shared" ref="T6:T17" si="12">B194</f>
        <v>139.96642175819056</v>
      </c>
      <c r="U6" s="224">
        <f t="shared" ref="U6:U17" si="13">B206</f>
        <v>138.43555825854429</v>
      </c>
      <c r="V6" s="224">
        <f t="shared" ref="V6:V17" si="14">B218</f>
        <v>134.72247169214629</v>
      </c>
      <c r="W6" s="224">
        <f t="shared" ref="W6:W17" si="15">B230</f>
        <v>138.87542873989656</v>
      </c>
      <c r="X6" s="224">
        <f t="shared" ref="X6:X17" si="16">B242</f>
        <v>141.35201968430201</v>
      </c>
      <c r="Y6" s="224">
        <f t="shared" ref="Y6:Y17" si="17">B254</f>
        <v>143.60186734709282</v>
      </c>
      <c r="Z6" s="224">
        <f t="shared" ref="Z6:Z17" si="18">B266</f>
        <v>145.85128582788457</v>
      </c>
    </row>
    <row r="7" spans="1:26" x14ac:dyDescent="0.2">
      <c r="A7" s="3">
        <v>33756</v>
      </c>
      <c r="B7" s="37">
        <f>'[20]Annual conv to Monthly'!$B44</f>
        <v>85.099337947640734</v>
      </c>
      <c r="C7" s="218" t="s">
        <v>194</v>
      </c>
      <c r="D7" s="224">
        <f t="shared" ref="D7:D17" si="19">B3</f>
        <v>84.84928948001577</v>
      </c>
      <c r="E7" s="224">
        <f t="shared" ref="E7:E17" si="20">B15</f>
        <v>85.61435101644814</v>
      </c>
      <c r="F7" s="224">
        <f t="shared" ref="F7:F17" si="21">B27</f>
        <v>87.139015865755113</v>
      </c>
      <c r="G7" s="224">
        <f t="shared" ref="G7:G17" si="22">B39</f>
        <v>91.932522658381586</v>
      </c>
      <c r="H7" s="224">
        <f t="shared" si="0"/>
        <v>94.800748405985075</v>
      </c>
      <c r="I7" s="224">
        <f t="shared" si="1"/>
        <v>96.369550430916135</v>
      </c>
      <c r="J7" s="224">
        <f t="shared" si="2"/>
        <v>100.78663014396867</v>
      </c>
      <c r="K7" s="224">
        <f t="shared" si="3"/>
        <v>106.08666118100913</v>
      </c>
      <c r="L7" s="224">
        <f t="shared" si="4"/>
        <v>113.72558015157706</v>
      </c>
      <c r="M7" s="224">
        <f t="shared" si="5"/>
        <v>119.40483241468957</v>
      </c>
      <c r="N7" s="224">
        <f t="shared" si="6"/>
        <v>121.86371656989111</v>
      </c>
      <c r="O7" s="224">
        <f t="shared" si="7"/>
        <v>125.80592062045517</v>
      </c>
      <c r="P7" s="224">
        <f t="shared" si="8"/>
        <v>127.79681203173486</v>
      </c>
      <c r="Q7" s="224">
        <f t="shared" si="9"/>
        <v>131.0342966778299</v>
      </c>
      <c r="R7" s="224">
        <f t="shared" si="10"/>
        <v>134.52850910550649</v>
      </c>
      <c r="S7" s="224">
        <f t="shared" si="11"/>
        <v>137.77938620066888</v>
      </c>
      <c r="T7" s="224">
        <f t="shared" si="12"/>
        <v>139.86101141442734</v>
      </c>
      <c r="U7" s="224">
        <f t="shared" si="13"/>
        <v>138.06086905825526</v>
      </c>
      <c r="V7" s="224">
        <f t="shared" si="14"/>
        <v>135.07656774367356</v>
      </c>
      <c r="W7" s="224">
        <f t="shared" si="15"/>
        <v>139.08204280749089</v>
      </c>
      <c r="X7" s="224">
        <f t="shared" si="16"/>
        <v>141.53912090067567</v>
      </c>
      <c r="Y7" s="224">
        <f t="shared" si="17"/>
        <v>143.78014730146342</v>
      </c>
      <c r="Z7" s="224">
        <f t="shared" si="18"/>
        <v>146.12792981049245</v>
      </c>
    </row>
    <row r="8" spans="1:26" x14ac:dyDescent="0.2">
      <c r="A8" s="3">
        <v>33786</v>
      </c>
      <c r="B8" s="37">
        <f>'[20]Annual conv to Monthly'!$B45</f>
        <v>85.161965118234278</v>
      </c>
      <c r="C8" s="218" t="s">
        <v>195</v>
      </c>
      <c r="D8" s="224">
        <f t="shared" si="19"/>
        <v>84.911732632396991</v>
      </c>
      <c r="E8" s="224">
        <f t="shared" si="20"/>
        <v>85.683714234809372</v>
      </c>
      <c r="F8" s="224">
        <f t="shared" si="21"/>
        <v>87.556242576485914</v>
      </c>
      <c r="G8" s="224">
        <f t="shared" si="22"/>
        <v>92.198767526846254</v>
      </c>
      <c r="H8" s="224">
        <f t="shared" si="0"/>
        <v>94.886268799292239</v>
      </c>
      <c r="I8" s="224">
        <f t="shared" si="1"/>
        <v>96.726583822065777</v>
      </c>
      <c r="J8" s="224">
        <f t="shared" si="2"/>
        <v>101.18226263385168</v>
      </c>
      <c r="K8" s="224">
        <f t="shared" si="3"/>
        <v>106.72898964661303</v>
      </c>
      <c r="L8" s="224">
        <f t="shared" si="4"/>
        <v>114.24804212022897</v>
      </c>
      <c r="M8" s="224">
        <f t="shared" si="5"/>
        <v>119.57785211771773</v>
      </c>
      <c r="N8" s="224">
        <f t="shared" si="6"/>
        <v>122.22398869960362</v>
      </c>
      <c r="O8" s="224">
        <f t="shared" si="7"/>
        <v>125.9517607362029</v>
      </c>
      <c r="P8" s="224">
        <f t="shared" si="8"/>
        <v>128.06005254032812</v>
      </c>
      <c r="Q8" s="224">
        <f t="shared" si="9"/>
        <v>131.32553708212293</v>
      </c>
      <c r="R8" s="224">
        <f t="shared" si="10"/>
        <v>134.80561580788986</v>
      </c>
      <c r="S8" s="224">
        <f t="shared" si="11"/>
        <v>138.00694005870795</v>
      </c>
      <c r="T8" s="224">
        <f t="shared" si="12"/>
        <v>139.75568045642274</v>
      </c>
      <c r="U8" s="224">
        <f t="shared" si="13"/>
        <v>137.68719399045199</v>
      </c>
      <c r="V8" s="224">
        <f t="shared" si="14"/>
        <v>135.43159447894001</v>
      </c>
      <c r="W8" s="224">
        <f t="shared" si="15"/>
        <v>139.28896426836073</v>
      </c>
      <c r="X8" s="224">
        <f t="shared" si="16"/>
        <v>141.72646977438913</v>
      </c>
      <c r="Y8" s="224">
        <f t="shared" si="17"/>
        <v>143.95864858820744</v>
      </c>
      <c r="Z8" s="224">
        <f t="shared" si="18"/>
        <v>146.40509851862936</v>
      </c>
    </row>
    <row r="9" spans="1:26" x14ac:dyDescent="0.2">
      <c r="A9" s="3">
        <v>33817</v>
      </c>
      <c r="B9" s="37">
        <f>'[20]Annual conv to Monthly'!$B46</f>
        <v>85.224638378052376</v>
      </c>
      <c r="C9" s="218" t="s">
        <v>196</v>
      </c>
      <c r="D9" s="224">
        <f t="shared" si="19"/>
        <v>84.974221738578223</v>
      </c>
      <c r="E9" s="224">
        <f t="shared" si="20"/>
        <v>85.753133650011492</v>
      </c>
      <c r="F9" s="224">
        <f t="shared" si="21"/>
        <v>87.975466993140046</v>
      </c>
      <c r="G9" s="224">
        <f t="shared" si="22"/>
        <v>92.465783464437862</v>
      </c>
      <c r="H9" s="224">
        <f t="shared" si="0"/>
        <v>94.971866341121896</v>
      </c>
      <c r="I9" s="224">
        <f t="shared" si="1"/>
        <v>97.084939963418421</v>
      </c>
      <c r="J9" s="224">
        <f t="shared" si="2"/>
        <v>101.57944815777132</v>
      </c>
      <c r="K9" s="224">
        <f t="shared" si="3"/>
        <v>107.37520725203085</v>
      </c>
      <c r="L9" s="224">
        <f t="shared" si="4"/>
        <v>114.77290430973115</v>
      </c>
      <c r="M9" s="224">
        <f t="shared" si="5"/>
        <v>119.75112252933975</v>
      </c>
      <c r="N9" s="224">
        <f t="shared" si="6"/>
        <v>122.58532592080604</v>
      </c>
      <c r="O9" s="224">
        <f t="shared" si="7"/>
        <v>126.09776991664374</v>
      </c>
      <c r="P9" s="224">
        <f t="shared" si="8"/>
        <v>128.32383528126866</v>
      </c>
      <c r="Q9" s="224">
        <f t="shared" si="9"/>
        <v>131.61742480528775</v>
      </c>
      <c r="R9" s="224">
        <f t="shared" si="10"/>
        <v>135.08329330470943</v>
      </c>
      <c r="S9" s="224">
        <f t="shared" si="11"/>
        <v>138.23486974044414</v>
      </c>
      <c r="T9" s="224">
        <f t="shared" si="12"/>
        <v>139.65042882439042</v>
      </c>
      <c r="U9" s="224">
        <f t="shared" si="13"/>
        <v>137.31453031028698</v>
      </c>
      <c r="V9" s="224">
        <f t="shared" si="14"/>
        <v>135.78755434409612</v>
      </c>
      <c r="W9" s="224">
        <f t="shared" si="15"/>
        <v>139.49619357983516</v>
      </c>
      <c r="X9" s="224">
        <f t="shared" si="16"/>
        <v>141.91406663325509</v>
      </c>
      <c r="Y9" s="224">
        <f t="shared" si="17"/>
        <v>144.13737148210635</v>
      </c>
      <c r="Z9" s="224">
        <f t="shared" si="18"/>
        <v>146.68279294757042</v>
      </c>
    </row>
    <row r="10" spans="1:26" x14ac:dyDescent="0.2">
      <c r="A10" s="3">
        <v>33848</v>
      </c>
      <c r="B10" s="37">
        <f>'[20]Annual conv to Monthly'!$B47</f>
        <v>85.287357761013482</v>
      </c>
      <c r="C10" s="218" t="s">
        <v>86</v>
      </c>
      <c r="D10" s="224">
        <f t="shared" si="19"/>
        <v>85.036756832378245</v>
      </c>
      <c r="E10" s="224">
        <f t="shared" si="20"/>
        <v>85.822609307584173</v>
      </c>
      <c r="F10" s="224">
        <f t="shared" si="21"/>
        <v>88.396698680850434</v>
      </c>
      <c r="G10" s="224">
        <f t="shared" si="22"/>
        <v>92.733572704242079</v>
      </c>
      <c r="H10" s="224">
        <f t="shared" si="0"/>
        <v>95.057541101070257</v>
      </c>
      <c r="I10" s="224">
        <f t="shared" si="1"/>
        <v>97.444623755546786</v>
      </c>
      <c r="J10" s="224">
        <f t="shared" si="2"/>
        <v>101.97819281207909</v>
      </c>
      <c r="K10" s="224">
        <f t="shared" si="3"/>
        <v>108.02533754504118</v>
      </c>
      <c r="L10" s="224">
        <f t="shared" si="4"/>
        <v>115.30017774683859</v>
      </c>
      <c r="M10" s="224">
        <f t="shared" si="5"/>
        <v>119.92464401283681</v>
      </c>
      <c r="N10" s="224">
        <f t="shared" si="6"/>
        <v>122.9477313822845</v>
      </c>
      <c r="O10" s="224">
        <f t="shared" si="7"/>
        <v>126.2439483577654</v>
      </c>
      <c r="P10" s="224">
        <f t="shared" si="8"/>
        <v>128.58816137146633</v>
      </c>
      <c r="Q10" s="224">
        <f t="shared" si="9"/>
        <v>131.90996128607298</v>
      </c>
      <c r="R10" s="224">
        <f t="shared" si="10"/>
        <v>135.36154277170829</v>
      </c>
      <c r="S10" s="224">
        <f t="shared" si="11"/>
        <v>138.46317586658083</v>
      </c>
      <c r="T10" s="224">
        <f t="shared" si="12"/>
        <v>139.54525645858905</v>
      </c>
      <c r="U10" s="224">
        <f t="shared" si="13"/>
        <v>136.94287528034204</v>
      </c>
      <c r="V10" s="224">
        <f t="shared" si="14"/>
        <v>136.14444979172168</v>
      </c>
      <c r="W10" s="224">
        <f t="shared" si="15"/>
        <v>139.70373119992371</v>
      </c>
      <c r="X10" s="224">
        <f t="shared" si="16"/>
        <v>142.10191180552019</v>
      </c>
      <c r="Y10" s="224">
        <f t="shared" si="17"/>
        <v>144.31631625828265</v>
      </c>
      <c r="Z10" s="224">
        <f t="shared" si="18"/>
        <v>146.96101409447857</v>
      </c>
    </row>
    <row r="11" spans="1:26" x14ac:dyDescent="0.2">
      <c r="A11" s="3">
        <v>33878</v>
      </c>
      <c r="B11" s="37">
        <f>'[20]Annual conv to Monthly'!$B48</f>
        <v>85.350123301061018</v>
      </c>
      <c r="C11" s="218" t="s">
        <v>197</v>
      </c>
      <c r="D11" s="224">
        <f t="shared" si="19"/>
        <v>85.099337947640734</v>
      </c>
      <c r="E11" s="224">
        <f t="shared" si="20"/>
        <v>85.892141253093982</v>
      </c>
      <c r="F11" s="224">
        <f t="shared" si="21"/>
        <v>88.819947250548452</v>
      </c>
      <c r="G11" s="224">
        <f t="shared" si="22"/>
        <v>93.002137485811772</v>
      </c>
      <c r="H11" s="224">
        <f t="shared" si="0"/>
        <v>95.143293148796303</v>
      </c>
      <c r="I11" s="224">
        <f t="shared" si="1"/>
        <v>97.805640117179436</v>
      </c>
      <c r="J11" s="224">
        <f t="shared" si="2"/>
        <v>102.37850271705736</v>
      </c>
      <c r="K11" s="224">
        <f t="shared" si="3"/>
        <v>108.6794042159986</v>
      </c>
      <c r="L11" s="224">
        <f t="shared" si="4"/>
        <v>115.82987350896386</v>
      </c>
      <c r="M11" s="224">
        <f t="shared" si="5"/>
        <v>120.09841693201646</v>
      </c>
      <c r="N11" s="224">
        <f t="shared" si="6"/>
        <v>123.31120824213403</v>
      </c>
      <c r="O11" s="224">
        <f t="shared" si="7"/>
        <v>126.3902962557828</v>
      </c>
      <c r="P11" s="224">
        <f t="shared" si="8"/>
        <v>128.85303193013166</v>
      </c>
      <c r="Q11" s="224">
        <f t="shared" si="9"/>
        <v>132.20314796642501</v>
      </c>
      <c r="R11" s="224">
        <f t="shared" si="10"/>
        <v>135.64036538705133</v>
      </c>
      <c r="S11" s="224">
        <f t="shared" si="11"/>
        <v>138.69185905884657</v>
      </c>
      <c r="T11" s="224">
        <f t="shared" si="12"/>
        <v>139.44016329932234</v>
      </c>
      <c r="U11" s="224">
        <f t="shared" si="13"/>
        <v>136.57222617060793</v>
      </c>
      <c r="V11" s="224">
        <f t="shared" si="14"/>
        <v>136.50228328084265</v>
      </c>
      <c r="W11" s="224">
        <f t="shared" si="15"/>
        <v>139.91157758731728</v>
      </c>
      <c r="X11" s="224">
        <f t="shared" si="16"/>
        <v>142.29000561986552</v>
      </c>
      <c r="Y11" s="224">
        <f t="shared" si="17"/>
        <v>144.49548319220051</v>
      </c>
      <c r="Z11" s="224">
        <f t="shared" si="18"/>
        <v>147.23976295840814</v>
      </c>
    </row>
    <row r="12" spans="1:26" x14ac:dyDescent="0.2">
      <c r="A12" s="3">
        <v>33909</v>
      </c>
      <c r="B12" s="37">
        <f>'[20]Annual conv to Monthly'!$B49</f>
        <v>85.412935032163361</v>
      </c>
      <c r="C12" s="218" t="s">
        <v>198</v>
      </c>
      <c r="D12" s="224">
        <f t="shared" si="19"/>
        <v>85.161965118234278</v>
      </c>
      <c r="E12" s="224">
        <f t="shared" si="20"/>
        <v>85.961729532144389</v>
      </c>
      <c r="F12" s="224">
        <f t="shared" si="21"/>
        <v>89.24522235918316</v>
      </c>
      <c r="G12" s="224">
        <f t="shared" si="22"/>
        <v>93.271480055185776</v>
      </c>
      <c r="H12" s="224">
        <f t="shared" si="0"/>
        <v>95.22912255402187</v>
      </c>
      <c r="I12" s="224">
        <f t="shared" si="1"/>
        <v>98.167993985267998</v>
      </c>
      <c r="J12" s="224">
        <f t="shared" si="2"/>
        <v>102.78038401701338</v>
      </c>
      <c r="K12" s="224">
        <f t="shared" si="3"/>
        <v>109.33743109869688</v>
      </c>
      <c r="L12" s="224">
        <f t="shared" si="4"/>
        <v>116.36200272440982</v>
      </c>
      <c r="M12" s="224">
        <f t="shared" si="5"/>
        <v>120.27244165121344</v>
      </c>
      <c r="N12" s="224">
        <f t="shared" si="6"/>
        <v>123.67575966778612</v>
      </c>
      <c r="O12" s="224">
        <f t="shared" si="7"/>
        <v>126.5368138071383</v>
      </c>
      <c r="P12" s="224">
        <f t="shared" si="8"/>
        <v>129.11844807878055</v>
      </c>
      <c r="Q12" s="224">
        <f t="shared" si="9"/>
        <v>132.49698629149512</v>
      </c>
      <c r="R12" s="224">
        <f t="shared" si="10"/>
        <v>135.9197623313303</v>
      </c>
      <c r="S12" s="224">
        <f t="shared" si="11"/>
        <v>138.92091993999671</v>
      </c>
      <c r="T12" s="224">
        <f t="shared" si="12"/>
        <v>139.3351492869389</v>
      </c>
      <c r="U12" s="224">
        <f t="shared" si="13"/>
        <v>136.20258025846454</v>
      </c>
      <c r="V12" s="224">
        <f t="shared" si="14"/>
        <v>136.86105727694815</v>
      </c>
      <c r="W12" s="224">
        <f t="shared" si="15"/>
        <v>140.11973320138921</v>
      </c>
      <c r="X12" s="224">
        <f t="shared" si="16"/>
        <v>142.47834840540727</v>
      </c>
      <c r="Y12" s="224">
        <f t="shared" si="17"/>
        <v>144.67487255966603</v>
      </c>
      <c r="Z12" s="224">
        <f t="shared" si="18"/>
        <v>147.5190405403084</v>
      </c>
    </row>
    <row r="13" spans="1:26" x14ac:dyDescent="0.2">
      <c r="A13" s="3">
        <v>33939</v>
      </c>
      <c r="B13" s="37">
        <f>'[20]Annual conv to Monthly'!$B50</f>
        <v>85.47579298831387</v>
      </c>
      <c r="C13" s="218" t="s">
        <v>199</v>
      </c>
      <c r="D13" s="224">
        <f t="shared" si="19"/>
        <v>85.224638378052376</v>
      </c>
      <c r="E13" s="224">
        <f t="shared" si="20"/>
        <v>86.031374190375828</v>
      </c>
      <c r="F13" s="224">
        <f t="shared" si="21"/>
        <v>89.672533709941646</v>
      </c>
      <c r="G13" s="224">
        <f t="shared" si="22"/>
        <v>93.541602664907657</v>
      </c>
      <c r="H13" s="224">
        <f t="shared" si="0"/>
        <v>95.315029386531663</v>
      </c>
      <c r="I13" s="224">
        <f t="shared" si="1"/>
        <v>98.531690315054689</v>
      </c>
      <c r="J13" s="224">
        <f t="shared" si="2"/>
        <v>103.1838428803735</v>
      </c>
      <c r="K13" s="224">
        <f t="shared" si="3"/>
        <v>109.99944217123755</v>
      </c>
      <c r="L13" s="224">
        <f t="shared" si="4"/>
        <v>116.89657657260338</v>
      </c>
      <c r="M13" s="224">
        <f t="shared" si="5"/>
        <v>120.4467185352904</v>
      </c>
      <c r="N13" s="224">
        <f t="shared" si="6"/>
        <v>124.04138883603632</v>
      </c>
      <c r="O13" s="224">
        <f t="shared" si="7"/>
        <v>126.68350120850199</v>
      </c>
      <c r="P13" s="224">
        <f t="shared" si="8"/>
        <v>129.38441094123903</v>
      </c>
      <c r="Q13" s="224">
        <f t="shared" si="9"/>
        <v>132.79147770964664</v>
      </c>
      <c r="R13" s="224">
        <f t="shared" si="10"/>
        <v>136.19973478756879</v>
      </c>
      <c r="S13" s="224">
        <f t="shared" si="11"/>
        <v>139.15035913381516</v>
      </c>
      <c r="T13" s="224">
        <f t="shared" si="12"/>
        <v>139.23021436183228</v>
      </c>
      <c r="U13" s="224">
        <f t="shared" si="13"/>
        <v>135.83393482866074</v>
      </c>
      <c r="V13" s="224">
        <f t="shared" si="14"/>
        <v>137.22077425200746</v>
      </c>
      <c r="W13" s="224">
        <f t="shared" si="15"/>
        <v>140.32819850219627</v>
      </c>
      <c r="X13" s="224">
        <f t="shared" si="16"/>
        <v>142.66694049169723</v>
      </c>
      <c r="Y13" s="224">
        <f t="shared" si="17"/>
        <v>144.85448463682772</v>
      </c>
      <c r="Z13" s="224">
        <f t="shared" si="18"/>
        <v>147.79884784302718</v>
      </c>
    </row>
    <row r="14" spans="1:26" x14ac:dyDescent="0.2">
      <c r="A14" s="3">
        <v>33970</v>
      </c>
      <c r="B14" s="37">
        <f>'[20]Annual conv to Monthly'!$B51</f>
        <v>85.545043949434969</v>
      </c>
      <c r="C14" s="218" t="s">
        <v>200</v>
      </c>
      <c r="D14" s="224">
        <f t="shared" si="19"/>
        <v>85.287357761013482</v>
      </c>
      <c r="E14" s="224">
        <f t="shared" si="20"/>
        <v>86.10107527346571</v>
      </c>
      <c r="F14" s="224">
        <f t="shared" si="21"/>
        <v>90.101891052470449</v>
      </c>
      <c r="G14" s="224">
        <f t="shared" si="22"/>
        <v>93.812507574044531</v>
      </c>
      <c r="H14" s="224">
        <f t="shared" si="0"/>
        <v>95.401013716173367</v>
      </c>
      <c r="I14" s="224">
        <f t="shared" si="1"/>
        <v>98.896734080140092</v>
      </c>
      <c r="J14" s="224">
        <f t="shared" si="2"/>
        <v>103.58888549977794</v>
      </c>
      <c r="K14" s="224">
        <f t="shared" si="3"/>
        <v>110.66546155690358</v>
      </c>
      <c r="L14" s="224">
        <f t="shared" si="4"/>
        <v>117.43360628433041</v>
      </c>
      <c r="M14" s="224">
        <f t="shared" si="5"/>
        <v>120.62124794963869</v>
      </c>
      <c r="N14" s="224">
        <f t="shared" si="6"/>
        <v>124.40809893307186</v>
      </c>
      <c r="O14" s="224">
        <f t="shared" si="7"/>
        <v>126.83035865677196</v>
      </c>
      <c r="P14" s="224">
        <f t="shared" si="8"/>
        <v>129.65092164364802</v>
      </c>
      <c r="Q14" s="224">
        <f t="shared" si="9"/>
        <v>133.08662367246211</v>
      </c>
      <c r="R14" s="224">
        <f t="shared" si="10"/>
        <v>136.48028394122719</v>
      </c>
      <c r="S14" s="224">
        <f t="shared" si="11"/>
        <v>139.38017726511606</v>
      </c>
      <c r="T14" s="224">
        <f t="shared" si="12"/>
        <v>139.12535846444095</v>
      </c>
      <c r="U14" s="224">
        <f t="shared" si="13"/>
        <v>135.46628717329455</v>
      </c>
      <c r="V14" s="224">
        <f t="shared" si="14"/>
        <v>137.58143668448704</v>
      </c>
      <c r="W14" s="224">
        <f t="shared" si="15"/>
        <v>140.53697395047968</v>
      </c>
      <c r="X14" s="224">
        <f t="shared" si="16"/>
        <v>142.85578220872344</v>
      </c>
      <c r="Y14" s="224">
        <f t="shared" si="17"/>
        <v>145.03431970017692</v>
      </c>
      <c r="Z14" s="224">
        <f t="shared" si="18"/>
        <v>148.07918587131445</v>
      </c>
    </row>
    <row r="15" spans="1:26" x14ac:dyDescent="0.2">
      <c r="A15" s="3">
        <v>34001</v>
      </c>
      <c r="B15" s="37">
        <f>'[20]Annual conv to Monthly'!$B52</f>
        <v>85.61435101644814</v>
      </c>
      <c r="C15" s="218" t="s">
        <v>201</v>
      </c>
      <c r="D15" s="224">
        <f t="shared" si="19"/>
        <v>85.350123301061018</v>
      </c>
      <c r="E15" s="224">
        <f t="shared" si="20"/>
        <v>86.17083282712845</v>
      </c>
      <c r="F15" s="224">
        <f t="shared" si="21"/>
        <v>90.533304183097982</v>
      </c>
      <c r="G15" s="224">
        <f t="shared" si="22"/>
        <v>94.084197048205993</v>
      </c>
      <c r="H15" s="224">
        <f t="shared" si="0"/>
        <v>95.487075612857652</v>
      </c>
      <c r="I15" s="224">
        <f t="shared" si="1"/>
        <v>99.26313027255118</v>
      </c>
      <c r="J15" s="224">
        <f t="shared" si="2"/>
        <v>103.99551809217577</v>
      </c>
      <c r="K15" s="224">
        <f t="shared" si="3"/>
        <v>111.33551352503846</v>
      </c>
      <c r="L15" s="224">
        <f t="shared" si="4"/>
        <v>117.97310314197166</v>
      </c>
      <c r="M15" s="224">
        <f t="shared" si="5"/>
        <v>120.79603026017911</v>
      </c>
      <c r="N15" s="224">
        <f t="shared" si="6"/>
        <v>124.7758931544995</v>
      </c>
      <c r="O15" s="224">
        <f t="shared" si="7"/>
        <v>126.97738634907456</v>
      </c>
      <c r="P15" s="224">
        <f t="shared" si="8"/>
        <v>129.91798131446814</v>
      </c>
      <c r="Q15" s="224">
        <f t="shared" si="9"/>
        <v>133.38242563475035</v>
      </c>
      <c r="R15" s="224">
        <f t="shared" si="10"/>
        <v>136.76141098020776</v>
      </c>
      <c r="S15" s="224">
        <f t="shared" si="11"/>
        <v>139.61037495974546</v>
      </c>
      <c r="T15" s="224">
        <f t="shared" si="12"/>
        <v>139.02058153524823</v>
      </c>
      <c r="U15" s="224">
        <f t="shared" si="13"/>
        <v>135.09963459179312</v>
      </c>
      <c r="V15" s="224">
        <f t="shared" si="14"/>
        <v>137.94304705936756</v>
      </c>
      <c r="W15" s="224">
        <f t="shared" si="15"/>
        <v>140.74606000766616</v>
      </c>
      <c r="X15" s="224">
        <f t="shared" si="16"/>
        <v>143.04487388691072</v>
      </c>
      <c r="Y15" s="224">
        <f t="shared" si="17"/>
        <v>145.21437802654827</v>
      </c>
      <c r="Z15" s="224">
        <f t="shared" si="18"/>
        <v>148.36005563182596</v>
      </c>
    </row>
    <row r="16" spans="1:26" x14ac:dyDescent="0.2">
      <c r="A16" s="3">
        <v>34029</v>
      </c>
      <c r="B16" s="37">
        <f>'[20]Annual conv to Monthly'!$B53</f>
        <v>85.683714234809372</v>
      </c>
      <c r="C16" s="218" t="s">
        <v>202</v>
      </c>
      <c r="D16" s="224">
        <f t="shared" si="19"/>
        <v>85.412935032163361</v>
      </c>
      <c r="E16" s="224">
        <f t="shared" si="20"/>
        <v>86.240646897115496</v>
      </c>
      <c r="F16" s="224">
        <f t="shared" si="21"/>
        <v>90.966782945058043</v>
      </c>
      <c r="G16" s="224">
        <f t="shared" si="22"/>
        <v>94.356673359563032</v>
      </c>
      <c r="H16" s="224">
        <f t="shared" si="0"/>
        <v>95.573215146558283</v>
      </c>
      <c r="I16" s="224">
        <f t="shared" si="1"/>
        <v>99.630883902809558</v>
      </c>
      <c r="J16" s="224">
        <f t="shared" si="2"/>
        <v>104.40374689892037</v>
      </c>
      <c r="K16" s="224">
        <f t="shared" si="3"/>
        <v>112.00962249193054</v>
      </c>
      <c r="L16" s="224">
        <f t="shared" si="4"/>
        <v>118.51507847973981</v>
      </c>
      <c r="M16" s="224">
        <f t="shared" si="5"/>
        <v>120.9710658333627</v>
      </c>
      <c r="N16" s="224">
        <f t="shared" si="6"/>
        <v>125.14477470537335</v>
      </c>
      <c r="O16" s="224">
        <f t="shared" si="7"/>
        <v>127.12458448276465</v>
      </c>
      <c r="P16" s="224">
        <f t="shared" si="8"/>
        <v>130.18559108448443</v>
      </c>
      <c r="Q16" s="224">
        <f t="shared" si="9"/>
        <v>133.67888505455369</v>
      </c>
      <c r="R16" s="224">
        <f t="shared" si="10"/>
        <v>137.04311709485967</v>
      </c>
      <c r="S16" s="224">
        <f t="shared" si="11"/>
        <v>139.84095284458306</v>
      </c>
      <c r="T16" s="224">
        <f t="shared" si="12"/>
        <v>138.91588351478222</v>
      </c>
      <c r="U16" s="224">
        <f t="shared" si="13"/>
        <v>134.733974390893</v>
      </c>
      <c r="V16" s="224">
        <f t="shared" si="14"/>
        <v>138.30560786816105</v>
      </c>
      <c r="W16" s="224">
        <f t="shared" si="15"/>
        <v>140.9554571358689</v>
      </c>
      <c r="X16" s="224">
        <f t="shared" si="16"/>
        <v>143.23421585712123</v>
      </c>
      <c r="Y16" s="224">
        <f t="shared" si="17"/>
        <v>145.39465989312006</v>
      </c>
      <c r="Z16" s="224">
        <f t="shared" si="18"/>
        <v>148.64145813312683</v>
      </c>
    </row>
    <row r="17" spans="1:26" x14ac:dyDescent="0.2">
      <c r="A17" s="310">
        <v>34060</v>
      </c>
      <c r="B17" s="37">
        <f>'[20]Annual conv to Monthly'!$B54</f>
        <v>85.753133650011492</v>
      </c>
      <c r="C17" s="218" t="s">
        <v>203</v>
      </c>
      <c r="D17" s="224">
        <f t="shared" si="19"/>
        <v>85.47579298831387</v>
      </c>
      <c r="E17" s="224">
        <f t="shared" si="20"/>
        <v>86.31051752921536</v>
      </c>
      <c r="F17" s="224">
        <f t="shared" si="21"/>
        <v>91.402337228714515</v>
      </c>
      <c r="G17" s="224">
        <f t="shared" si="22"/>
        <v>94.629938786867015</v>
      </c>
      <c r="H17" s="224">
        <f t="shared" si="0"/>
        <v>95.659432387312208</v>
      </c>
      <c r="I17" s="340">
        <f t="shared" si="1"/>
        <v>100</v>
      </c>
      <c r="J17" s="224">
        <f t="shared" si="2"/>
        <v>104.81357818586534</v>
      </c>
      <c r="K17" s="224">
        <f t="shared" si="3"/>
        <v>112.68781302170287</v>
      </c>
      <c r="L17" s="224">
        <f t="shared" si="4"/>
        <v>119.05954368391765</v>
      </c>
      <c r="M17" s="224">
        <f t="shared" si="5"/>
        <v>121.1463550361714</v>
      </c>
      <c r="N17" s="224">
        <f t="shared" si="6"/>
        <v>125.51474680022261</v>
      </c>
      <c r="O17" s="224">
        <f t="shared" si="7"/>
        <v>127.27195325542573</v>
      </c>
      <c r="P17" s="224">
        <f t="shared" si="8"/>
        <v>130.45375208681136</v>
      </c>
      <c r="Q17" s="224">
        <f t="shared" si="9"/>
        <v>133.97600339315525</v>
      </c>
      <c r="R17" s="224">
        <f t="shared" si="10"/>
        <v>137.32540347798411</v>
      </c>
      <c r="S17" s="224">
        <f t="shared" si="11"/>
        <v>140.07191154754381</v>
      </c>
      <c r="T17" s="224">
        <f t="shared" si="12"/>
        <v>138.8112643436159</v>
      </c>
      <c r="U17" s="224">
        <f t="shared" si="13"/>
        <v>134.36930388462019</v>
      </c>
      <c r="V17" s="224">
        <f t="shared" si="14"/>
        <v>138.66912160892804</v>
      </c>
      <c r="W17" s="224">
        <f t="shared" si="15"/>
        <v>141.16516579788873</v>
      </c>
      <c r="X17" s="224">
        <f t="shared" si="16"/>
        <v>143.42380845065495</v>
      </c>
      <c r="Y17" s="224">
        <f t="shared" si="17"/>
        <v>145.57516557741477</v>
      </c>
      <c r="Z17" s="224">
        <f t="shared" si="18"/>
        <v>148.9233943856953</v>
      </c>
    </row>
    <row r="18" spans="1:26" x14ac:dyDescent="0.2">
      <c r="A18" s="3">
        <v>34090</v>
      </c>
      <c r="B18" s="37">
        <f>'[20]Annual conv to Monthly'!$B55</f>
        <v>85.822609307584173</v>
      </c>
      <c r="C18" s="218"/>
      <c r="D18" s="335"/>
      <c r="E18" s="335"/>
      <c r="F18" s="335"/>
      <c r="G18" s="335"/>
      <c r="H18" s="212"/>
      <c r="I18" s="212"/>
    </row>
    <row r="19" spans="1:26" x14ac:dyDescent="0.2">
      <c r="A19" s="3">
        <v>34121</v>
      </c>
      <c r="B19" s="37">
        <f>'[20]Annual conv to Monthly'!$B56</f>
        <v>85.892141253093982</v>
      </c>
      <c r="C19" s="218" t="s">
        <v>380</v>
      </c>
      <c r="D19" s="537" t="s">
        <v>381</v>
      </c>
      <c r="E19" s="537"/>
      <c r="F19" s="537"/>
      <c r="G19" s="537"/>
      <c r="H19" s="537"/>
      <c r="I19" s="537"/>
    </row>
    <row r="20" spans="1:26" x14ac:dyDescent="0.2">
      <c r="A20" s="3">
        <v>34151</v>
      </c>
      <c r="B20" s="37">
        <f>'[20]Annual conv to Monthly'!$B57</f>
        <v>85.961729532144389</v>
      </c>
      <c r="C20" s="333"/>
      <c r="D20" s="537" t="s">
        <v>382</v>
      </c>
      <c r="E20" s="537"/>
      <c r="F20" s="537"/>
      <c r="G20" s="537"/>
      <c r="H20" s="537"/>
      <c r="I20" s="537"/>
      <c r="J20" s="333"/>
      <c r="K20" s="333"/>
      <c r="L20" s="333"/>
      <c r="M20" s="333"/>
      <c r="N20" s="333"/>
      <c r="O20" s="333"/>
      <c r="P20" s="333"/>
      <c r="Q20" s="333"/>
      <c r="R20" s="333"/>
      <c r="S20" s="333"/>
      <c r="T20" s="333"/>
      <c r="U20" s="333"/>
      <c r="V20" s="333"/>
      <c r="W20" s="333"/>
    </row>
    <row r="21" spans="1:26" x14ac:dyDescent="0.2">
      <c r="A21" s="3">
        <v>34182</v>
      </c>
      <c r="B21" s="37">
        <f>'[20]Annual conv to Monthly'!$B58</f>
        <v>86.031374190375828</v>
      </c>
      <c r="D21" s="537" t="s">
        <v>383</v>
      </c>
      <c r="E21" s="537"/>
      <c r="F21" s="537"/>
      <c r="G21" s="537"/>
      <c r="H21" s="537"/>
      <c r="I21" s="537"/>
      <c r="J21" s="334"/>
      <c r="K21" s="334"/>
      <c r="L21" s="334"/>
      <c r="M21" s="334"/>
      <c r="N21" s="334"/>
      <c r="O21" s="334"/>
      <c r="P21" s="334"/>
      <c r="Q21" s="334"/>
      <c r="R21" s="334"/>
      <c r="S21" s="334"/>
      <c r="T21" s="334"/>
      <c r="U21" s="334"/>
      <c r="V21" s="334"/>
      <c r="W21" s="334"/>
    </row>
    <row r="22" spans="1:26" x14ac:dyDescent="0.2">
      <c r="A22" s="310">
        <v>34213</v>
      </c>
      <c r="B22" s="37">
        <f>'[20]Annual conv to Monthly'!$B59</f>
        <v>86.10107527346571</v>
      </c>
      <c r="D22" s="537" t="s">
        <v>384</v>
      </c>
      <c r="E22" s="537"/>
      <c r="F22" s="537"/>
      <c r="G22" s="537"/>
      <c r="H22" s="537"/>
      <c r="I22" s="537"/>
    </row>
    <row r="23" spans="1:26" x14ac:dyDescent="0.2">
      <c r="A23" s="3">
        <v>34243</v>
      </c>
      <c r="B23" s="37">
        <f>'[20]Annual conv to Monthly'!$B60</f>
        <v>86.17083282712845</v>
      </c>
      <c r="C23" s="219"/>
    </row>
    <row r="24" spans="1:26" x14ac:dyDescent="0.2">
      <c r="A24" s="3">
        <v>34274</v>
      </c>
      <c r="B24" s="37">
        <f>'[20]Annual conv to Monthly'!$B61</f>
        <v>86.240646897115496</v>
      </c>
      <c r="C24" s="224"/>
    </row>
    <row r="25" spans="1:26" x14ac:dyDescent="0.2">
      <c r="A25" s="3">
        <v>34304</v>
      </c>
      <c r="B25" s="37">
        <f>'[20]Annual conv to Monthly'!$B62</f>
        <v>86.31051752921536</v>
      </c>
    </row>
    <row r="26" spans="1:26" x14ac:dyDescent="0.2">
      <c r="A26" s="3">
        <v>34335</v>
      </c>
      <c r="B26" s="37">
        <f>'[20]Annual conv to Monthly'!$B63</f>
        <v>86.72377734139485</v>
      </c>
    </row>
    <row r="27" spans="1:26" x14ac:dyDescent="0.2">
      <c r="A27" s="3">
        <v>34366</v>
      </c>
      <c r="B27" s="37">
        <f>'[20]Annual conv to Monthly'!$B64</f>
        <v>87.139015865755113</v>
      </c>
    </row>
    <row r="28" spans="1:26" x14ac:dyDescent="0.2">
      <c r="A28" s="3">
        <v>34394</v>
      </c>
      <c r="B28" s="37">
        <f>'[20]Annual conv to Monthly'!$B65</f>
        <v>87.556242576485914</v>
      </c>
    </row>
    <row r="29" spans="1:26" x14ac:dyDescent="0.2">
      <c r="A29" s="3">
        <v>34425</v>
      </c>
      <c r="B29" s="37">
        <f>'[20]Annual conv to Monthly'!$B66</f>
        <v>87.975466993140046</v>
      </c>
    </row>
    <row r="30" spans="1:26" x14ac:dyDescent="0.2">
      <c r="A30" s="3">
        <v>34455</v>
      </c>
      <c r="B30" s="37">
        <f>'[20]Annual conv to Monthly'!$B67</f>
        <v>88.396698680850434</v>
      </c>
    </row>
    <row r="31" spans="1:26" x14ac:dyDescent="0.2">
      <c r="A31" s="3">
        <v>34486</v>
      </c>
      <c r="B31" s="37">
        <f>'[20]Annual conv to Monthly'!$B68</f>
        <v>88.819947250548452</v>
      </c>
    </row>
    <row r="32" spans="1:26" x14ac:dyDescent="0.2">
      <c r="A32" s="3">
        <v>34516</v>
      </c>
      <c r="B32" s="37">
        <f>'[20]Annual conv to Monthly'!$B69</f>
        <v>89.24522235918316</v>
      </c>
    </row>
    <row r="33" spans="1:2" x14ac:dyDescent="0.2">
      <c r="A33" s="3">
        <v>34547</v>
      </c>
      <c r="B33" s="37">
        <f>'[20]Annual conv to Monthly'!$B70</f>
        <v>89.672533709941646</v>
      </c>
    </row>
    <row r="34" spans="1:2" x14ac:dyDescent="0.2">
      <c r="A34" s="3">
        <v>34578</v>
      </c>
      <c r="B34" s="37">
        <f>'[20]Annual conv to Monthly'!$B71</f>
        <v>90.101891052470449</v>
      </c>
    </row>
    <row r="35" spans="1:2" x14ac:dyDescent="0.2">
      <c r="A35" s="3">
        <v>34608</v>
      </c>
      <c r="B35" s="37">
        <f>'[20]Annual conv to Monthly'!$B72</f>
        <v>90.533304183097982</v>
      </c>
    </row>
    <row r="36" spans="1:2" x14ac:dyDescent="0.2">
      <c r="A36" s="3">
        <v>34639</v>
      </c>
      <c r="B36" s="37">
        <f>'[20]Annual conv to Monthly'!$B73</f>
        <v>90.966782945058043</v>
      </c>
    </row>
    <row r="37" spans="1:2" x14ac:dyDescent="0.2">
      <c r="A37" s="3">
        <v>34669</v>
      </c>
      <c r="B37" s="37">
        <f>'[20]Annual conv to Monthly'!$B74</f>
        <v>91.402337228714515</v>
      </c>
    </row>
    <row r="38" spans="1:2" x14ac:dyDescent="0.2">
      <c r="A38" s="3">
        <v>34700</v>
      </c>
      <c r="B38" s="37">
        <f>'[20]Annual conv to Monthly'!$B75</f>
        <v>91.667046632406738</v>
      </c>
    </row>
    <row r="39" spans="1:2" x14ac:dyDescent="0.2">
      <c r="A39" s="3">
        <v>34731</v>
      </c>
      <c r="B39" s="37">
        <f>'[20]Annual conv to Monthly'!$B76</f>
        <v>91.932522658381586</v>
      </c>
    </row>
    <row r="40" spans="1:2" x14ac:dyDescent="0.2">
      <c r="A40" s="3">
        <v>34759</v>
      </c>
      <c r="B40" s="37">
        <f>'[20]Annual conv to Monthly'!$B77</f>
        <v>92.198767526846254</v>
      </c>
    </row>
    <row r="41" spans="1:2" x14ac:dyDescent="0.2">
      <c r="A41" s="3">
        <v>34790</v>
      </c>
      <c r="B41" s="37">
        <f>'[20]Annual conv to Monthly'!$B78</f>
        <v>92.465783464437862</v>
      </c>
    </row>
    <row r="42" spans="1:2" x14ac:dyDescent="0.2">
      <c r="A42" s="3">
        <v>34820</v>
      </c>
      <c r="B42" s="37">
        <f>'[20]Annual conv to Monthly'!$B79</f>
        <v>92.733572704242079</v>
      </c>
    </row>
    <row r="43" spans="1:2" x14ac:dyDescent="0.2">
      <c r="A43" s="3">
        <v>34851</v>
      </c>
      <c r="B43" s="37">
        <f>'[20]Annual conv to Monthly'!$B80</f>
        <v>93.002137485811772</v>
      </c>
    </row>
    <row r="44" spans="1:2" x14ac:dyDescent="0.2">
      <c r="A44" s="3">
        <v>34881</v>
      </c>
      <c r="B44" s="37">
        <f>'[20]Annual conv to Monthly'!$B81</f>
        <v>93.271480055185776</v>
      </c>
    </row>
    <row r="45" spans="1:2" x14ac:dyDescent="0.2">
      <c r="A45" s="3">
        <v>34912</v>
      </c>
      <c r="B45" s="37">
        <f>'[20]Annual conv to Monthly'!$B82</f>
        <v>93.541602664907657</v>
      </c>
    </row>
    <row r="46" spans="1:2" x14ac:dyDescent="0.2">
      <c r="A46" s="3">
        <v>34943</v>
      </c>
      <c r="B46" s="37">
        <f>'[20]Annual conv to Monthly'!$B83</f>
        <v>93.812507574044531</v>
      </c>
    </row>
    <row r="47" spans="1:2" x14ac:dyDescent="0.2">
      <c r="A47" s="3">
        <v>34973</v>
      </c>
      <c r="B47" s="37">
        <f>'[20]Annual conv to Monthly'!$B84</f>
        <v>94.084197048205993</v>
      </c>
    </row>
    <row r="48" spans="1:2" x14ac:dyDescent="0.2">
      <c r="A48" s="3">
        <v>35004</v>
      </c>
      <c r="B48" s="37">
        <f>'[20]Annual conv to Monthly'!$B85</f>
        <v>94.356673359563032</v>
      </c>
    </row>
    <row r="49" spans="1:2" x14ac:dyDescent="0.2">
      <c r="A49" s="3">
        <v>35034</v>
      </c>
      <c r="B49" s="37">
        <f>'[20]Annual conv to Monthly'!$B86</f>
        <v>94.629938786867015</v>
      </c>
    </row>
    <row r="50" spans="1:2" x14ac:dyDescent="0.2">
      <c r="A50" s="3">
        <v>35065</v>
      </c>
      <c r="B50" s="309">
        <f>'[20]Annual conv to Monthly'!$B87</f>
        <v>94.715305091666934</v>
      </c>
    </row>
    <row r="51" spans="1:2" x14ac:dyDescent="0.2">
      <c r="A51" s="3">
        <v>35096</v>
      </c>
      <c r="B51" s="309">
        <f>'[20]Annual conv to Monthly'!$B88</f>
        <v>94.800748405985075</v>
      </c>
    </row>
    <row r="52" spans="1:2" x14ac:dyDescent="0.2">
      <c r="A52" s="3">
        <v>35125</v>
      </c>
      <c r="B52" s="309">
        <f>'[20]Annual conv to Monthly'!$B89</f>
        <v>94.886268799292239</v>
      </c>
    </row>
    <row r="53" spans="1:2" x14ac:dyDescent="0.2">
      <c r="A53" s="3">
        <v>35156</v>
      </c>
      <c r="B53" s="309">
        <f>'[20]Annual conv to Monthly'!$B90</f>
        <v>94.971866341121896</v>
      </c>
    </row>
    <row r="54" spans="1:2" x14ac:dyDescent="0.2">
      <c r="A54" s="3">
        <v>35186</v>
      </c>
      <c r="B54" s="309">
        <f>'[20]Annual conv to Monthly'!$B91</f>
        <v>95.057541101070257</v>
      </c>
    </row>
    <row r="55" spans="1:2" x14ac:dyDescent="0.2">
      <c r="A55" s="3">
        <v>35217</v>
      </c>
      <c r="B55" s="309">
        <f>'[20]Annual conv to Monthly'!$B92</f>
        <v>95.143293148796303</v>
      </c>
    </row>
    <row r="56" spans="1:2" x14ac:dyDescent="0.2">
      <c r="A56" s="3">
        <v>35247</v>
      </c>
      <c r="B56" s="309">
        <f>'[20]Annual conv to Monthly'!$B93</f>
        <v>95.22912255402187</v>
      </c>
    </row>
    <row r="57" spans="1:2" x14ac:dyDescent="0.2">
      <c r="A57" s="3">
        <v>35278</v>
      </c>
      <c r="B57" s="309">
        <f>'[20]Annual conv to Monthly'!$B94</f>
        <v>95.315029386531663</v>
      </c>
    </row>
    <row r="58" spans="1:2" x14ac:dyDescent="0.2">
      <c r="A58" s="3">
        <v>35309</v>
      </c>
      <c r="B58" s="309">
        <f>'[20]Annual conv to Monthly'!$B95</f>
        <v>95.401013716173367</v>
      </c>
    </row>
    <row r="59" spans="1:2" x14ac:dyDescent="0.2">
      <c r="A59" s="3">
        <v>35339</v>
      </c>
      <c r="B59" s="309">
        <f>'[20]Annual conv to Monthly'!$B96</f>
        <v>95.487075612857652</v>
      </c>
    </row>
    <row r="60" spans="1:2" x14ac:dyDescent="0.2">
      <c r="A60" s="3">
        <v>35370</v>
      </c>
      <c r="B60" s="309">
        <f>'[20]Annual conv to Monthly'!$B97</f>
        <v>95.573215146558283</v>
      </c>
    </row>
    <row r="61" spans="1:2" x14ac:dyDescent="0.2">
      <c r="A61" s="3">
        <v>35400</v>
      </c>
      <c r="B61" s="309">
        <f>'[20]Annual conv to Monthly'!$B98</f>
        <v>95.659432387312208</v>
      </c>
    </row>
    <row r="62" spans="1:2" x14ac:dyDescent="0.2">
      <c r="A62" s="3">
        <v>35431</v>
      </c>
      <c r="B62" s="309">
        <f>'[20]Annual conv to Monthly'!$B99</f>
        <v>96.013834907485574</v>
      </c>
    </row>
    <row r="63" spans="1:2" x14ac:dyDescent="0.2">
      <c r="A63" s="3">
        <v>35462</v>
      </c>
      <c r="B63" s="309">
        <f>'[20]Annual conv to Monthly'!$B100</f>
        <v>96.369550430916135</v>
      </c>
    </row>
    <row r="64" spans="1:2" x14ac:dyDescent="0.2">
      <c r="A64" s="3">
        <v>35490</v>
      </c>
      <c r="B64" s="309">
        <f>'[20]Annual conv to Monthly'!$B101</f>
        <v>96.726583822065777</v>
      </c>
    </row>
    <row r="65" spans="1:2" x14ac:dyDescent="0.2">
      <c r="A65" s="3">
        <v>35521</v>
      </c>
      <c r="B65" s="309">
        <f>'[20]Annual conv to Monthly'!$B102</f>
        <v>97.084939963418421</v>
      </c>
    </row>
    <row r="66" spans="1:2" x14ac:dyDescent="0.2">
      <c r="A66" s="3">
        <v>35551</v>
      </c>
      <c r="B66" s="309">
        <f>'[20]Annual conv to Monthly'!$B103</f>
        <v>97.444623755546786</v>
      </c>
    </row>
    <row r="67" spans="1:2" x14ac:dyDescent="0.2">
      <c r="A67" s="3">
        <v>35582</v>
      </c>
      <c r="B67" s="309">
        <f>'[20]Annual conv to Monthly'!$B104</f>
        <v>97.805640117179436</v>
      </c>
    </row>
    <row r="68" spans="1:2" x14ac:dyDescent="0.2">
      <c r="A68" s="3">
        <v>35612</v>
      </c>
      <c r="B68" s="309">
        <f>'[20]Annual conv to Monthly'!$B105</f>
        <v>98.167993985267998</v>
      </c>
    </row>
    <row r="69" spans="1:2" x14ac:dyDescent="0.2">
      <c r="A69" s="3">
        <v>35643</v>
      </c>
      <c r="B69" s="309">
        <f>'[20]Annual conv to Monthly'!$B106</f>
        <v>98.531690315054689</v>
      </c>
    </row>
    <row r="70" spans="1:2" x14ac:dyDescent="0.2">
      <c r="A70" s="3">
        <v>35674</v>
      </c>
      <c r="B70" s="309">
        <f>'[20]Annual conv to Monthly'!$B107</f>
        <v>98.896734080140092</v>
      </c>
    </row>
    <row r="71" spans="1:2" x14ac:dyDescent="0.2">
      <c r="A71" s="3">
        <v>35704</v>
      </c>
      <c r="B71" s="309">
        <f>'[20]Annual conv to Monthly'!$B108</f>
        <v>99.26313027255118</v>
      </c>
    </row>
    <row r="72" spans="1:2" x14ac:dyDescent="0.2">
      <c r="A72" s="3">
        <v>35735</v>
      </c>
      <c r="B72" s="309">
        <f>'[20]Annual conv to Monthly'!$B109</f>
        <v>99.630883902809558</v>
      </c>
    </row>
    <row r="73" spans="1:2" x14ac:dyDescent="0.2">
      <c r="A73" s="3">
        <v>35765</v>
      </c>
      <c r="B73" s="309">
        <f>'[20]Annual conv to Monthly'!$B110</f>
        <v>100</v>
      </c>
    </row>
    <row r="74" spans="1:2" x14ac:dyDescent="0.2">
      <c r="A74" s="3">
        <v>35796</v>
      </c>
      <c r="B74" s="37">
        <f>'[20]Annual conv to Monthly'!$B111</f>
        <v>100.39254461560812</v>
      </c>
    </row>
    <row r="75" spans="1:2" x14ac:dyDescent="0.2">
      <c r="A75" s="3">
        <v>35827</v>
      </c>
      <c r="B75" s="37">
        <f>'[20]Annual conv to Monthly'!$B112</f>
        <v>100.78663014396867</v>
      </c>
    </row>
    <row r="76" spans="1:2" x14ac:dyDescent="0.2">
      <c r="A76" s="3">
        <v>35855</v>
      </c>
      <c r="B76" s="37">
        <f>'[20]Annual conv to Monthly'!$B113</f>
        <v>101.18226263385168</v>
      </c>
    </row>
    <row r="77" spans="1:2" x14ac:dyDescent="0.2">
      <c r="A77" s="3">
        <v>35886</v>
      </c>
      <c r="B77" s="37">
        <f>'[20]Annual conv to Monthly'!$B114</f>
        <v>101.57944815777132</v>
      </c>
    </row>
    <row r="78" spans="1:2" x14ac:dyDescent="0.2">
      <c r="A78" s="3">
        <v>35916</v>
      </c>
      <c r="B78" s="37">
        <f>'[20]Annual conv to Monthly'!$B115</f>
        <v>101.97819281207909</v>
      </c>
    </row>
    <row r="79" spans="1:2" x14ac:dyDescent="0.2">
      <c r="A79" s="3">
        <v>35947</v>
      </c>
      <c r="B79" s="37">
        <f>'[20]Annual conv to Monthly'!$B116</f>
        <v>102.37850271705736</v>
      </c>
    </row>
    <row r="80" spans="1:2" x14ac:dyDescent="0.2">
      <c r="A80" s="3">
        <v>35977</v>
      </c>
      <c r="B80" s="37">
        <f>'[20]Annual conv to Monthly'!$B117</f>
        <v>102.78038401701338</v>
      </c>
    </row>
    <row r="81" spans="1:2" x14ac:dyDescent="0.2">
      <c r="A81" s="3">
        <v>36008</v>
      </c>
      <c r="B81" s="37">
        <f>'[20]Annual conv to Monthly'!$B118</f>
        <v>103.1838428803735</v>
      </c>
    </row>
    <row r="82" spans="1:2" x14ac:dyDescent="0.2">
      <c r="A82" s="3">
        <v>36039</v>
      </c>
      <c r="B82" s="37">
        <f>'[20]Annual conv to Monthly'!$B119</f>
        <v>103.58888549977794</v>
      </c>
    </row>
    <row r="83" spans="1:2" x14ac:dyDescent="0.2">
      <c r="A83" s="3">
        <v>36069</v>
      </c>
      <c r="B83" s="37">
        <f>'[20]Annual conv to Monthly'!$B120</f>
        <v>103.99551809217577</v>
      </c>
    </row>
    <row r="84" spans="1:2" x14ac:dyDescent="0.2">
      <c r="A84" s="3">
        <v>36100</v>
      </c>
      <c r="B84" s="37">
        <f>'[20]Annual conv to Monthly'!$B121</f>
        <v>104.40374689892037</v>
      </c>
    </row>
    <row r="85" spans="1:2" x14ac:dyDescent="0.2">
      <c r="A85" s="3">
        <v>36130</v>
      </c>
      <c r="B85" s="37">
        <f>'[20]Annual conv to Monthly'!$B122</f>
        <v>104.81357818586534</v>
      </c>
    </row>
    <row r="86" spans="1:2" x14ac:dyDescent="0.2">
      <c r="A86" s="3">
        <v>36161</v>
      </c>
      <c r="B86" s="37">
        <f>'[20]Annual conv to Monthly'!$B123</f>
        <v>105.44819844915847</v>
      </c>
    </row>
    <row r="87" spans="1:2" x14ac:dyDescent="0.2">
      <c r="A87" s="3">
        <v>36192</v>
      </c>
      <c r="B87" s="37">
        <f>'[20]Annual conv to Monthly'!$B124</f>
        <v>106.08666118100913</v>
      </c>
    </row>
    <row r="88" spans="1:2" x14ac:dyDescent="0.2">
      <c r="A88" s="3">
        <v>36220</v>
      </c>
      <c r="B88" s="37">
        <f>'[20]Annual conv to Monthly'!$B125</f>
        <v>106.72898964661303</v>
      </c>
    </row>
    <row r="89" spans="1:2" x14ac:dyDescent="0.2">
      <c r="A89" s="3">
        <v>36251</v>
      </c>
      <c r="B89" s="37">
        <f>'[20]Annual conv to Monthly'!$B126</f>
        <v>107.37520725203085</v>
      </c>
    </row>
    <row r="90" spans="1:2" x14ac:dyDescent="0.2">
      <c r="A90" s="3">
        <v>36281</v>
      </c>
      <c r="B90" s="37">
        <f>'[20]Annual conv to Monthly'!$B127</f>
        <v>108.02533754504118</v>
      </c>
    </row>
    <row r="91" spans="1:2" x14ac:dyDescent="0.2">
      <c r="A91" s="3">
        <v>36312</v>
      </c>
      <c r="B91" s="37">
        <f>'[20]Annual conv to Monthly'!$B128</f>
        <v>108.6794042159986</v>
      </c>
    </row>
    <row r="92" spans="1:2" x14ac:dyDescent="0.2">
      <c r="A92" s="3">
        <v>36342</v>
      </c>
      <c r="B92" s="37">
        <f>'[20]Annual conv to Monthly'!$B129</f>
        <v>109.33743109869688</v>
      </c>
    </row>
    <row r="93" spans="1:2" x14ac:dyDescent="0.2">
      <c r="A93" s="3">
        <v>36373</v>
      </c>
      <c r="B93" s="37">
        <f>'[20]Annual conv to Monthly'!$B130</f>
        <v>109.99944217123755</v>
      </c>
    </row>
    <row r="94" spans="1:2" x14ac:dyDescent="0.2">
      <c r="A94" s="3">
        <v>36404</v>
      </c>
      <c r="B94" s="37">
        <f>'[20]Annual conv to Monthly'!$B131</f>
        <v>110.66546155690358</v>
      </c>
    </row>
    <row r="95" spans="1:2" x14ac:dyDescent="0.2">
      <c r="A95" s="3">
        <v>36434</v>
      </c>
      <c r="B95" s="37">
        <f>'[20]Annual conv to Monthly'!$B132</f>
        <v>111.33551352503846</v>
      </c>
    </row>
    <row r="96" spans="1:2" x14ac:dyDescent="0.2">
      <c r="A96" s="3">
        <v>36465</v>
      </c>
      <c r="B96" s="37">
        <f>'[20]Annual conv to Monthly'!$B133</f>
        <v>112.00962249193054</v>
      </c>
    </row>
    <row r="97" spans="1:2" x14ac:dyDescent="0.2">
      <c r="A97" s="3">
        <v>36495</v>
      </c>
      <c r="B97" s="37">
        <f>'[20]Annual conv to Monthly'!$B134</f>
        <v>112.68781302170287</v>
      </c>
    </row>
    <row r="98" spans="1:2" x14ac:dyDescent="0.2">
      <c r="A98" s="3">
        <v>36526</v>
      </c>
      <c r="B98" s="37">
        <f>'[20]Annual conv to Monthly'!$B135</f>
        <v>113.20550742744629</v>
      </c>
    </row>
    <row r="99" spans="1:2" x14ac:dyDescent="0.2">
      <c r="A99" s="3">
        <v>36557</v>
      </c>
      <c r="B99" s="37">
        <f>'[20]Annual conv to Monthly'!$B136</f>
        <v>113.72558015157706</v>
      </c>
    </row>
    <row r="100" spans="1:2" x14ac:dyDescent="0.2">
      <c r="A100" s="3">
        <v>36586</v>
      </c>
      <c r="B100" s="37">
        <f>'[20]Annual conv to Monthly'!$B137</f>
        <v>114.24804212022897</v>
      </c>
    </row>
    <row r="101" spans="1:2" x14ac:dyDescent="0.2">
      <c r="A101" s="3">
        <v>36617</v>
      </c>
      <c r="B101" s="37">
        <f>'[20]Annual conv to Monthly'!$B138</f>
        <v>114.77290430973115</v>
      </c>
    </row>
    <row r="102" spans="1:2" x14ac:dyDescent="0.2">
      <c r="A102" s="3">
        <v>36647</v>
      </c>
      <c r="B102" s="37">
        <f>'[20]Annual conv to Monthly'!$B139</f>
        <v>115.30017774683859</v>
      </c>
    </row>
    <row r="103" spans="1:2" x14ac:dyDescent="0.2">
      <c r="A103" s="3">
        <v>36678</v>
      </c>
      <c r="B103" s="37">
        <f>'[20]Annual conv to Monthly'!$B140</f>
        <v>115.82987350896386</v>
      </c>
    </row>
    <row r="104" spans="1:2" x14ac:dyDescent="0.2">
      <c r="A104" s="3">
        <v>36708</v>
      </c>
      <c r="B104" s="37">
        <f>'[20]Annual conv to Monthly'!$B141</f>
        <v>116.36200272440982</v>
      </c>
    </row>
    <row r="105" spans="1:2" x14ac:dyDescent="0.2">
      <c r="A105" s="3">
        <v>36739</v>
      </c>
      <c r="B105" s="37">
        <f>'[20]Annual conv to Monthly'!$B142</f>
        <v>116.89657657260338</v>
      </c>
    </row>
    <row r="106" spans="1:2" x14ac:dyDescent="0.2">
      <c r="A106" s="3">
        <v>36770</v>
      </c>
      <c r="B106" s="37">
        <f>'[20]Annual conv to Monthly'!$B143</f>
        <v>117.43360628433041</v>
      </c>
    </row>
    <row r="107" spans="1:2" x14ac:dyDescent="0.2">
      <c r="A107" s="3">
        <v>36800</v>
      </c>
      <c r="B107" s="37">
        <f>'[20]Annual conv to Monthly'!$B144</f>
        <v>117.97310314197166</v>
      </c>
    </row>
    <row r="108" spans="1:2" x14ac:dyDescent="0.2">
      <c r="A108" s="3">
        <v>36831</v>
      </c>
      <c r="B108" s="37">
        <f>'[20]Annual conv to Monthly'!$B145</f>
        <v>118.51507847973981</v>
      </c>
    </row>
    <row r="109" spans="1:2" x14ac:dyDescent="0.2">
      <c r="A109" s="3">
        <v>36861</v>
      </c>
      <c r="B109" s="37">
        <f>'[20]Annual conv to Monthly'!$B146</f>
        <v>119.05954368391765</v>
      </c>
    </row>
    <row r="110" spans="1:2" x14ac:dyDescent="0.2">
      <c r="A110" s="3">
        <v>36892</v>
      </c>
      <c r="B110" s="37">
        <f>'[20]Annual conv to Monthly'!$B147</f>
        <v>119.23206305749976</v>
      </c>
    </row>
    <row r="111" spans="1:2" x14ac:dyDescent="0.2">
      <c r="A111" s="3">
        <v>36925</v>
      </c>
      <c r="B111" s="37">
        <f>'[20]Annual conv to Monthly'!$B148</f>
        <v>119.40483241468957</v>
      </c>
    </row>
    <row r="112" spans="1:2" x14ac:dyDescent="0.2">
      <c r="A112" s="3">
        <v>36958</v>
      </c>
      <c r="B112" s="37">
        <f>'[20]Annual conv to Monthly'!$B149</f>
        <v>119.57785211771773</v>
      </c>
    </row>
    <row r="113" spans="1:2" x14ac:dyDescent="0.2">
      <c r="A113" s="3">
        <v>36991</v>
      </c>
      <c r="B113" s="37">
        <f>'[20]Annual conv to Monthly'!$B150</f>
        <v>119.75112252933975</v>
      </c>
    </row>
    <row r="114" spans="1:2" x14ac:dyDescent="0.2">
      <c r="A114" s="3">
        <v>37024</v>
      </c>
      <c r="B114" s="37">
        <f>'[20]Annual conv to Monthly'!$B151</f>
        <v>119.92464401283681</v>
      </c>
    </row>
    <row r="115" spans="1:2" x14ac:dyDescent="0.2">
      <c r="A115" s="3">
        <v>37057</v>
      </c>
      <c r="B115" s="37">
        <f>'[20]Annual conv to Monthly'!$B152</f>
        <v>120.09841693201646</v>
      </c>
    </row>
    <row r="116" spans="1:2" x14ac:dyDescent="0.2">
      <c r="A116" s="3">
        <v>37090</v>
      </c>
      <c r="B116" s="37">
        <f>'[20]Annual conv to Monthly'!$B153</f>
        <v>120.27244165121344</v>
      </c>
    </row>
    <row r="117" spans="1:2" x14ac:dyDescent="0.2">
      <c r="A117" s="3">
        <v>37123</v>
      </c>
      <c r="B117" s="37">
        <f>'[20]Annual conv to Monthly'!$B154</f>
        <v>120.4467185352904</v>
      </c>
    </row>
    <row r="118" spans="1:2" x14ac:dyDescent="0.2">
      <c r="A118" s="3">
        <v>37156</v>
      </c>
      <c r="B118" s="37">
        <f>'[20]Annual conv to Monthly'!$B155</f>
        <v>120.62124794963869</v>
      </c>
    </row>
    <row r="119" spans="1:2" x14ac:dyDescent="0.2">
      <c r="A119" s="3">
        <v>37189</v>
      </c>
      <c r="B119" s="37">
        <f>'[20]Annual conv to Monthly'!$B156</f>
        <v>120.79603026017911</v>
      </c>
    </row>
    <row r="120" spans="1:2" x14ac:dyDescent="0.2">
      <c r="A120" s="3">
        <v>37222</v>
      </c>
      <c r="B120" s="37">
        <f>'[20]Annual conv to Monthly'!$B157</f>
        <v>120.9710658333627</v>
      </c>
    </row>
    <row r="121" spans="1:2" x14ac:dyDescent="0.2">
      <c r="A121" s="3">
        <v>37255</v>
      </c>
      <c r="B121" s="37">
        <f>'[20]Annual conv to Monthly'!$B158</f>
        <v>121.1463550361714</v>
      </c>
    </row>
    <row r="122" spans="1:2" x14ac:dyDescent="0.2">
      <c r="A122" s="310">
        <v>37275</v>
      </c>
      <c r="B122" s="37">
        <f>'[20]Annual conv to Monthly'!$B159</f>
        <v>121.50450639216388</v>
      </c>
    </row>
    <row r="123" spans="1:2" x14ac:dyDescent="0.2">
      <c r="A123" s="3">
        <v>37308</v>
      </c>
      <c r="B123" s="37">
        <f>'[20]Annual conv to Monthly'!$B160</f>
        <v>121.86371656989111</v>
      </c>
    </row>
    <row r="124" spans="1:2" x14ac:dyDescent="0.2">
      <c r="A124" s="3">
        <v>37341</v>
      </c>
      <c r="B124" s="37">
        <f>'[20]Annual conv to Monthly'!$B161</f>
        <v>122.22398869960362</v>
      </c>
    </row>
    <row r="125" spans="1:2" x14ac:dyDescent="0.2">
      <c r="A125" s="3">
        <v>37374</v>
      </c>
      <c r="B125" s="37">
        <f>'[20]Annual conv to Monthly'!$B162</f>
        <v>122.58532592080604</v>
      </c>
    </row>
    <row r="126" spans="1:2" x14ac:dyDescent="0.2">
      <c r="A126" s="3">
        <v>37407</v>
      </c>
      <c r="B126" s="37">
        <f>'[20]Annual conv to Monthly'!$B163</f>
        <v>122.9477313822845</v>
      </c>
    </row>
    <row r="127" spans="1:2" x14ac:dyDescent="0.2">
      <c r="A127" s="3">
        <v>37408</v>
      </c>
      <c r="B127" s="37">
        <f>'[20]Annual conv to Monthly'!$B164</f>
        <v>123.31120824213403</v>
      </c>
    </row>
    <row r="128" spans="1:2" x14ac:dyDescent="0.2">
      <c r="A128" s="3">
        <v>37440</v>
      </c>
      <c r="B128" s="37">
        <f>'[20]Annual conv to Monthly'!$B165</f>
        <v>123.67575966778612</v>
      </c>
    </row>
    <row r="129" spans="1:2" x14ac:dyDescent="0.2">
      <c r="A129" s="3">
        <v>37473</v>
      </c>
      <c r="B129" s="37">
        <f>'[20]Annual conv to Monthly'!$B166</f>
        <v>124.04138883603632</v>
      </c>
    </row>
    <row r="130" spans="1:2" x14ac:dyDescent="0.2">
      <c r="A130" s="3">
        <v>37506</v>
      </c>
      <c r="B130" s="37">
        <f>'[20]Annual conv to Monthly'!$B167</f>
        <v>124.40809893307186</v>
      </c>
    </row>
    <row r="131" spans="1:2" x14ac:dyDescent="0.2">
      <c r="A131" s="3">
        <v>37539</v>
      </c>
      <c r="B131" s="37">
        <f>'[20]Annual conv to Monthly'!$B168</f>
        <v>124.7758931544995</v>
      </c>
    </row>
    <row r="132" spans="1:2" x14ac:dyDescent="0.2">
      <c r="A132" s="3">
        <v>37572</v>
      </c>
      <c r="B132" s="37">
        <f>'[20]Annual conv to Monthly'!$B169</f>
        <v>125.14477470537335</v>
      </c>
    </row>
    <row r="133" spans="1:2" x14ac:dyDescent="0.2">
      <c r="A133" s="33">
        <v>37605</v>
      </c>
      <c r="B133" s="38">
        <f>'[20]Annual conv to Monthly'!$B170</f>
        <v>125.51474680022261</v>
      </c>
    </row>
    <row r="134" spans="1:2" x14ac:dyDescent="0.2">
      <c r="A134" s="3">
        <v>37622</v>
      </c>
      <c r="B134" s="37">
        <f>'[20]Annual conv to Monthly'!$B171</f>
        <v>125.66024937363977</v>
      </c>
    </row>
    <row r="135" spans="1:2" x14ac:dyDescent="0.2">
      <c r="A135" s="3">
        <v>37653</v>
      </c>
      <c r="B135" s="37">
        <f>'[20]Annual conv to Monthly'!$B172</f>
        <v>125.80592062045517</v>
      </c>
    </row>
    <row r="136" spans="1:2" x14ac:dyDescent="0.2">
      <c r="A136" s="3">
        <v>37681</v>
      </c>
      <c r="B136" s="37">
        <f>'[20]Annual conv to Monthly'!$B173</f>
        <v>125.9517607362029</v>
      </c>
    </row>
    <row r="137" spans="1:2" x14ac:dyDescent="0.2">
      <c r="A137" s="3">
        <v>37712</v>
      </c>
      <c r="B137" s="37">
        <f>'[20]Annual conv to Monthly'!$B174</f>
        <v>126.09776991664374</v>
      </c>
    </row>
    <row r="138" spans="1:2" x14ac:dyDescent="0.2">
      <c r="A138" s="3">
        <v>37742</v>
      </c>
      <c r="B138" s="37">
        <f>'[20]Annual conv to Monthly'!$B175</f>
        <v>126.2439483577654</v>
      </c>
    </row>
    <row r="139" spans="1:2" x14ac:dyDescent="0.2">
      <c r="A139" s="3">
        <v>37773</v>
      </c>
      <c r="B139" s="37">
        <f>'[20]Annual conv to Monthly'!$B176</f>
        <v>126.3902962557828</v>
      </c>
    </row>
    <row r="140" spans="1:2" x14ac:dyDescent="0.2">
      <c r="A140" s="3">
        <v>37803</v>
      </c>
      <c r="B140" s="37">
        <f>'[20]Annual conv to Monthly'!$B177</f>
        <v>126.5368138071383</v>
      </c>
    </row>
    <row r="141" spans="1:2" x14ac:dyDescent="0.2">
      <c r="A141" s="3">
        <v>37834</v>
      </c>
      <c r="B141" s="37">
        <f>'[20]Annual conv to Monthly'!$B178</f>
        <v>126.68350120850199</v>
      </c>
    </row>
    <row r="142" spans="1:2" x14ac:dyDescent="0.2">
      <c r="A142" s="3">
        <v>37865</v>
      </c>
      <c r="B142" s="37">
        <f>'[20]Annual conv to Monthly'!$B179</f>
        <v>126.83035865677196</v>
      </c>
    </row>
    <row r="143" spans="1:2" x14ac:dyDescent="0.2">
      <c r="A143" s="3">
        <v>37895</v>
      </c>
      <c r="B143" s="37">
        <f>'[20]Annual conv to Monthly'!$B180</f>
        <v>126.97738634907456</v>
      </c>
    </row>
    <row r="144" spans="1:2" x14ac:dyDescent="0.2">
      <c r="A144" s="3">
        <v>37926</v>
      </c>
      <c r="B144" s="37">
        <f>'[20]Annual conv to Monthly'!$B181</f>
        <v>127.12458448276465</v>
      </c>
    </row>
    <row r="145" spans="1:2" x14ac:dyDescent="0.2">
      <c r="A145" s="3">
        <v>37956</v>
      </c>
      <c r="B145" s="37">
        <f>'[20]Annual conv to Monthly'!$B182</f>
        <v>127.27195325542573</v>
      </c>
    </row>
    <row r="146" spans="1:2" x14ac:dyDescent="0.2">
      <c r="A146" s="3">
        <v>37987</v>
      </c>
      <c r="B146" s="37">
        <f>'[20]Annual conv to Monthly'!$B183</f>
        <v>127.53411264087498</v>
      </c>
    </row>
    <row r="147" spans="1:2" x14ac:dyDescent="0.2">
      <c r="A147" s="3">
        <v>38018</v>
      </c>
      <c r="B147" s="37">
        <f>'[20]Annual conv to Monthly'!$B184</f>
        <v>127.79681203173486</v>
      </c>
    </row>
    <row r="148" spans="1:2" x14ac:dyDescent="0.2">
      <c r="A148" s="3">
        <v>38047</v>
      </c>
      <c r="B148" s="37">
        <f>'[20]Annual conv to Monthly'!$B185</f>
        <v>128.06005254032812</v>
      </c>
    </row>
    <row r="149" spans="1:2" x14ac:dyDescent="0.2">
      <c r="A149" s="3">
        <v>38078</v>
      </c>
      <c r="B149" s="37">
        <f>'[20]Annual conv to Monthly'!$B186</f>
        <v>128.32383528126866</v>
      </c>
    </row>
    <row r="150" spans="1:2" x14ac:dyDescent="0.2">
      <c r="A150" s="3">
        <v>38108</v>
      </c>
      <c r="B150" s="37">
        <f>'[20]Annual conv to Monthly'!$B187</f>
        <v>128.58816137146633</v>
      </c>
    </row>
    <row r="151" spans="1:2" x14ac:dyDescent="0.2">
      <c r="A151" s="3">
        <v>38139</v>
      </c>
      <c r="B151" s="37">
        <f>'[20]Annual conv to Monthly'!$B188</f>
        <v>128.85303193013166</v>
      </c>
    </row>
    <row r="152" spans="1:2" x14ac:dyDescent="0.2">
      <c r="A152" s="3">
        <v>38169</v>
      </c>
      <c r="B152" s="37">
        <f>'[20]Annual conv to Monthly'!$B189</f>
        <v>129.11844807878055</v>
      </c>
    </row>
    <row r="153" spans="1:2" x14ac:dyDescent="0.2">
      <c r="A153" s="3">
        <v>38200</v>
      </c>
      <c r="B153" s="37">
        <f>'[20]Annual conv to Monthly'!$B190</f>
        <v>129.38441094123903</v>
      </c>
    </row>
    <row r="154" spans="1:2" x14ac:dyDescent="0.2">
      <c r="A154" s="3">
        <v>38231</v>
      </c>
      <c r="B154" s="37">
        <f>'[20]Annual conv to Monthly'!$B191</f>
        <v>129.65092164364802</v>
      </c>
    </row>
    <row r="155" spans="1:2" x14ac:dyDescent="0.2">
      <c r="A155" s="3">
        <v>38261</v>
      </c>
      <c r="B155" s="37">
        <f>'[20]Annual conv to Monthly'!$B192</f>
        <v>129.91798131446814</v>
      </c>
    </row>
    <row r="156" spans="1:2" x14ac:dyDescent="0.2">
      <c r="A156" s="3">
        <v>38292</v>
      </c>
      <c r="B156" s="37">
        <f>'[20]Annual conv to Monthly'!$B193</f>
        <v>130.18559108448443</v>
      </c>
    </row>
    <row r="157" spans="1:2" x14ac:dyDescent="0.2">
      <c r="A157" s="3">
        <v>38322</v>
      </c>
      <c r="B157" s="37">
        <f>'[20]Annual conv to Monthly'!$B194</f>
        <v>130.45375208681136</v>
      </c>
    </row>
    <row r="158" spans="1:2" x14ac:dyDescent="0.2">
      <c r="A158" s="3">
        <v>38353</v>
      </c>
      <c r="B158" s="37">
        <f>'[20]Annual conv to Monthly'!$B195</f>
        <v>130.74370215685079</v>
      </c>
    </row>
    <row r="159" spans="1:2" x14ac:dyDescent="0.2">
      <c r="A159" s="3">
        <v>38384</v>
      </c>
      <c r="B159" s="37">
        <f>'[20]Annual conv to Monthly'!$B196</f>
        <v>131.0342966778299</v>
      </c>
    </row>
    <row r="160" spans="1:2" x14ac:dyDescent="0.2">
      <c r="A160" s="3">
        <v>38412</v>
      </c>
      <c r="B160" s="37">
        <f>'[20]Annual conv to Monthly'!$B197</f>
        <v>131.32553708212293</v>
      </c>
    </row>
    <row r="161" spans="1:2" x14ac:dyDescent="0.2">
      <c r="A161" s="3">
        <v>38443</v>
      </c>
      <c r="B161" s="37">
        <f>'[20]Annual conv to Monthly'!$B198</f>
        <v>131.61742480528775</v>
      </c>
    </row>
    <row r="162" spans="1:2" x14ac:dyDescent="0.2">
      <c r="A162" s="3">
        <v>38473</v>
      </c>
      <c r="B162" s="37">
        <f>'[20]Annual conv to Monthly'!$B199</f>
        <v>131.90996128607298</v>
      </c>
    </row>
    <row r="163" spans="1:2" x14ac:dyDescent="0.2">
      <c r="A163" s="3">
        <v>38504</v>
      </c>
      <c r="B163" s="37">
        <f>'[20]Annual conv to Monthly'!$B200</f>
        <v>132.20314796642501</v>
      </c>
    </row>
    <row r="164" spans="1:2" x14ac:dyDescent="0.2">
      <c r="A164" s="3">
        <v>38534</v>
      </c>
      <c r="B164" s="37">
        <f>'[20]Annual conv to Monthly'!$B201</f>
        <v>132.49698629149512</v>
      </c>
    </row>
    <row r="165" spans="1:2" x14ac:dyDescent="0.2">
      <c r="A165" s="3">
        <v>38565</v>
      </c>
      <c r="B165" s="37">
        <f>'[20]Annual conv to Monthly'!$B202</f>
        <v>132.79147770964664</v>
      </c>
    </row>
    <row r="166" spans="1:2" x14ac:dyDescent="0.2">
      <c r="A166" s="3">
        <v>38596</v>
      </c>
      <c r="B166" s="37">
        <f>'[20]Annual conv to Monthly'!$B203</f>
        <v>133.08662367246211</v>
      </c>
    </row>
    <row r="167" spans="1:2" x14ac:dyDescent="0.2">
      <c r="A167" s="3">
        <v>38626</v>
      </c>
      <c r="B167" s="37">
        <f>'[20]Annual conv to Monthly'!$B204</f>
        <v>133.38242563475035</v>
      </c>
    </row>
    <row r="168" spans="1:2" x14ac:dyDescent="0.2">
      <c r="A168" s="3">
        <v>38657</v>
      </c>
      <c r="B168" s="37">
        <f>'[20]Annual conv to Monthly'!$B205</f>
        <v>133.67888505455369</v>
      </c>
    </row>
    <row r="169" spans="1:2" x14ac:dyDescent="0.2">
      <c r="A169" s="3">
        <v>38687</v>
      </c>
      <c r="B169" s="37">
        <f>'[20]Annual conv to Monthly'!$B206</f>
        <v>133.97600339315525</v>
      </c>
    </row>
    <row r="170" spans="1:2" x14ac:dyDescent="0.2">
      <c r="A170" s="3">
        <v>38718</v>
      </c>
      <c r="B170" s="37">
        <f>'[20]Annual conv to Monthly'!$B207</f>
        <v>134.25197202423305</v>
      </c>
    </row>
    <row r="171" spans="1:2" x14ac:dyDescent="0.2">
      <c r="A171" s="3">
        <v>38749</v>
      </c>
      <c r="B171" s="37">
        <f>'[20]Annual conv to Monthly'!$B208</f>
        <v>134.52850910550649</v>
      </c>
    </row>
    <row r="172" spans="1:2" x14ac:dyDescent="0.2">
      <c r="A172" s="3">
        <v>38777</v>
      </c>
      <c r="B172" s="37">
        <f>'[20]Annual conv to Monthly'!$B209</f>
        <v>134.80561580788986</v>
      </c>
    </row>
    <row r="173" spans="1:2" x14ac:dyDescent="0.2">
      <c r="A173" s="3">
        <v>38808</v>
      </c>
      <c r="B173" s="37">
        <f>'[20]Annual conv to Monthly'!$B210</f>
        <v>135.08329330470943</v>
      </c>
    </row>
    <row r="174" spans="1:2" x14ac:dyDescent="0.2">
      <c r="A174" s="3">
        <v>38838</v>
      </c>
      <c r="B174" s="37">
        <f>'[20]Annual conv to Monthly'!$B211</f>
        <v>135.36154277170829</v>
      </c>
    </row>
    <row r="175" spans="1:2" x14ac:dyDescent="0.2">
      <c r="A175" s="3">
        <v>38869</v>
      </c>
      <c r="B175" s="37">
        <f>'[20]Annual conv to Monthly'!$B212</f>
        <v>135.64036538705133</v>
      </c>
    </row>
    <row r="176" spans="1:2" x14ac:dyDescent="0.2">
      <c r="A176" s="3">
        <v>38899</v>
      </c>
      <c r="B176" s="37">
        <f>'[20]Annual conv to Monthly'!$B213</f>
        <v>135.9197623313303</v>
      </c>
    </row>
    <row r="177" spans="1:2" x14ac:dyDescent="0.2">
      <c r="A177" s="3">
        <v>38930</v>
      </c>
      <c r="B177" s="37">
        <f>'[20]Annual conv to Monthly'!$B214</f>
        <v>136.19973478756879</v>
      </c>
    </row>
    <row r="178" spans="1:2" x14ac:dyDescent="0.2">
      <c r="A178" s="3">
        <v>38961</v>
      </c>
      <c r="B178" s="37">
        <f>'[20]Annual conv to Monthly'!$B215</f>
        <v>136.48028394122719</v>
      </c>
    </row>
    <row r="179" spans="1:2" x14ac:dyDescent="0.2">
      <c r="A179" s="3">
        <v>38991</v>
      </c>
      <c r="B179" s="37">
        <f>'[20]Annual conv to Monthly'!$B216</f>
        <v>136.76141098020776</v>
      </c>
    </row>
    <row r="180" spans="1:2" x14ac:dyDescent="0.2">
      <c r="A180" s="3">
        <v>39022</v>
      </c>
      <c r="B180" s="37">
        <f>'[20]Annual conv to Monthly'!$B217</f>
        <v>137.04311709485967</v>
      </c>
    </row>
    <row r="181" spans="1:2" x14ac:dyDescent="0.2">
      <c r="A181" s="3">
        <v>39052</v>
      </c>
      <c r="B181" s="37">
        <f>'[20]Annual conv to Monthly'!$B218</f>
        <v>137.32540347798411</v>
      </c>
    </row>
    <row r="182" spans="1:2" x14ac:dyDescent="0.2">
      <c r="A182" s="3">
        <v>39083</v>
      </c>
      <c r="B182" s="37">
        <f>'[20]Annual conv to Monthly'!$B219</f>
        <v>137.552207546647</v>
      </c>
    </row>
    <row r="183" spans="1:2" x14ac:dyDescent="0.2">
      <c r="A183" s="3">
        <v>39114</v>
      </c>
      <c r="B183" s="37">
        <f>'[20]Annual conv to Monthly'!$B220</f>
        <v>137.77938620066888</v>
      </c>
    </row>
    <row r="184" spans="1:2" x14ac:dyDescent="0.2">
      <c r="A184" s="3">
        <v>39142</v>
      </c>
      <c r="B184" s="37">
        <f>'[20]Annual conv to Monthly'!$B221</f>
        <v>138.00694005870795</v>
      </c>
    </row>
    <row r="185" spans="1:2" x14ac:dyDescent="0.2">
      <c r="A185" s="3">
        <v>39173</v>
      </c>
      <c r="B185" s="37">
        <f>'[20]Annual conv to Monthly'!$B222</f>
        <v>138.23486974044414</v>
      </c>
    </row>
    <row r="186" spans="1:2" x14ac:dyDescent="0.2">
      <c r="A186" s="3">
        <v>39203</v>
      </c>
      <c r="B186" s="37">
        <f>'[20]Annual conv to Monthly'!$B223</f>
        <v>138.46317586658083</v>
      </c>
    </row>
    <row r="187" spans="1:2" x14ac:dyDescent="0.2">
      <c r="A187" s="3">
        <v>39234</v>
      </c>
      <c r="B187" s="37">
        <f>'[20]Annual conv to Monthly'!$B224</f>
        <v>138.69185905884657</v>
      </c>
    </row>
    <row r="188" spans="1:2" x14ac:dyDescent="0.2">
      <c r="A188" s="3">
        <v>39264</v>
      </c>
      <c r="B188" s="37">
        <f>'[20]Annual conv to Monthly'!$B225</f>
        <v>138.92091993999671</v>
      </c>
    </row>
    <row r="189" spans="1:2" x14ac:dyDescent="0.2">
      <c r="A189" s="3">
        <v>39295</v>
      </c>
      <c r="B189" s="37">
        <f>'[20]Annual conv to Monthly'!$B226</f>
        <v>139.15035913381516</v>
      </c>
    </row>
    <row r="190" spans="1:2" x14ac:dyDescent="0.2">
      <c r="A190" s="3">
        <v>39326</v>
      </c>
      <c r="B190" s="37">
        <f>'[20]Annual conv to Monthly'!$B227</f>
        <v>139.38017726511606</v>
      </c>
    </row>
    <row r="191" spans="1:2" x14ac:dyDescent="0.2">
      <c r="A191" s="3">
        <v>39356</v>
      </c>
      <c r="B191" s="37">
        <f>'[20]Annual conv to Monthly'!$B228</f>
        <v>139.61037495974546</v>
      </c>
    </row>
    <row r="192" spans="1:2" x14ac:dyDescent="0.2">
      <c r="A192" s="3">
        <v>39387</v>
      </c>
      <c r="B192" s="37">
        <f>'[20]Annual conv to Monthly'!$B229</f>
        <v>139.84095284458306</v>
      </c>
    </row>
    <row r="193" spans="1:2" x14ac:dyDescent="0.2">
      <c r="A193" s="3">
        <v>39417</v>
      </c>
      <c r="B193" s="37">
        <f>'[20]Annual conv to Monthly'!$B230</f>
        <v>140.07191154754381</v>
      </c>
    </row>
    <row r="194" spans="1:2" x14ac:dyDescent="0.2">
      <c r="A194" s="3">
        <v>39448</v>
      </c>
      <c r="B194" s="309">
        <f>'[20]Annual conv to Monthly'!$B231</f>
        <v>139.96642175819056</v>
      </c>
    </row>
    <row r="195" spans="1:2" x14ac:dyDescent="0.2">
      <c r="A195" s="3">
        <v>39479</v>
      </c>
      <c r="B195" s="309">
        <f>'[20]Annual conv to Monthly'!$B232</f>
        <v>139.86101141442734</v>
      </c>
    </row>
    <row r="196" spans="1:2" x14ac:dyDescent="0.2">
      <c r="A196" s="3">
        <v>39508</v>
      </c>
      <c r="B196" s="309">
        <f>'[20]Annual conv to Monthly'!$B233</f>
        <v>139.75568045642274</v>
      </c>
    </row>
    <row r="197" spans="1:2" x14ac:dyDescent="0.2">
      <c r="A197" s="3">
        <v>39539</v>
      </c>
      <c r="B197" s="309">
        <f>'[20]Annual conv to Monthly'!$B234</f>
        <v>139.65042882439042</v>
      </c>
    </row>
    <row r="198" spans="1:2" x14ac:dyDescent="0.2">
      <c r="A198" s="3">
        <v>39569</v>
      </c>
      <c r="B198" s="309">
        <f>'[20]Annual conv to Monthly'!$B235</f>
        <v>139.54525645858905</v>
      </c>
    </row>
    <row r="199" spans="1:2" x14ac:dyDescent="0.2">
      <c r="A199" s="3">
        <v>39600</v>
      </c>
      <c r="B199" s="309">
        <f>'[20]Annual conv to Monthly'!$B236</f>
        <v>139.44016329932234</v>
      </c>
    </row>
    <row r="200" spans="1:2" x14ac:dyDescent="0.2">
      <c r="A200" s="3">
        <v>39630</v>
      </c>
      <c r="B200" s="309">
        <f>'[20]Annual conv to Monthly'!$B237</f>
        <v>139.3351492869389</v>
      </c>
    </row>
    <row r="201" spans="1:2" x14ac:dyDescent="0.2">
      <c r="A201" s="3">
        <v>39661</v>
      </c>
      <c r="B201" s="309">
        <f>'[20]Annual conv to Monthly'!$B238</f>
        <v>139.23021436183228</v>
      </c>
    </row>
    <row r="202" spans="1:2" x14ac:dyDescent="0.2">
      <c r="A202" s="3">
        <v>39692</v>
      </c>
      <c r="B202" s="309">
        <f>'[20]Annual conv to Monthly'!$B239</f>
        <v>139.12535846444095</v>
      </c>
    </row>
    <row r="203" spans="1:2" x14ac:dyDescent="0.2">
      <c r="A203" s="3">
        <v>39722</v>
      </c>
      <c r="B203" s="309">
        <f>'[20]Annual conv to Monthly'!$B240</f>
        <v>139.02058153524823</v>
      </c>
    </row>
    <row r="204" spans="1:2" x14ac:dyDescent="0.2">
      <c r="A204" s="3">
        <v>39753</v>
      </c>
      <c r="B204" s="309">
        <f>'[20]Annual conv to Monthly'!$B241</f>
        <v>138.91588351478222</v>
      </c>
    </row>
    <row r="205" spans="1:2" x14ac:dyDescent="0.2">
      <c r="A205" s="3">
        <v>39783</v>
      </c>
      <c r="B205" s="309">
        <f>'[20]Annual conv to Monthly'!$B242</f>
        <v>138.8112643436159</v>
      </c>
    </row>
    <row r="206" spans="1:2" x14ac:dyDescent="0.2">
      <c r="A206" s="3">
        <v>39814</v>
      </c>
      <c r="B206" s="309">
        <f>'[20]Annual conv to Monthly'!$B243</f>
        <v>138.43555825854429</v>
      </c>
    </row>
    <row r="207" spans="1:2" x14ac:dyDescent="0.2">
      <c r="A207" s="3">
        <v>39845</v>
      </c>
      <c r="B207" s="309">
        <f>'[20]Annual conv to Monthly'!$B244</f>
        <v>138.06086905825526</v>
      </c>
    </row>
    <row r="208" spans="1:2" x14ac:dyDescent="0.2">
      <c r="A208" s="3">
        <v>39873</v>
      </c>
      <c r="B208" s="309">
        <f>'[20]Annual conv to Monthly'!$B245</f>
        <v>137.68719399045199</v>
      </c>
    </row>
    <row r="209" spans="1:2" x14ac:dyDescent="0.2">
      <c r="A209" s="3">
        <v>39904</v>
      </c>
      <c r="B209" s="309">
        <f>'[20]Annual conv to Monthly'!$B246</f>
        <v>137.31453031028698</v>
      </c>
    </row>
    <row r="210" spans="1:2" x14ac:dyDescent="0.2">
      <c r="A210" s="3">
        <v>39934</v>
      </c>
      <c r="B210" s="309">
        <f>'[20]Annual conv to Monthly'!$B247</f>
        <v>136.94287528034204</v>
      </c>
    </row>
    <row r="211" spans="1:2" x14ac:dyDescent="0.2">
      <c r="A211" s="3">
        <v>39965</v>
      </c>
      <c r="B211" s="309">
        <f>'[20]Annual conv to Monthly'!$B248</f>
        <v>136.57222617060793</v>
      </c>
    </row>
    <row r="212" spans="1:2" x14ac:dyDescent="0.2">
      <c r="A212" s="3">
        <v>39995</v>
      </c>
      <c r="B212" s="309">
        <f>'[20]Annual conv to Monthly'!$B249</f>
        <v>136.20258025846454</v>
      </c>
    </row>
    <row r="213" spans="1:2" x14ac:dyDescent="0.2">
      <c r="A213" s="3">
        <v>40026</v>
      </c>
      <c r="B213" s="309">
        <f>'[20]Annual conv to Monthly'!$B250</f>
        <v>135.83393482866074</v>
      </c>
    </row>
    <row r="214" spans="1:2" x14ac:dyDescent="0.2">
      <c r="A214" s="3">
        <v>40057</v>
      </c>
      <c r="B214" s="309">
        <f>'[20]Annual conv to Monthly'!$B251</f>
        <v>135.46628717329455</v>
      </c>
    </row>
    <row r="215" spans="1:2" x14ac:dyDescent="0.2">
      <c r="A215" s="3">
        <v>40087</v>
      </c>
      <c r="B215" s="309">
        <f>'[20]Annual conv to Monthly'!$B252</f>
        <v>135.09963459179312</v>
      </c>
    </row>
    <row r="216" spans="1:2" x14ac:dyDescent="0.2">
      <c r="A216" s="3">
        <v>40118</v>
      </c>
      <c r="B216" s="309">
        <f>'[20]Annual conv to Monthly'!$B253</f>
        <v>134.733974390893</v>
      </c>
    </row>
    <row r="217" spans="1:2" x14ac:dyDescent="0.2">
      <c r="A217" s="3">
        <v>40148</v>
      </c>
      <c r="B217" s="309">
        <f>'[20]Annual conv to Monthly'!$B254</f>
        <v>134.36930388462019</v>
      </c>
    </row>
    <row r="218" spans="1:2" x14ac:dyDescent="0.2">
      <c r="A218" s="3">
        <v>40179</v>
      </c>
      <c r="B218" s="309">
        <f>'[20]Annual conv to Monthly'!$B255</f>
        <v>134.72247169214629</v>
      </c>
    </row>
    <row r="219" spans="1:2" x14ac:dyDescent="0.2">
      <c r="A219" s="3">
        <v>40210</v>
      </c>
      <c r="B219" s="309">
        <f>'[20]Annual conv to Monthly'!$B256</f>
        <v>135.07656774367356</v>
      </c>
    </row>
    <row r="220" spans="1:2" x14ac:dyDescent="0.2">
      <c r="A220" s="3">
        <v>40238</v>
      </c>
      <c r="B220" s="309">
        <f>'[20]Annual conv to Monthly'!$B257</f>
        <v>135.43159447894001</v>
      </c>
    </row>
    <row r="221" spans="1:2" x14ac:dyDescent="0.2">
      <c r="A221" s="3">
        <v>40269</v>
      </c>
      <c r="B221" s="309">
        <f>'[20]Annual conv to Monthly'!$B258</f>
        <v>135.78755434409612</v>
      </c>
    </row>
    <row r="222" spans="1:2" x14ac:dyDescent="0.2">
      <c r="A222" s="3">
        <v>40299</v>
      </c>
      <c r="B222" s="309">
        <f>'[20]Annual conv to Monthly'!$B259</f>
        <v>136.14444979172168</v>
      </c>
    </row>
    <row r="223" spans="1:2" x14ac:dyDescent="0.2">
      <c r="A223" s="3">
        <v>40330</v>
      </c>
      <c r="B223" s="309">
        <f>'[20]Annual conv to Monthly'!$B260</f>
        <v>136.50228328084265</v>
      </c>
    </row>
    <row r="224" spans="1:2" x14ac:dyDescent="0.2">
      <c r="A224" s="3">
        <v>40360</v>
      </c>
      <c r="B224" s="309">
        <f>'[20]Annual conv to Monthly'!$B261</f>
        <v>136.86105727694815</v>
      </c>
    </row>
    <row r="225" spans="1:2" x14ac:dyDescent="0.2">
      <c r="A225" s="3">
        <v>40391</v>
      </c>
      <c r="B225" s="309">
        <f>'[20]Annual conv to Monthly'!$B262</f>
        <v>137.22077425200746</v>
      </c>
    </row>
    <row r="226" spans="1:2" x14ac:dyDescent="0.2">
      <c r="A226" s="3">
        <v>40422</v>
      </c>
      <c r="B226" s="309">
        <f>'[20]Annual conv to Monthly'!$B263</f>
        <v>137.58143668448704</v>
      </c>
    </row>
    <row r="227" spans="1:2" x14ac:dyDescent="0.2">
      <c r="A227" s="3">
        <v>40452</v>
      </c>
      <c r="B227" s="309">
        <f>'[20]Annual conv to Monthly'!$B264</f>
        <v>137.94304705936756</v>
      </c>
    </row>
    <row r="228" spans="1:2" x14ac:dyDescent="0.2">
      <c r="A228" s="3">
        <v>40483</v>
      </c>
      <c r="B228" s="309">
        <f>'[20]Annual conv to Monthly'!$B265</f>
        <v>138.30560786816105</v>
      </c>
    </row>
    <row r="229" spans="1:2" x14ac:dyDescent="0.2">
      <c r="A229" s="3">
        <v>40513</v>
      </c>
      <c r="B229" s="309">
        <f>'[20]Annual conv to Monthly'!$B266</f>
        <v>138.66912160892804</v>
      </c>
    </row>
    <row r="230" spans="1:2" x14ac:dyDescent="0.2">
      <c r="A230" s="3">
        <v>40544</v>
      </c>
      <c r="B230" s="309">
        <f>'[20]Annual conv to Monthly'!$B267</f>
        <v>138.87542873989656</v>
      </c>
    </row>
    <row r="231" spans="1:2" x14ac:dyDescent="0.2">
      <c r="A231" s="3">
        <v>40575</v>
      </c>
      <c r="B231" s="309">
        <f>'[20]Annual conv to Monthly'!$B268</f>
        <v>139.08204280749089</v>
      </c>
    </row>
    <row r="232" spans="1:2" x14ac:dyDescent="0.2">
      <c r="A232" s="3">
        <v>40603</v>
      </c>
      <c r="B232" s="309">
        <f>'[20]Annual conv to Monthly'!$B269</f>
        <v>139.28896426836073</v>
      </c>
    </row>
    <row r="233" spans="1:2" x14ac:dyDescent="0.2">
      <c r="A233" s="3">
        <v>40634</v>
      </c>
      <c r="B233" s="309">
        <f>'[20]Annual conv to Monthly'!$B270</f>
        <v>139.49619357983516</v>
      </c>
    </row>
    <row r="234" spans="1:2" x14ac:dyDescent="0.2">
      <c r="A234" s="3">
        <v>40664</v>
      </c>
      <c r="B234" s="309">
        <f>'[20]Annual conv to Monthly'!$B271</f>
        <v>139.70373119992371</v>
      </c>
    </row>
    <row r="235" spans="1:2" x14ac:dyDescent="0.2">
      <c r="A235" s="3">
        <v>40695</v>
      </c>
      <c r="B235" s="309">
        <f>'[20]Annual conv to Monthly'!$B272</f>
        <v>139.91157758731728</v>
      </c>
    </row>
    <row r="236" spans="1:2" x14ac:dyDescent="0.2">
      <c r="A236" s="3">
        <v>40725</v>
      </c>
      <c r="B236" s="309">
        <f>'[20]Annual conv to Monthly'!$B273</f>
        <v>140.11973320138921</v>
      </c>
    </row>
    <row r="237" spans="1:2" x14ac:dyDescent="0.2">
      <c r="A237" s="3">
        <v>40756</v>
      </c>
      <c r="B237" s="309">
        <f>'[20]Annual conv to Monthly'!$B274</f>
        <v>140.32819850219627</v>
      </c>
    </row>
    <row r="238" spans="1:2" x14ac:dyDescent="0.2">
      <c r="A238" s="3">
        <v>40787</v>
      </c>
      <c r="B238" s="309">
        <f>'[20]Annual conv to Monthly'!$B275</f>
        <v>140.53697395047968</v>
      </c>
    </row>
    <row r="239" spans="1:2" x14ac:dyDescent="0.2">
      <c r="A239" s="3">
        <v>40817</v>
      </c>
      <c r="B239" s="309">
        <f>'[20]Annual conv to Monthly'!$B276</f>
        <v>140.74606000766616</v>
      </c>
    </row>
    <row r="240" spans="1:2" x14ac:dyDescent="0.2">
      <c r="A240" s="3">
        <v>40848</v>
      </c>
      <c r="B240" s="309">
        <f>'[20]Annual conv to Monthly'!$B277</f>
        <v>140.9554571358689</v>
      </c>
    </row>
    <row r="241" spans="1:2" x14ac:dyDescent="0.2">
      <c r="A241" s="3">
        <v>40878</v>
      </c>
      <c r="B241" s="309">
        <f>'[20]Annual conv to Monthly'!$B278</f>
        <v>141.16516579788873</v>
      </c>
    </row>
    <row r="242" spans="1:2" x14ac:dyDescent="0.2">
      <c r="A242" s="3">
        <v>40909</v>
      </c>
      <c r="B242" s="309">
        <f>'[20]Annual conv to Monthly'!$B279</f>
        <v>141.35201968430201</v>
      </c>
    </row>
    <row r="243" spans="1:2" x14ac:dyDescent="0.2">
      <c r="A243" s="3">
        <v>40940</v>
      </c>
      <c r="B243" s="309">
        <f>'[20]Annual conv to Monthly'!$B280</f>
        <v>141.53912090067567</v>
      </c>
    </row>
    <row r="244" spans="1:2" x14ac:dyDescent="0.2">
      <c r="A244" s="3">
        <v>40969</v>
      </c>
      <c r="B244" s="309">
        <f>'[20]Annual conv to Monthly'!$B281</f>
        <v>141.72646977438913</v>
      </c>
    </row>
    <row r="245" spans="1:2" x14ac:dyDescent="0.2">
      <c r="A245" s="3">
        <v>41000</v>
      </c>
      <c r="B245" s="309">
        <f>'[20]Annual conv to Monthly'!$B282</f>
        <v>141.91406663325509</v>
      </c>
    </row>
    <row r="246" spans="1:2" x14ac:dyDescent="0.2">
      <c r="A246" s="3">
        <v>41030</v>
      </c>
      <c r="B246" s="309">
        <f>'[20]Annual conv to Monthly'!$B283</f>
        <v>142.10191180552019</v>
      </c>
    </row>
    <row r="247" spans="1:2" x14ac:dyDescent="0.2">
      <c r="A247" s="3">
        <v>41061</v>
      </c>
      <c r="B247" s="309">
        <f>'[20]Annual conv to Monthly'!$B284</f>
        <v>142.29000561986552</v>
      </c>
    </row>
    <row r="248" spans="1:2" x14ac:dyDescent="0.2">
      <c r="A248" s="3">
        <v>41091</v>
      </c>
      <c r="B248" s="309">
        <f>'[20]Annual conv to Monthly'!$B285</f>
        <v>142.47834840540727</v>
      </c>
    </row>
    <row r="249" spans="1:2" x14ac:dyDescent="0.2">
      <c r="A249" s="3">
        <v>41122</v>
      </c>
      <c r="B249" s="309">
        <f>'[20]Annual conv to Monthly'!$B286</f>
        <v>142.66694049169723</v>
      </c>
    </row>
    <row r="250" spans="1:2" x14ac:dyDescent="0.2">
      <c r="A250" s="3">
        <v>41153</v>
      </c>
      <c r="B250" s="309">
        <f>'[20]Annual conv to Monthly'!$B287</f>
        <v>142.85578220872344</v>
      </c>
    </row>
    <row r="251" spans="1:2" x14ac:dyDescent="0.2">
      <c r="A251" s="3">
        <v>41183</v>
      </c>
      <c r="B251" s="309">
        <f>'[20]Annual conv to Monthly'!$B288</f>
        <v>143.04487388691072</v>
      </c>
    </row>
    <row r="252" spans="1:2" x14ac:dyDescent="0.2">
      <c r="A252" s="3">
        <v>41214</v>
      </c>
      <c r="B252" s="309">
        <f>'[20]Annual conv to Monthly'!$B289</f>
        <v>143.23421585712123</v>
      </c>
    </row>
    <row r="253" spans="1:2" x14ac:dyDescent="0.2">
      <c r="A253" s="3">
        <v>41244</v>
      </c>
      <c r="B253" s="309">
        <f>'[20]Annual conv to Monthly'!$B290</f>
        <v>143.42380845065495</v>
      </c>
    </row>
    <row r="254" spans="1:2" x14ac:dyDescent="0.2">
      <c r="A254" s="3">
        <v>41275</v>
      </c>
      <c r="B254" s="309">
        <f>'[20]Annual conv to Monthly'!$B291</f>
        <v>143.60186734709282</v>
      </c>
    </row>
    <row r="255" spans="1:2" x14ac:dyDescent="0.2">
      <c r="A255" s="3">
        <v>41306</v>
      </c>
      <c r="B255" s="309">
        <f>'[20]Annual conv to Monthly'!$B292</f>
        <v>143.78014730146342</v>
      </c>
    </row>
    <row r="256" spans="1:2" x14ac:dyDescent="0.2">
      <c r="A256" s="3">
        <v>41334</v>
      </c>
      <c r="B256" s="309">
        <f>'[20]Annual conv to Monthly'!$B293</f>
        <v>143.95864858820744</v>
      </c>
    </row>
    <row r="257" spans="1:2" x14ac:dyDescent="0.2">
      <c r="A257" s="3">
        <v>41365</v>
      </c>
      <c r="B257" s="309">
        <f>'[20]Annual conv to Monthly'!$B294</f>
        <v>144.13737148210635</v>
      </c>
    </row>
    <row r="258" spans="1:2" x14ac:dyDescent="0.2">
      <c r="A258" s="3">
        <v>41395</v>
      </c>
      <c r="B258" s="309">
        <f>'[20]Annual conv to Monthly'!$B295</f>
        <v>144.31631625828265</v>
      </c>
    </row>
    <row r="259" spans="1:2" x14ac:dyDescent="0.2">
      <c r="A259" s="3">
        <v>41426</v>
      </c>
      <c r="B259" s="309">
        <f>'[20]Annual conv to Monthly'!$B296</f>
        <v>144.49548319220051</v>
      </c>
    </row>
    <row r="260" spans="1:2" x14ac:dyDescent="0.2">
      <c r="A260" s="3">
        <v>41456</v>
      </c>
      <c r="B260" s="309">
        <f>'[20]Annual conv to Monthly'!$B297</f>
        <v>144.67487255966603</v>
      </c>
    </row>
    <row r="261" spans="1:2" x14ac:dyDescent="0.2">
      <c r="A261" s="3">
        <v>41487</v>
      </c>
      <c r="B261" s="309">
        <f>'[20]Annual conv to Monthly'!$B298</f>
        <v>144.85448463682772</v>
      </c>
    </row>
    <row r="262" spans="1:2" x14ac:dyDescent="0.2">
      <c r="A262" s="3">
        <v>41518</v>
      </c>
      <c r="B262" s="309">
        <f>'[20]Annual conv to Monthly'!$B299</f>
        <v>145.03431970017692</v>
      </c>
    </row>
    <row r="263" spans="1:2" x14ac:dyDescent="0.2">
      <c r="A263" s="3">
        <v>41548</v>
      </c>
      <c r="B263" s="309">
        <f>'[20]Annual conv to Monthly'!$B300</f>
        <v>145.21437802654827</v>
      </c>
    </row>
    <row r="264" spans="1:2" x14ac:dyDescent="0.2">
      <c r="A264" s="3">
        <v>41579</v>
      </c>
      <c r="B264" s="309">
        <f>'[20]Annual conv to Monthly'!$B301</f>
        <v>145.39465989312006</v>
      </c>
    </row>
    <row r="265" spans="1:2" x14ac:dyDescent="0.2">
      <c r="A265" s="3">
        <v>41609</v>
      </c>
      <c r="B265" s="309">
        <f>'[20]Annual conv to Monthly'!$B302</f>
        <v>145.57516557741477</v>
      </c>
    </row>
    <row r="266" spans="1:2" x14ac:dyDescent="0.2">
      <c r="A266" s="3">
        <v>41640</v>
      </c>
      <c r="B266" s="309">
        <f>'[20]Annual conv to Monthly'!$B303</f>
        <v>145.85128582788457</v>
      </c>
    </row>
    <row r="267" spans="1:2" x14ac:dyDescent="0.2">
      <c r="A267" s="3">
        <v>41671</v>
      </c>
      <c r="B267" s="309">
        <f>'[20]Annual conv to Monthly'!$B304</f>
        <v>146.12792981049245</v>
      </c>
    </row>
    <row r="268" spans="1:2" x14ac:dyDescent="0.2">
      <c r="A268" s="3">
        <v>41699</v>
      </c>
      <c r="B268" s="309">
        <f>'[20]Annual conv to Monthly'!$B305</f>
        <v>146.40509851862936</v>
      </c>
    </row>
    <row r="269" spans="1:2" x14ac:dyDescent="0.2">
      <c r="A269" s="3">
        <v>41730</v>
      </c>
      <c r="B269" s="309">
        <f>'[20]Annual conv to Monthly'!$B306</f>
        <v>146.68279294757042</v>
      </c>
    </row>
    <row r="270" spans="1:2" x14ac:dyDescent="0.2">
      <c r="A270" s="3">
        <v>41760</v>
      </c>
      <c r="B270" s="309">
        <f>'[20]Annual conv to Monthly'!$B307</f>
        <v>146.96101409447857</v>
      </c>
    </row>
    <row r="271" spans="1:2" x14ac:dyDescent="0.2">
      <c r="A271" s="3">
        <v>41791</v>
      </c>
      <c r="B271" s="309">
        <f>'[20]Annual conv to Monthly'!$B308</f>
        <v>147.23976295840814</v>
      </c>
    </row>
    <row r="272" spans="1:2" x14ac:dyDescent="0.2">
      <c r="A272" s="3">
        <v>41821</v>
      </c>
      <c r="B272" s="309">
        <f>'[20]Annual conv to Monthly'!$B309</f>
        <v>147.5190405403084</v>
      </c>
    </row>
    <row r="273" spans="1:2" x14ac:dyDescent="0.2">
      <c r="A273" s="3">
        <v>41852</v>
      </c>
      <c r="B273" s="309">
        <f>'[20]Annual conv to Monthly'!$B310</f>
        <v>147.79884784302718</v>
      </c>
    </row>
    <row r="274" spans="1:2" x14ac:dyDescent="0.2">
      <c r="A274" s="3">
        <v>41883</v>
      </c>
      <c r="B274" s="309">
        <f>'[20]Annual conv to Monthly'!$B311</f>
        <v>148.07918587131445</v>
      </c>
    </row>
    <row r="275" spans="1:2" x14ac:dyDescent="0.2">
      <c r="A275" s="3">
        <v>41913</v>
      </c>
      <c r="B275" s="309">
        <f>'[20]Annual conv to Monthly'!$B312</f>
        <v>148.36005563182596</v>
      </c>
    </row>
    <row r="276" spans="1:2" x14ac:dyDescent="0.2">
      <c r="A276" s="3">
        <v>41944</v>
      </c>
      <c r="B276" s="309">
        <f>'[20]Annual conv to Monthly'!$B313</f>
        <v>148.64145813312683</v>
      </c>
    </row>
    <row r="277" spans="1:2" x14ac:dyDescent="0.2">
      <c r="A277" s="3">
        <v>41974</v>
      </c>
      <c r="B277" s="37">
        <f>'[20]Annual conv to Monthly'!$B314</f>
        <v>148.9233943856953</v>
      </c>
    </row>
    <row r="278" spans="1:2" x14ac:dyDescent="0.2">
      <c r="B278" s="309"/>
    </row>
    <row r="279" spans="1:2" x14ac:dyDescent="0.2">
      <c r="B279" s="309"/>
    </row>
    <row r="280" spans="1:2" x14ac:dyDescent="0.2">
      <c r="B280" s="309"/>
    </row>
    <row r="281" spans="1:2" x14ac:dyDescent="0.2">
      <c r="B281" s="309"/>
    </row>
    <row r="282" spans="1:2" x14ac:dyDescent="0.2">
      <c r="B282" s="309"/>
    </row>
    <row r="283" spans="1:2" x14ac:dyDescent="0.2">
      <c r="B283" s="309"/>
    </row>
    <row r="284" spans="1:2" x14ac:dyDescent="0.2">
      <c r="B284" s="309"/>
    </row>
    <row r="285" spans="1:2" x14ac:dyDescent="0.2">
      <c r="B285" s="309"/>
    </row>
    <row r="286" spans="1:2" x14ac:dyDescent="0.2">
      <c r="B286" s="309"/>
    </row>
    <row r="287" spans="1:2" x14ac:dyDescent="0.2">
      <c r="B287" s="309"/>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X74"/>
  <sheetViews>
    <sheetView tabSelected="1" topLeftCell="G19" workbookViewId="0">
      <selection activeCell="T48" sqref="T48"/>
    </sheetView>
  </sheetViews>
  <sheetFormatPr defaultRowHeight="12.75" x14ac:dyDescent="0.2"/>
  <sheetData>
    <row r="1" spans="1:24" x14ac:dyDescent="0.2">
      <c r="A1" s="20" t="s">
        <v>301</v>
      </c>
      <c r="F1" s="212"/>
      <c r="G1" s="212"/>
    </row>
    <row r="2" spans="1:24" x14ac:dyDescent="0.2">
      <c r="A2" s="264" t="s">
        <v>306</v>
      </c>
      <c r="B2" s="213"/>
      <c r="F2" s="212"/>
      <c r="G2" s="212"/>
    </row>
    <row r="3" spans="1:24" x14ac:dyDescent="0.2">
      <c r="A3" s="223" t="s">
        <v>302</v>
      </c>
      <c r="B3" s="223"/>
      <c r="C3" s="223"/>
      <c r="D3" s="223"/>
      <c r="E3" s="223"/>
      <c r="F3" s="217"/>
      <c r="G3" s="217"/>
    </row>
    <row r="4" spans="1:24" x14ac:dyDescent="0.2">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76"/>
      <c r="C8" s="276"/>
      <c r="D8" s="276"/>
      <c r="E8" s="276"/>
      <c r="F8" s="276"/>
      <c r="G8" s="372">
        <f>[21]cansim6614927908536964073!$B$19</f>
        <v>169.2</v>
      </c>
      <c r="H8" s="372">
        <f>[21]cansim6614927908536964073!$B$31</f>
        <v>168.4</v>
      </c>
      <c r="I8" s="372">
        <f>[21]cansim6614927908536964073!$B$43</f>
        <v>178.7</v>
      </c>
      <c r="J8" s="372">
        <f>[21]cansim6614927908536964073!$B$55</f>
        <v>177.3</v>
      </c>
      <c r="K8" s="372">
        <f>[21]cansim6614927908536964073!$B$67</f>
        <v>184.2</v>
      </c>
      <c r="L8" s="372">
        <f>[21]cansim6614927908536964073!$B$79</f>
        <v>184.2</v>
      </c>
      <c r="M8" s="372">
        <f>[21]cansim6614927908536964073!$B$91</f>
        <v>188.4</v>
      </c>
      <c r="N8" s="372">
        <f>[21]cansim6614927908536964073!$B$103</f>
        <v>191</v>
      </c>
      <c r="O8" s="372">
        <f>[21]cansim6614927908536964073!$B$115</f>
        <v>198.8</v>
      </c>
      <c r="P8" s="372">
        <f>[21]cansim6614927908536964073!$B$127</f>
        <v>188.4</v>
      </c>
      <c r="Q8" s="372">
        <f>[21]cansim6614927908536964073!$B$139</f>
        <v>188.1</v>
      </c>
      <c r="R8" s="372">
        <f>[21]cansim6614927908536964073!$B$151</f>
        <v>200.2</v>
      </c>
      <c r="S8" s="372">
        <f>[21]cansim6614927908536964073!$B$163</f>
        <v>196.5</v>
      </c>
      <c r="T8" s="372">
        <f>[21]cansim6614927908536964073!$B$175</f>
        <v>189.5</v>
      </c>
      <c r="U8" s="372">
        <f>[21]cansim6614927908536964073!$B$187</f>
        <v>194.1</v>
      </c>
      <c r="V8" s="372">
        <f>[21]cansim6614927908536964073!$B$199</f>
        <v>195.6</v>
      </c>
      <c r="W8" s="219"/>
      <c r="X8" s="219"/>
    </row>
    <row r="9" spans="1:24" x14ac:dyDescent="0.2">
      <c r="A9" s="218" t="s">
        <v>194</v>
      </c>
      <c r="B9" s="276"/>
      <c r="C9" s="276"/>
      <c r="D9" s="276"/>
      <c r="E9" s="276"/>
      <c r="F9" s="276"/>
      <c r="G9" s="372">
        <f>[21]cansim6614927908536964073!$B$20</f>
        <v>167.7</v>
      </c>
      <c r="H9" s="372">
        <f>[21]cansim6614927908536964073!$B$32</f>
        <v>171.2</v>
      </c>
      <c r="I9" s="372">
        <f>[21]cansim6614927908536964073!$B$44</f>
        <v>177.7</v>
      </c>
      <c r="J9" s="372">
        <f>[21]cansim6614927908536964073!$B$56</f>
        <v>180.6</v>
      </c>
      <c r="K9" s="372">
        <f>[21]cansim6614927908536964073!$B$68</f>
        <v>184.2</v>
      </c>
      <c r="L9" s="372">
        <f>[21]cansim6614927908536964073!$B$80</f>
        <v>184.4</v>
      </c>
      <c r="M9" s="372">
        <f>[21]cansim6614927908536964073!$B$92</f>
        <v>189.2</v>
      </c>
      <c r="N9" s="372">
        <f>[21]cansim6614927908536964073!$B$104</f>
        <v>188.9</v>
      </c>
      <c r="O9" s="372">
        <f>[21]cansim6614927908536964073!$B$116</f>
        <v>200</v>
      </c>
      <c r="P9" s="372">
        <f>[21]cansim6614927908536964073!$B$128</f>
        <v>186.4</v>
      </c>
      <c r="Q9" s="372">
        <f>[21]cansim6614927908536964073!$B$140</f>
        <v>189.8</v>
      </c>
      <c r="R9" s="372">
        <f>[21]cansim6614927908536964073!$B$152</f>
        <v>201.6</v>
      </c>
      <c r="S9" s="372">
        <f>[21]cansim6614927908536964073!$B$164</f>
        <v>194</v>
      </c>
      <c r="T9" s="372">
        <f>[21]cansim6614927908536964073!$B$176</f>
        <v>189.9</v>
      </c>
      <c r="U9" s="372">
        <f>[21]cansim6614927908536964073!$B$188</f>
        <v>194.8</v>
      </c>
      <c r="V9" s="372">
        <f>[21]cansim6614927908536964073!$B$200</f>
        <v>197.1</v>
      </c>
      <c r="W9" s="219"/>
      <c r="X9" s="219"/>
    </row>
    <row r="10" spans="1:24" x14ac:dyDescent="0.2">
      <c r="A10" s="218" t="s">
        <v>195</v>
      </c>
      <c r="B10" s="276"/>
      <c r="C10" s="276"/>
      <c r="D10" s="276"/>
      <c r="E10" s="276"/>
      <c r="F10" s="372">
        <f>[21]cansim6614927908536964073!$B$9</f>
        <v>164.6</v>
      </c>
      <c r="G10" s="372">
        <f>[21]cansim6614927908536964073!$B$21</f>
        <v>167</v>
      </c>
      <c r="H10" s="372">
        <f>[21]cansim6614927908536964073!$B$33</f>
        <v>174.2</v>
      </c>
      <c r="I10" s="372">
        <f>[21]cansim6614927908536964073!$B$45</f>
        <v>176.2</v>
      </c>
      <c r="J10" s="372">
        <f>[21]cansim6614927908536964073!$B$57</f>
        <v>182.7</v>
      </c>
      <c r="K10" s="372">
        <f>[21]cansim6614927908536964073!$B$69</f>
        <v>186.2</v>
      </c>
      <c r="L10" s="372">
        <f>[21]cansim6614927908536964073!$B$81</f>
        <v>184.1</v>
      </c>
      <c r="M10" s="372">
        <f>[21]cansim6614927908536964073!$B$93</f>
        <v>193.1</v>
      </c>
      <c r="N10" s="372">
        <f>[21]cansim6614927908536964073!$B$105</f>
        <v>187.1</v>
      </c>
      <c r="O10" s="372">
        <f>[21]cansim6614927908536964073!$B$117</f>
        <v>199.3</v>
      </c>
      <c r="P10" s="372">
        <f>[21]cansim6614927908536964073!$B$129</f>
        <v>186.9</v>
      </c>
      <c r="Q10" s="372">
        <f>[21]cansim6614927908536964073!$B$141</f>
        <v>192</v>
      </c>
      <c r="R10" s="372">
        <f>[21]cansim6614927908536964073!$B$153</f>
        <v>203.4</v>
      </c>
      <c r="S10" s="372">
        <f>[21]cansim6614927908536964073!$B$165</f>
        <v>190.6</v>
      </c>
      <c r="T10" s="372">
        <f>[21]cansim6614927908536964073!$B$177</f>
        <v>191.5</v>
      </c>
      <c r="U10" s="372">
        <f>[21]cansim6614927908536964073!$B$189</f>
        <v>195.8</v>
      </c>
      <c r="V10" s="372">
        <f>[21]cansim6614927908536964073!$B$201</f>
        <v>197.9</v>
      </c>
      <c r="W10" s="219"/>
      <c r="X10" s="219"/>
    </row>
    <row r="11" spans="1:24" x14ac:dyDescent="0.2">
      <c r="A11" s="218" t="s">
        <v>196</v>
      </c>
      <c r="B11" s="276"/>
      <c r="C11" s="276"/>
      <c r="D11" s="276"/>
      <c r="E11" s="276"/>
      <c r="F11" s="372">
        <f>[21]cansim6614927908536964073!$B$10</f>
        <v>165.7</v>
      </c>
      <c r="G11" s="372">
        <f>[21]cansim6614927908536964073!$B$22</f>
        <v>166.5</v>
      </c>
      <c r="H11" s="372">
        <f>[21]cansim6614927908536964073!$B$34</f>
        <v>174.5</v>
      </c>
      <c r="I11" s="372">
        <f>[21]cansim6614927908536964073!$B$46</f>
        <v>175.8</v>
      </c>
      <c r="J11" s="372">
        <f>[21]cansim6614927908536964073!$B$58</f>
        <v>185.7</v>
      </c>
      <c r="K11" s="372">
        <f>[21]cansim6614927908536964073!$B$70</f>
        <v>186.1</v>
      </c>
      <c r="L11" s="372">
        <f>[21]cansim6614927908536964073!$B$82</f>
        <v>184.2</v>
      </c>
      <c r="M11" s="372">
        <f>[21]cansim6614927908536964073!$B$94</f>
        <v>192.3</v>
      </c>
      <c r="N11" s="372">
        <f>[21]cansim6614927908536964073!$B$106</f>
        <v>186.1</v>
      </c>
      <c r="O11" s="372">
        <f>[21]cansim6614927908536964073!$B$118</f>
        <v>197.4</v>
      </c>
      <c r="P11" s="372">
        <f>[21]cansim6614927908536964073!$B$130</f>
        <v>188.6</v>
      </c>
      <c r="Q11" s="372">
        <f>[21]cansim6614927908536964073!$B$142</f>
        <v>195.1</v>
      </c>
      <c r="R11" s="372">
        <f>[21]cansim6614927908536964073!$B$154</f>
        <v>203.3</v>
      </c>
      <c r="S11" s="372">
        <f>[21]cansim6614927908536964073!$B$166</f>
        <v>186.1</v>
      </c>
      <c r="T11" s="372">
        <f>[21]cansim6614927908536964073!$B$178</f>
        <v>192.6</v>
      </c>
      <c r="U11" s="372">
        <f>[21]cansim6614927908536964073!$B$190</f>
        <v>197.1</v>
      </c>
      <c r="V11" s="372">
        <f>[21]cansim6614927908536964073!$B$202</f>
        <v>199.1</v>
      </c>
      <c r="W11" s="219"/>
      <c r="X11" s="219"/>
    </row>
    <row r="12" spans="1:24" x14ac:dyDescent="0.2">
      <c r="A12" s="218" t="s">
        <v>86</v>
      </c>
      <c r="B12" s="276"/>
      <c r="C12" s="276"/>
      <c r="D12" s="276"/>
      <c r="E12" s="276"/>
      <c r="F12" s="372">
        <f>[21]cansim6614927908536964073!$B$11</f>
        <v>167</v>
      </c>
      <c r="G12" s="372">
        <f>[21]cansim6614927908536964073!$B$23</f>
        <v>167</v>
      </c>
      <c r="H12" s="372">
        <f>[21]cansim6614927908536964073!$B$35</f>
        <v>173.4</v>
      </c>
      <c r="I12" s="372">
        <f>[21]cansim6614927908536964073!$B$47</f>
        <v>175</v>
      </c>
      <c r="J12" s="372">
        <f>[21]cansim6614927908536964073!$B$59</f>
        <v>189.6</v>
      </c>
      <c r="K12" s="372">
        <f>[21]cansim6614927908536964073!$B$71</f>
        <v>185.3</v>
      </c>
      <c r="L12" s="372">
        <f>[21]cansim6614927908536964073!$B$83</f>
        <v>184.9</v>
      </c>
      <c r="M12" s="372">
        <f>[21]cansim6614927908536964073!$B$95</f>
        <v>192</v>
      </c>
      <c r="N12" s="372">
        <f>[21]cansim6614927908536964073!$B$107</f>
        <v>185.4</v>
      </c>
      <c r="O12" s="372">
        <f>[21]cansim6614927908536964073!$B$119</f>
        <v>194.9</v>
      </c>
      <c r="P12" s="372">
        <f>[21]cansim6614927908536964073!$B$131</f>
        <v>191.9</v>
      </c>
      <c r="Q12" s="372">
        <f>[21]cansim6614927908536964073!$B$143</f>
        <v>197.1</v>
      </c>
      <c r="R12" s="372">
        <f>[21]cansim6614927908536964073!$B$155</f>
        <v>201.8</v>
      </c>
      <c r="S12" s="372">
        <f>[21]cansim6614927908536964073!$B$167</f>
        <v>183.5</v>
      </c>
      <c r="T12" s="372">
        <f>[21]cansim6614927908536964073!$B$179</f>
        <v>194.3</v>
      </c>
      <c r="U12" s="372">
        <f>[21]cansim6614927908536964073!$B$191</f>
        <v>197.2</v>
      </c>
      <c r="V12" s="372">
        <f>[21]cansim6614927908536964073!$B$203</f>
        <v>201.5</v>
      </c>
      <c r="W12" s="219"/>
      <c r="X12" s="219"/>
    </row>
    <row r="13" spans="1:24" x14ac:dyDescent="0.2">
      <c r="A13" s="218" t="s">
        <v>197</v>
      </c>
      <c r="B13" s="276"/>
      <c r="C13" s="276"/>
      <c r="D13" s="276"/>
      <c r="E13" s="276"/>
      <c r="F13" s="372">
        <f>[21]cansim6614927908536964073!$B$12</f>
        <v>169</v>
      </c>
      <c r="G13" s="372">
        <f>[21]cansim6614927908536964073!$B$24</f>
        <v>167.1</v>
      </c>
      <c r="H13" s="372">
        <f>[21]cansim6614927908536964073!$B$36</f>
        <v>173.5</v>
      </c>
      <c r="I13" s="372">
        <f>[21]cansim6614927908536964073!$B$48</f>
        <v>173.5</v>
      </c>
      <c r="J13" s="372">
        <f>[21]cansim6614927908536964073!$B$60</f>
        <v>192.7</v>
      </c>
      <c r="K13" s="372">
        <f>[21]cansim6614927908536964073!$B$72</f>
        <v>184</v>
      </c>
      <c r="L13" s="372">
        <f>[21]cansim6614927908536964073!$B$84</f>
        <v>186.2</v>
      </c>
      <c r="M13" s="372">
        <f>[21]cansim6614927908536964073!$B$96</f>
        <v>190.6</v>
      </c>
      <c r="N13" s="372">
        <f>[21]cansim6614927908536964073!$B$108</f>
        <v>184.2</v>
      </c>
      <c r="O13" s="372">
        <f>[21]cansim6614927908536964073!$B$120</f>
        <v>195.2</v>
      </c>
      <c r="P13" s="372">
        <f>[21]cansim6614927908536964073!$B$132</f>
        <v>193.5</v>
      </c>
      <c r="Q13" s="372">
        <f>[21]cansim6614927908536964073!$B$144</f>
        <v>195.6</v>
      </c>
      <c r="R13" s="372">
        <f>[21]cansim6614927908536964073!$B$156</f>
        <v>201.4</v>
      </c>
      <c r="S13" s="372">
        <f>[21]cansim6614927908536964073!$B$168</f>
        <v>183.4</v>
      </c>
      <c r="T13" s="372">
        <f>[21]cansim6614927908536964073!$B$180</f>
        <v>195.9</v>
      </c>
      <c r="U13" s="372">
        <f>[21]cansim6614927908536964073!$B$192</f>
        <v>197.3</v>
      </c>
      <c r="V13" s="372">
        <f>[21]cansim6614927908536964073!$B$204</f>
        <v>203.2</v>
      </c>
      <c r="W13" s="219"/>
      <c r="X13" s="219"/>
    </row>
    <row r="14" spans="1:24" x14ac:dyDescent="0.2">
      <c r="A14" s="218" t="s">
        <v>198</v>
      </c>
      <c r="B14" s="276"/>
      <c r="C14" s="276"/>
      <c r="D14" s="276"/>
      <c r="E14" s="276"/>
      <c r="F14" s="372">
        <f>[21]cansim6614927908536964073!$B$13</f>
        <v>169.1</v>
      </c>
      <c r="G14" s="372">
        <f>[21]cansim6614927908536964073!$B$25</f>
        <v>168.1</v>
      </c>
      <c r="H14" s="372">
        <f>[21]cansim6614927908536964073!$B$37</f>
        <v>175</v>
      </c>
      <c r="I14" s="372">
        <f>[21]cansim6614927908536964073!$B$49</f>
        <v>171.3</v>
      </c>
      <c r="J14" s="372">
        <f>[21]cansim6614927908536964073!$B$61</f>
        <v>193.7</v>
      </c>
      <c r="K14" s="372">
        <f>[21]cansim6614927908536964073!$B$73</f>
        <v>183.2</v>
      </c>
      <c r="L14" s="372">
        <f>[21]cansim6614927908536964073!$B$85</f>
        <v>187.5</v>
      </c>
      <c r="M14" s="372">
        <f>[21]cansim6614927908536964073!$B$97</f>
        <v>192.4</v>
      </c>
      <c r="N14" s="372">
        <f>[21]cansim6614927908536964073!$B$109</f>
        <v>184.2</v>
      </c>
      <c r="O14" s="372">
        <f>[21]cansim6614927908536964073!$B$121</f>
        <v>194.5</v>
      </c>
      <c r="P14" s="372">
        <f>[21]cansim6614927908536964073!$B$133</f>
        <v>194.7</v>
      </c>
      <c r="Q14" s="372">
        <f>[21]cansim6614927908536964073!$B$145</f>
        <v>193</v>
      </c>
      <c r="R14" s="372">
        <f>[21]cansim6614927908536964073!$B$157</f>
        <v>201.1</v>
      </c>
      <c r="S14" s="372">
        <f>[21]cansim6614927908536964073!$B$169</f>
        <v>185.3</v>
      </c>
      <c r="T14" s="372">
        <f>[21]cansim6614927908536964073!$B$181</f>
        <v>194.9</v>
      </c>
      <c r="U14" s="372">
        <f>[21]cansim6614927908536964073!$B$193</f>
        <v>196.7</v>
      </c>
      <c r="V14" s="372">
        <f>[21]cansim6614927908536964073!$B$205</f>
        <v>204.8</v>
      </c>
      <c r="W14" s="219"/>
      <c r="X14" s="219"/>
    </row>
    <row r="15" spans="1:24" x14ac:dyDescent="0.2">
      <c r="A15" s="218" t="s">
        <v>199</v>
      </c>
      <c r="B15" s="276"/>
      <c r="C15" s="276"/>
      <c r="D15" s="276"/>
      <c r="E15" s="276"/>
      <c r="F15" s="372">
        <f>[21]cansim6614927908536964073!$B$14</f>
        <v>170.7</v>
      </c>
      <c r="G15" s="372">
        <f>[21]cansim6614927908536964073!$B$26</f>
        <v>168.4</v>
      </c>
      <c r="H15" s="372">
        <f>[21]cansim6614927908536964073!$B$38</f>
        <v>176.2</v>
      </c>
      <c r="I15" s="372">
        <f>[21]cansim6614927908536964073!$B$50</f>
        <v>172.4</v>
      </c>
      <c r="J15" s="372">
        <f>[21]cansim6614927908536964073!$B$62</f>
        <v>193.3</v>
      </c>
      <c r="K15" s="372">
        <f>[21]cansim6614927908536964073!$B$74</f>
        <v>182.1</v>
      </c>
      <c r="L15" s="372">
        <f>[21]cansim6614927908536964073!$B$86</f>
        <v>190</v>
      </c>
      <c r="M15" s="372">
        <f>[21]cansim6614927908536964073!$B$98</f>
        <v>194.4</v>
      </c>
      <c r="N15" s="372">
        <f>[21]cansim6614927908536964073!$B$110</f>
        <v>185.3</v>
      </c>
      <c r="O15" s="372">
        <f>[21]cansim6614927908536964073!$B$122</f>
        <v>193.4</v>
      </c>
      <c r="P15" s="372">
        <f>[21]cansim6614927908536964073!$B$134</f>
        <v>197.4</v>
      </c>
      <c r="Q15" s="372">
        <f>[21]cansim6614927908536964073!$B$146</f>
        <v>192.3</v>
      </c>
      <c r="R15" s="372">
        <f>[21]cansim6614927908536964073!$B$158</f>
        <v>201</v>
      </c>
      <c r="S15" s="372">
        <f>[21]cansim6614927908536964073!$B$170</f>
        <v>187.7</v>
      </c>
      <c r="T15" s="372">
        <f>[21]cansim6614927908536964073!$B$182</f>
        <v>192.5</v>
      </c>
      <c r="U15" s="372">
        <f>[21]cansim6614927908536964073!$B$194</f>
        <v>197.1</v>
      </c>
      <c r="V15" s="372">
        <f>[21]cansim6614927908536964073!$B$206</f>
        <v>204.3</v>
      </c>
      <c r="W15" s="219"/>
      <c r="X15" s="219"/>
    </row>
    <row r="16" spans="1:24" x14ac:dyDescent="0.2">
      <c r="A16" s="218" t="s">
        <v>200</v>
      </c>
      <c r="B16" s="276"/>
      <c r="C16" s="276"/>
      <c r="D16" s="276"/>
      <c r="E16" s="276"/>
      <c r="F16" s="372">
        <f>[21]cansim6614927908536964073!$B$15</f>
        <v>171.9</v>
      </c>
      <c r="G16" s="372">
        <f>[21]cansim6614927908536964073!$B$27</f>
        <v>167.8</v>
      </c>
      <c r="H16" s="372">
        <f>[21]cansim6614927908536964073!$B$39</f>
        <v>176.8</v>
      </c>
      <c r="I16" s="372">
        <f>[21]cansim6614927908536964073!$B$51</f>
        <v>174.2</v>
      </c>
      <c r="J16" s="372">
        <f>[21]cansim6614927908536964073!$B$63</f>
        <v>191.2</v>
      </c>
      <c r="K16" s="372">
        <f>[21]cansim6614927908536964073!$B$75</f>
        <v>182.2</v>
      </c>
      <c r="L16" s="372">
        <f>[21]cansim6614927908536964073!$B$87</f>
        <v>192</v>
      </c>
      <c r="M16" s="372">
        <f>[21]cansim6614927908536964073!$B$99</f>
        <v>195</v>
      </c>
      <c r="N16" s="372">
        <f>[21]cansim6614927908536964073!$B$111</f>
        <v>187.6</v>
      </c>
      <c r="O16" s="372">
        <f>[21]cansim6614927908536964073!$B$123</f>
        <v>191.9</v>
      </c>
      <c r="P16" s="372">
        <f>[21]cansim6614927908536964073!$B$135</f>
        <v>196.7</v>
      </c>
      <c r="Q16" s="372">
        <f>[21]cansim6614927908536964073!$B$147</f>
        <v>194.2</v>
      </c>
      <c r="R16" s="372">
        <f>[21]cansim6614927908536964073!$B$159</f>
        <v>200.1</v>
      </c>
      <c r="S16" s="372">
        <f>[21]cansim6614927908536964073!$B$171</f>
        <v>188.2</v>
      </c>
      <c r="T16" s="372">
        <f>[21]cansim6614927908536964073!$B$183</f>
        <v>189.5</v>
      </c>
      <c r="U16" s="372">
        <f>[21]cansim6614927908536964073!$B$195</f>
        <v>198.2</v>
      </c>
      <c r="V16" s="372">
        <f>[21]cansim6614927908536964073!$B$207</f>
        <v>205</v>
      </c>
      <c r="W16" s="219"/>
      <c r="X16" s="219"/>
    </row>
    <row r="17" spans="1:24" x14ac:dyDescent="0.2">
      <c r="A17" s="218" t="s">
        <v>201</v>
      </c>
      <c r="B17" s="276"/>
      <c r="C17" s="276"/>
      <c r="D17" s="276"/>
      <c r="E17" s="276"/>
      <c r="F17" s="372">
        <f>[21]cansim6614927908536964073!$B$16</f>
        <v>174.4</v>
      </c>
      <c r="G17" s="372">
        <f>[21]cansim6614927908536964073!$B$28</f>
        <v>166.8</v>
      </c>
      <c r="H17" s="372">
        <f>[21]cansim6614927908536964073!$B$40</f>
        <v>177.3</v>
      </c>
      <c r="I17" s="372">
        <f>[21]cansim6614927908536964073!$B$52</f>
        <v>175.9</v>
      </c>
      <c r="J17" s="372">
        <f>[21]cansim6614927908536964073!$B$64</f>
        <v>190</v>
      </c>
      <c r="K17" s="372">
        <f>[21]cansim6614927908536964073!$B$76</f>
        <v>182.8</v>
      </c>
      <c r="L17" s="372">
        <f>[21]cansim6614927908536964073!$B$88</f>
        <v>192.7</v>
      </c>
      <c r="M17" s="372">
        <f>[21]cansim6614927908536964073!$B$100</f>
        <v>194.6</v>
      </c>
      <c r="N17" s="372">
        <f>[21]cansim6614927908536964073!$B$112</f>
        <v>190.6</v>
      </c>
      <c r="O17" s="372">
        <f>[21]cansim6614927908536964073!$B$124</f>
        <v>190.3</v>
      </c>
      <c r="P17" s="372">
        <f>[21]cansim6614927908536964073!$B$136</f>
        <v>195.3</v>
      </c>
      <c r="Q17" s="372">
        <f>[21]cansim6614927908536964073!$B$148</f>
        <v>196.9</v>
      </c>
      <c r="R17" s="372">
        <f>[21]cansim6614927908536964073!$B$160</f>
        <v>199.3</v>
      </c>
      <c r="S17" s="372">
        <f>[21]cansim6614927908536964073!$B$172</f>
        <v>189</v>
      </c>
      <c r="T17" s="372">
        <f>[21]cansim6614927908536964073!$B$184</f>
        <v>189.5</v>
      </c>
      <c r="U17" s="372">
        <f>[21]cansim6614927908536964073!$B$196</f>
        <v>197.9</v>
      </c>
      <c r="V17" s="372">
        <f>[21]cansim6614927908536964073!$B$208</f>
        <v>204.5</v>
      </c>
      <c r="W17" s="219"/>
      <c r="X17" s="219"/>
    </row>
    <row r="18" spans="1:24" x14ac:dyDescent="0.2">
      <c r="A18" s="218" t="s">
        <v>202</v>
      </c>
      <c r="B18" s="276"/>
      <c r="C18" s="276"/>
      <c r="D18" s="276"/>
      <c r="E18" s="276"/>
      <c r="F18" s="372">
        <f>[21]cansim6614927908536964073!$B$17</f>
        <v>173.8</v>
      </c>
      <c r="G18" s="372">
        <f>[21]cansim6614927908536964073!$B$29</f>
        <v>166.5</v>
      </c>
      <c r="H18" s="372">
        <f>[21]cansim6614927908536964073!$B$41</f>
        <v>178.8</v>
      </c>
      <c r="I18" s="372">
        <f>[21]cansim6614927908536964073!$B$53</f>
        <v>173.7</v>
      </c>
      <c r="J18" s="372">
        <f>[21]cansim6614927908536964073!$B$65</f>
        <v>188.3</v>
      </c>
      <c r="K18" s="372">
        <f>[21]cansim6614927908536964073!$B$77</f>
        <v>183.8</v>
      </c>
      <c r="L18" s="372">
        <f>[21]cansim6614927908536964073!$B$89</f>
        <v>191.1</v>
      </c>
      <c r="M18" s="372">
        <f>[21]cansim6614927908536964073!$B$101</f>
        <v>192.9</v>
      </c>
      <c r="N18" s="372">
        <f>[21]cansim6614927908536964073!$B$113</f>
        <v>194</v>
      </c>
      <c r="O18" s="372">
        <f>[21]cansim6614927908536964073!$B$125</f>
        <v>190.2</v>
      </c>
      <c r="P18" s="372">
        <f>[21]cansim6614927908536964073!$B$137</f>
        <v>190.2</v>
      </c>
      <c r="Q18" s="372">
        <f>[21]cansim6614927908536964073!$B$149</f>
        <v>199</v>
      </c>
      <c r="R18" s="372">
        <f>[21]cansim6614927908536964073!$B$161</f>
        <v>197.7</v>
      </c>
      <c r="S18" s="372">
        <f>[21]cansim6614927908536964073!$B$173</f>
        <v>189.5</v>
      </c>
      <c r="T18" s="372">
        <f>[21]cansim6614927908536964073!$B$185</f>
        <v>190.8</v>
      </c>
      <c r="U18" s="372">
        <f>[21]cansim6614927908536964073!$B$197</f>
        <v>196.9</v>
      </c>
      <c r="V18" s="372">
        <f>[21]cansim6614927908536964073!$B$209</f>
        <v>202.6</v>
      </c>
      <c r="W18" s="219"/>
      <c r="X18" s="219"/>
    </row>
    <row r="19" spans="1:24" x14ac:dyDescent="0.2">
      <c r="A19" s="218" t="s">
        <v>203</v>
      </c>
      <c r="B19" s="276"/>
      <c r="C19" s="276"/>
      <c r="D19" s="276"/>
      <c r="E19" s="276"/>
      <c r="F19" s="372">
        <f>[21]cansim6614927908536964073!$B$18</f>
        <v>172</v>
      </c>
      <c r="G19" s="372">
        <f>[21]cansim6614927908536964073!$B$30</f>
        <v>166.5</v>
      </c>
      <c r="H19" s="372">
        <f>[21]cansim6614927908536964073!$B$42</f>
        <v>179.3</v>
      </c>
      <c r="I19" s="372">
        <f>[21]cansim6614927908536964073!$B$54</f>
        <v>175.3</v>
      </c>
      <c r="J19" s="372">
        <f>[21]cansim6614927908536964073!$B$66</f>
        <v>185.7</v>
      </c>
      <c r="K19" s="372">
        <f>[21]cansim6614927908536964073!$B$78</f>
        <v>184.2</v>
      </c>
      <c r="L19" s="372">
        <f>[21]cansim6614927908536964073!$B$90</f>
        <v>188</v>
      </c>
      <c r="M19" s="372">
        <f>[21]cansim6614927908536964073!$B$102</f>
        <v>192.6</v>
      </c>
      <c r="N19" s="372">
        <f>[21]cansim6614927908536964073!$B$114</f>
        <v>196.6</v>
      </c>
      <c r="O19" s="372">
        <f>[21]cansim6614927908536964073!$B$126</f>
        <v>188.8</v>
      </c>
      <c r="P19" s="372">
        <f>[21]cansim6614927908536964073!$B$138</f>
        <v>188.9</v>
      </c>
      <c r="Q19" s="372">
        <f>[21]cansim6614927908536964073!$B$150</f>
        <v>198.8</v>
      </c>
      <c r="R19" s="372">
        <f>[21]cansim6614927908536964073!$B$162</f>
        <v>197.8</v>
      </c>
      <c r="S19" s="372">
        <f>[21]cansim6614927908536964073!$B$174</f>
        <v>189.2</v>
      </c>
      <c r="T19" s="372">
        <f>[21]cansim6614927908536964073!$B$186</f>
        <v>192.4</v>
      </c>
      <c r="U19" s="372">
        <f>[21]cansim6614927908536964073!$B$198</f>
        <v>195.8</v>
      </c>
      <c r="V19" s="372">
        <f>[21]cansim6614927908536964073!$B$210</f>
        <v>201.3</v>
      </c>
      <c r="W19" s="219"/>
      <c r="X19" s="219"/>
    </row>
    <row r="20" spans="1:24" x14ac:dyDescent="0.2">
      <c r="A20" s="298"/>
      <c r="B20" s="298"/>
      <c r="C20" s="298"/>
      <c r="D20" s="298"/>
      <c r="E20" s="298"/>
      <c r="F20" s="370"/>
      <c r="G20" s="371"/>
      <c r="H20" s="275"/>
      <c r="I20" s="277"/>
      <c r="J20" s="275"/>
      <c r="K20" s="275"/>
      <c r="L20" s="275"/>
      <c r="M20" s="275"/>
      <c r="N20" s="275"/>
      <c r="O20" s="275"/>
      <c r="P20" s="275"/>
      <c r="Q20" s="275"/>
      <c r="R20" s="276"/>
      <c r="S20" s="275"/>
      <c r="T20" s="275"/>
      <c r="U20" s="275"/>
      <c r="V20" s="275"/>
      <c r="W20" s="277"/>
      <c r="X20" s="277"/>
    </row>
    <row r="21" spans="1:24" x14ac:dyDescent="0.2">
      <c r="A21" s="223" t="s">
        <v>303</v>
      </c>
      <c r="B21" s="223"/>
      <c r="C21" s="223"/>
      <c r="D21" s="223"/>
      <c r="E21" s="223"/>
      <c r="F21" s="217"/>
      <c r="G21" s="217"/>
    </row>
    <row r="22" spans="1:24" x14ac:dyDescent="0.2">
      <c r="A22" s="264"/>
      <c r="B22" s="214"/>
      <c r="C22" s="214"/>
      <c r="D22" s="214"/>
      <c r="E22" s="214"/>
      <c r="F22" s="215"/>
      <c r="G22" s="215"/>
    </row>
    <row r="23" spans="1:24" x14ac:dyDescent="0.2">
      <c r="A23" s="216" t="s">
        <v>192</v>
      </c>
      <c r="B23" s="216">
        <v>1992</v>
      </c>
      <c r="C23" s="216">
        <v>1993</v>
      </c>
      <c r="D23" s="216">
        <v>1994</v>
      </c>
      <c r="E23" s="216">
        <v>1995</v>
      </c>
      <c r="F23" s="216">
        <v>1996</v>
      </c>
      <c r="G23" s="216">
        <v>1997</v>
      </c>
      <c r="H23" s="216">
        <v>1998</v>
      </c>
      <c r="I23" s="216">
        <v>1999</v>
      </c>
      <c r="J23" s="216">
        <v>2000</v>
      </c>
      <c r="K23" s="216">
        <v>2001</v>
      </c>
      <c r="L23" s="216">
        <v>2002</v>
      </c>
      <c r="M23" s="216">
        <v>2003</v>
      </c>
      <c r="N23" s="216">
        <v>2004</v>
      </c>
      <c r="O23" s="216">
        <v>2005</v>
      </c>
      <c r="P23" s="216">
        <v>2006</v>
      </c>
      <c r="Q23" s="216">
        <v>2007</v>
      </c>
      <c r="R23" s="216">
        <v>2008</v>
      </c>
      <c r="S23" s="216">
        <v>2009</v>
      </c>
      <c r="T23" s="216">
        <v>2010</v>
      </c>
      <c r="U23" s="216">
        <v>2011</v>
      </c>
      <c r="V23" s="216">
        <v>2012</v>
      </c>
      <c r="W23" s="216">
        <v>2013</v>
      </c>
      <c r="X23" s="216">
        <v>2014</v>
      </c>
    </row>
    <row r="24" spans="1:24" x14ac:dyDescent="0.2">
      <c r="A24" s="214"/>
      <c r="B24" s="214"/>
      <c r="C24" s="214"/>
      <c r="D24" s="214"/>
      <c r="E24" s="214"/>
      <c r="F24" s="217"/>
      <c r="G24" s="217"/>
    </row>
    <row r="25" spans="1:24" x14ac:dyDescent="0.2">
      <c r="A25" s="218"/>
      <c r="B25" s="218"/>
      <c r="C25" s="218"/>
      <c r="D25" s="218"/>
      <c r="E25" s="218"/>
      <c r="F25" s="217"/>
      <c r="G25" s="217"/>
      <c r="H25" s="217"/>
      <c r="I25" s="217"/>
    </row>
    <row r="26" spans="1:24" x14ac:dyDescent="0.2">
      <c r="A26" s="218" t="s">
        <v>193</v>
      </c>
      <c r="B26" s="276"/>
      <c r="C26" s="276"/>
      <c r="D26" s="276"/>
      <c r="E26" s="276"/>
      <c r="F26" s="276"/>
      <c r="G26" s="372">
        <f>[21]cansim6614927908536964073!$C$19</f>
        <v>164.5</v>
      </c>
      <c r="H26" s="372">
        <f>[21]cansim6614927908536964073!$C$31</f>
        <v>164</v>
      </c>
      <c r="I26" s="372">
        <f>[21]cansim6614927908536964073!$C$43</f>
        <v>174.6</v>
      </c>
      <c r="J26" s="372">
        <f>[21]cansim6614927908536964073!$C$55</f>
        <v>173.8</v>
      </c>
      <c r="K26" s="372">
        <f>[21]cansim6614927908536964073!$C$67</f>
        <v>181.1</v>
      </c>
      <c r="L26" s="372">
        <f>[21]cansim6614927908536964073!$C$79</f>
        <v>181.9</v>
      </c>
      <c r="M26" s="372">
        <f>[21]cansim6614927908536964073!$C$91</f>
        <v>184.2</v>
      </c>
      <c r="N26" s="372">
        <f>[21]cansim6614927908536964073!$C$103</f>
        <v>187.5</v>
      </c>
      <c r="O26" s="372">
        <f>[21]cansim6614927908536964073!$C$115</f>
        <v>196.3</v>
      </c>
      <c r="P26" s="372">
        <f>[21]cansim6614927908536964073!$C$127</f>
        <v>186.2</v>
      </c>
      <c r="Q26" s="372">
        <f>[21]cansim6614927908536964073!$C$139</f>
        <v>186.5</v>
      </c>
      <c r="R26" s="372">
        <f>[21]cansim6614927908536964073!$C$151</f>
        <v>199.2</v>
      </c>
      <c r="S26" s="372">
        <f>[21]cansim6614927908536964073!$C$163</f>
        <v>194.2</v>
      </c>
      <c r="T26" s="372">
        <f>[21]cansim6614927908536964073!$C$175</f>
        <v>187.8</v>
      </c>
      <c r="U26" s="372">
        <f>[21]cansim6614927908536964073!$C$187</f>
        <v>192.9</v>
      </c>
      <c r="V26" s="372">
        <f>[21]cansim6614927908536964073!$C$199</f>
        <v>194.7</v>
      </c>
      <c r="W26" s="219"/>
      <c r="X26" s="219"/>
    </row>
    <row r="27" spans="1:24" x14ac:dyDescent="0.2">
      <c r="A27" s="218" t="s">
        <v>194</v>
      </c>
      <c r="B27" s="276"/>
      <c r="C27" s="276"/>
      <c r="D27" s="276"/>
      <c r="E27" s="276"/>
      <c r="F27" s="276"/>
      <c r="G27" s="372">
        <f>[21]cansim6614927908536964073!$C$20</f>
        <v>160.80000000000001</v>
      </c>
      <c r="H27" s="372">
        <f>[21]cansim6614927908536964073!$C$32</f>
        <v>164.6</v>
      </c>
      <c r="I27" s="372">
        <f>[21]cansim6614927908536964073!$C$44</f>
        <v>171.4</v>
      </c>
      <c r="J27" s="372">
        <f>[21]cansim6614927908536964073!$C$56</f>
        <v>174.9</v>
      </c>
      <c r="K27" s="372">
        <f>[21]cansim6614927908536964073!$C$68</f>
        <v>178.8</v>
      </c>
      <c r="L27" s="372">
        <f>[21]cansim6614927908536964073!$C$80</f>
        <v>179.7</v>
      </c>
      <c r="M27" s="372">
        <f>[21]cansim6614927908536964073!$C$92</f>
        <v>183.7</v>
      </c>
      <c r="N27" s="372">
        <f>[21]cansim6614927908536964073!$C$104</f>
        <v>184.1</v>
      </c>
      <c r="O27" s="372">
        <f>[21]cansim6614927908536964073!$C$116</f>
        <v>195.5</v>
      </c>
      <c r="P27" s="372">
        <f>[21]cansim6614927908536964073!$C$128</f>
        <v>182</v>
      </c>
      <c r="Q27" s="372">
        <f>[21]cansim6614927908536964073!$C$140</f>
        <v>185.5</v>
      </c>
      <c r="R27" s="372">
        <f>[21]cansim6614927908536964073!$C$152</f>
        <v>197.4</v>
      </c>
      <c r="S27" s="372">
        <f>[21]cansim6614927908536964073!$C$164</f>
        <v>189.9</v>
      </c>
      <c r="T27" s="372">
        <f>[21]cansim6614927908536964073!$C$176</f>
        <v>186.2</v>
      </c>
      <c r="U27" s="372">
        <f>[21]cansim6614927908536964073!$C$188</f>
        <v>191.2</v>
      </c>
      <c r="V27" s="372">
        <f>[21]cansim6614927908536964073!$C$200</f>
        <v>193.9</v>
      </c>
      <c r="W27" s="219"/>
      <c r="X27" s="219"/>
    </row>
    <row r="28" spans="1:24" x14ac:dyDescent="0.2">
      <c r="A28" s="218" t="s">
        <v>195</v>
      </c>
      <c r="B28" s="276"/>
      <c r="C28" s="276"/>
      <c r="D28" s="276"/>
      <c r="E28" s="276"/>
      <c r="F28" s="372">
        <f>[21]cansim6614927908536964073!$C$9</f>
        <v>156.6</v>
      </c>
      <c r="G28" s="372">
        <f>[21]cansim6614927908536964073!$C$21</f>
        <v>158.9</v>
      </c>
      <c r="H28" s="372">
        <f>[21]cansim6614927908536964073!$C$33</f>
        <v>166.5</v>
      </c>
      <c r="I28" s="372">
        <f>[21]cansim6614927908536964073!$C$45</f>
        <v>168.6</v>
      </c>
      <c r="J28" s="372">
        <f>[21]cansim6614927908536964073!$C$57</f>
        <v>175.1</v>
      </c>
      <c r="K28" s="372">
        <f>[21]cansim6614927908536964073!$C$69</f>
        <v>178.2</v>
      </c>
      <c r="L28" s="372">
        <f>[21]cansim6614927908536964073!$C$81</f>
        <v>176.7</v>
      </c>
      <c r="M28" s="372">
        <f>[21]cansim6614927908536964073!$C$93</f>
        <v>185.6</v>
      </c>
      <c r="N28" s="372">
        <f>[21]cansim6614927908536964073!$C$105</f>
        <v>180.9</v>
      </c>
      <c r="O28" s="372">
        <f>[21]cansim6614927908536964073!$C$117</f>
        <v>192.9</v>
      </c>
      <c r="P28" s="372">
        <f>[21]cansim6614927908536964073!$C$129</f>
        <v>180.5</v>
      </c>
      <c r="Q28" s="372">
        <f>[21]cansim6614927908536964073!$C$141</f>
        <v>185.6</v>
      </c>
      <c r="R28" s="372">
        <f>[21]cansim6614927908536964073!$C$153</f>
        <v>196.8</v>
      </c>
      <c r="S28" s="372">
        <f>[21]cansim6614927908536964073!$C$165</f>
        <v>185.8</v>
      </c>
      <c r="T28" s="372">
        <f>[21]cansim6614927908536964073!$C$177</f>
        <v>186.9</v>
      </c>
      <c r="U28" s="372">
        <f>[21]cansim6614927908536964073!$C$189</f>
        <v>191.1</v>
      </c>
      <c r="V28" s="372">
        <f>[21]cansim6614927908536964073!$C$201</f>
        <v>193.3</v>
      </c>
      <c r="W28" s="219"/>
      <c r="X28" s="219"/>
    </row>
    <row r="29" spans="1:24" x14ac:dyDescent="0.2">
      <c r="A29" s="218" t="s">
        <v>196</v>
      </c>
      <c r="B29" s="276"/>
      <c r="C29" s="276"/>
      <c r="D29" s="276"/>
      <c r="E29" s="276"/>
      <c r="F29" s="372">
        <f>[21]cansim6614927908536964073!$C$10</f>
        <v>159.80000000000001</v>
      </c>
      <c r="G29" s="372">
        <f>[21]cansim6614927908536964073!$C$22</f>
        <v>160.19999999999999</v>
      </c>
      <c r="H29" s="372">
        <f>[21]cansim6614927908536964073!$C$34</f>
        <v>168.5</v>
      </c>
      <c r="I29" s="372">
        <f>[21]cansim6614927908536964073!$C$46</f>
        <v>169.8</v>
      </c>
      <c r="J29" s="372">
        <f>[21]cansim6614927908536964073!$C$58</f>
        <v>179.1</v>
      </c>
      <c r="K29" s="372">
        <f>[21]cansim6614927908536964073!$C$70</f>
        <v>180.3</v>
      </c>
      <c r="L29" s="372">
        <f>[21]cansim6614927908536964073!$C$82</f>
        <v>178.4</v>
      </c>
      <c r="M29" s="372">
        <f>[21]cansim6614927908536964073!$C$94</f>
        <v>186</v>
      </c>
      <c r="N29" s="372">
        <f>[21]cansim6614927908536964073!$C$106</f>
        <v>180.5</v>
      </c>
      <c r="O29" s="372">
        <f>[21]cansim6614927908536964073!$C$118</f>
        <v>191.5</v>
      </c>
      <c r="P29" s="372">
        <f>[21]cansim6614927908536964073!$C$130</f>
        <v>182.9</v>
      </c>
      <c r="Q29" s="372">
        <f>[21]cansim6614927908536964073!$C$142</f>
        <v>190</v>
      </c>
      <c r="R29" s="372">
        <f>[21]cansim6614927908536964073!$C$154</f>
        <v>197.5</v>
      </c>
      <c r="S29" s="372">
        <f>[21]cansim6614927908536964073!$C$166</f>
        <v>181.5</v>
      </c>
      <c r="T29" s="372">
        <f>[21]cansim6614927908536964073!$C$178</f>
        <v>187.7</v>
      </c>
      <c r="U29" s="372">
        <f>[21]cansim6614927908536964073!$C$190</f>
        <v>191.8</v>
      </c>
      <c r="V29" s="372">
        <f>[21]cansim6614927908536964073!$C$202</f>
        <v>194.5</v>
      </c>
      <c r="W29" s="219"/>
      <c r="X29" s="219"/>
    </row>
    <row r="30" spans="1:24" x14ac:dyDescent="0.2">
      <c r="A30" s="218" t="s">
        <v>86</v>
      </c>
      <c r="B30" s="276"/>
      <c r="C30" s="276"/>
      <c r="D30" s="276"/>
      <c r="E30" s="276"/>
      <c r="F30" s="372">
        <f>[21]cansim6614927908536964073!$C$11</f>
        <v>164.9</v>
      </c>
      <c r="G30" s="372">
        <f>[21]cansim6614927908536964073!$C$23</f>
        <v>164.6</v>
      </c>
      <c r="H30" s="372">
        <f>[21]cansim6614927908536964073!$C$35</f>
        <v>171.3</v>
      </c>
      <c r="I30" s="372">
        <f>[21]cansim6614927908536964073!$C$47</f>
        <v>172.6</v>
      </c>
      <c r="J30" s="372">
        <f>[21]cansim6614927908536964073!$C$59</f>
        <v>187.2</v>
      </c>
      <c r="K30" s="372">
        <f>[21]cansim6614927908536964073!$C$71</f>
        <v>183.2</v>
      </c>
      <c r="L30" s="372">
        <f>[21]cansim6614927908536964073!$C$83</f>
        <v>182.2</v>
      </c>
      <c r="M30" s="372">
        <f>[21]cansim6614927908536964073!$C$95</f>
        <v>188.4</v>
      </c>
      <c r="N30" s="372">
        <f>[21]cansim6614927908536964073!$C$107</f>
        <v>181.7</v>
      </c>
      <c r="O30" s="372">
        <f>[21]cansim6614927908536964073!$C$119</f>
        <v>191.9</v>
      </c>
      <c r="P30" s="372">
        <f>[21]cansim6614927908536964073!$C$131</f>
        <v>188.9</v>
      </c>
      <c r="Q30" s="372">
        <f>[21]cansim6614927908536964073!$C$143</f>
        <v>194.8</v>
      </c>
      <c r="R30" s="372">
        <f>[21]cansim6614927908536964073!$C$155</f>
        <v>198.8</v>
      </c>
      <c r="S30" s="372">
        <f>[21]cansim6614927908536964073!$C$167</f>
        <v>181.1</v>
      </c>
      <c r="T30" s="372">
        <f>[21]cansim6614927908536964073!$C$179</f>
        <v>191.3</v>
      </c>
      <c r="U30" s="372">
        <f>[21]cansim6614927908536964073!$C$191</f>
        <v>194.5</v>
      </c>
      <c r="V30" s="372">
        <f>[21]cansim6614927908536964073!$C$203</f>
        <v>200.2</v>
      </c>
      <c r="W30" s="219"/>
      <c r="X30" s="219"/>
    </row>
    <row r="31" spans="1:24" x14ac:dyDescent="0.2">
      <c r="A31" s="218" t="s">
        <v>197</v>
      </c>
      <c r="B31" s="276"/>
      <c r="C31" s="276"/>
      <c r="D31" s="276"/>
      <c r="E31" s="276"/>
      <c r="F31" s="372">
        <f>[21]cansim6614927908536964073!$C$12</f>
        <v>172.5</v>
      </c>
      <c r="G31" s="372">
        <f>[21]cansim6614927908536964073!$C$24</f>
        <v>170.1</v>
      </c>
      <c r="H31" s="372">
        <f>[21]cansim6614927908536964073!$C$36</f>
        <v>176.4</v>
      </c>
      <c r="I31" s="372">
        <f>[21]cansim6614927908536964073!$C$48</f>
        <v>175.8</v>
      </c>
      <c r="J31" s="372">
        <f>[21]cansim6614927908536964073!$C$60</f>
        <v>195.5</v>
      </c>
      <c r="K31" s="372">
        <f>[21]cansim6614927908536964073!$C$72</f>
        <v>186.7</v>
      </c>
      <c r="L31" s="372">
        <f>[21]cansim6614927908536964073!$C$84</f>
        <v>187.9</v>
      </c>
      <c r="M31" s="372">
        <f>[21]cansim6614927908536964073!$C$96</f>
        <v>191.2</v>
      </c>
      <c r="N31" s="372">
        <f>[21]cansim6614927908536964073!$C$108</f>
        <v>183.9</v>
      </c>
      <c r="O31" s="372">
        <f>[21]cansim6614927908536964073!$C$120</f>
        <v>195.8</v>
      </c>
      <c r="P31" s="372">
        <f>[21]cansim6614927908536964073!$C$132</f>
        <v>194.1</v>
      </c>
      <c r="Q31" s="372">
        <f>[21]cansim6614927908536964073!$C$144</f>
        <v>197.3</v>
      </c>
      <c r="R31" s="372">
        <f>[21]cansim6614927908536964073!$C$156</f>
        <v>202.5</v>
      </c>
      <c r="S31" s="372">
        <f>[21]cansim6614927908536964073!$C$168</f>
        <v>184.3</v>
      </c>
      <c r="T31" s="372">
        <f>[21]cansim6614927908536964073!$C$180</f>
        <v>196.7</v>
      </c>
      <c r="U31" s="372">
        <f>[21]cansim6614927908536964073!$C$192</f>
        <v>198.5</v>
      </c>
      <c r="V31" s="372">
        <f>[21]cansim6614927908536964073!$C$204</f>
        <v>206.2</v>
      </c>
      <c r="W31" s="219"/>
      <c r="X31" s="219"/>
    </row>
    <row r="32" spans="1:24" x14ac:dyDescent="0.2">
      <c r="A32" s="218" t="s">
        <v>198</v>
      </c>
      <c r="B32" s="276"/>
      <c r="C32" s="276"/>
      <c r="D32" s="276"/>
      <c r="E32" s="276"/>
      <c r="F32" s="372">
        <f>[21]cansim6614927908536964073!$C$13</f>
        <v>175.8</v>
      </c>
      <c r="G32" s="372">
        <f>[21]cansim6614927908536964073!$C$25</f>
        <v>174.4</v>
      </c>
      <c r="H32" s="372">
        <f>[21]cansim6614927908536964073!$C$37</f>
        <v>181.6</v>
      </c>
      <c r="I32" s="372">
        <f>[21]cansim6614927908536964073!$C$49</f>
        <v>177.5</v>
      </c>
      <c r="J32" s="372">
        <f>[21]cansim6614927908536964073!$C$61</f>
        <v>201.3</v>
      </c>
      <c r="K32" s="372">
        <f>[21]cansim6614927908536964073!$C$73</f>
        <v>189</v>
      </c>
      <c r="L32" s="372">
        <f>[21]cansim6614927908536964073!$C$85</f>
        <v>192.7</v>
      </c>
      <c r="M32" s="372">
        <f>[21]cansim6614927908536964073!$C$97</f>
        <v>196.7</v>
      </c>
      <c r="N32" s="372">
        <f>[21]cansim6614927908536964073!$C$109</f>
        <v>187.8</v>
      </c>
      <c r="O32" s="372">
        <f>[21]cansim6614927908536964073!$C$121</f>
        <v>199.2</v>
      </c>
      <c r="P32" s="372">
        <f>[21]cansim6614927908536964073!$C$133</f>
        <v>199.3</v>
      </c>
      <c r="Q32" s="372">
        <f>[21]cansim6614927908536964073!$C$145</f>
        <v>197</v>
      </c>
      <c r="R32" s="372">
        <f>[21]cansim6614927908536964073!$C$157</f>
        <v>204.9</v>
      </c>
      <c r="S32" s="372">
        <f>[21]cansim6614927908536964073!$C$169</f>
        <v>188.8</v>
      </c>
      <c r="T32" s="372">
        <f>[21]cansim6614927908536964073!$C$181</f>
        <v>198.6</v>
      </c>
      <c r="U32" s="372">
        <f>[21]cansim6614927908536964073!$C$193</f>
        <v>201.2</v>
      </c>
      <c r="V32" s="372">
        <f>[21]cansim6614927908536964073!$C$205</f>
        <v>209.9</v>
      </c>
      <c r="W32" s="219"/>
      <c r="X32" s="219"/>
    </row>
    <row r="33" spans="1:24" x14ac:dyDescent="0.2">
      <c r="A33" s="218" t="s">
        <v>199</v>
      </c>
      <c r="B33" s="276"/>
      <c r="C33" s="276"/>
      <c r="D33" s="276"/>
      <c r="E33" s="276"/>
      <c r="F33" s="372">
        <f>[21]cansim6614927908536964073!$C$14</f>
        <v>178.7</v>
      </c>
      <c r="G33" s="372">
        <f>[21]cansim6614927908536964073!$C$26</f>
        <v>175.9</v>
      </c>
      <c r="H33" s="372">
        <f>[21]cansim6614927908536964073!$C$38</f>
        <v>183.9</v>
      </c>
      <c r="I33" s="372">
        <f>[21]cansim6614927908536964073!$C$50</f>
        <v>179.8</v>
      </c>
      <c r="J33" s="372">
        <f>[21]cansim6614927908536964073!$C$62</f>
        <v>201.3</v>
      </c>
      <c r="K33" s="372">
        <f>[21]cansim6614927908536964073!$C$74</f>
        <v>188.7</v>
      </c>
      <c r="L33" s="372">
        <f>[21]cansim6614927908536964073!$C$86</f>
        <v>196.5</v>
      </c>
      <c r="M33" s="372">
        <f>[21]cansim6614927908536964073!$C$98</f>
        <v>200.4</v>
      </c>
      <c r="N33" s="372">
        <f>[21]cansim6614927908536964073!$C$110</f>
        <v>191</v>
      </c>
      <c r="O33" s="372">
        <f>[21]cansim6614927908536964073!$C$122</f>
        <v>199.1</v>
      </c>
      <c r="P33" s="372">
        <f>[21]cansim6614927908536964073!$C$134</f>
        <v>203.1</v>
      </c>
      <c r="Q33" s="372">
        <f>[21]cansim6614927908536964073!$C$146</f>
        <v>197.3</v>
      </c>
      <c r="R33" s="372">
        <f>[21]cansim6614927908536964073!$C$158</f>
        <v>206</v>
      </c>
      <c r="S33" s="372">
        <f>[21]cansim6614927908536964073!$C$170</f>
        <v>192.7</v>
      </c>
      <c r="T33" s="372">
        <f>[21]cansim6614927908536964073!$C$182</f>
        <v>197.7</v>
      </c>
      <c r="U33" s="372">
        <f>[21]cansim6614927908536964073!$C$194</f>
        <v>202.6</v>
      </c>
      <c r="V33" s="372">
        <f>[21]cansim6614927908536964073!$C$206</f>
        <v>209.8</v>
      </c>
      <c r="W33" s="219"/>
      <c r="X33" s="219"/>
    </row>
    <row r="34" spans="1:24" x14ac:dyDescent="0.2">
      <c r="A34" s="218" t="s">
        <v>200</v>
      </c>
      <c r="B34" s="276"/>
      <c r="C34" s="276"/>
      <c r="D34" s="276"/>
      <c r="E34" s="276"/>
      <c r="F34" s="372">
        <f>[21]cansim6614927908536964073!$C$15</f>
        <v>177.2</v>
      </c>
      <c r="G34" s="372">
        <f>[21]cansim6614927908536964073!$C$27</f>
        <v>173.1</v>
      </c>
      <c r="H34" s="372">
        <f>[21]cansim6614927908536964073!$C$39</f>
        <v>182.4</v>
      </c>
      <c r="I34" s="372">
        <f>[21]cansim6614927908536964073!$C$51</f>
        <v>179.8</v>
      </c>
      <c r="J34" s="372">
        <f>[21]cansim6614927908536964073!$C$63</f>
        <v>197.7</v>
      </c>
      <c r="K34" s="372">
        <f>[21]cansim6614927908536964073!$C$75</f>
        <v>188</v>
      </c>
      <c r="L34" s="372">
        <f>[21]cansim6614927908536964073!$C$87</f>
        <v>197.3</v>
      </c>
      <c r="M34" s="372">
        <f>[21]cansim6614927908536964073!$C$99</f>
        <v>200.6</v>
      </c>
      <c r="N34" s="372">
        <f>[21]cansim6614927908536964073!$C$111</f>
        <v>193.2</v>
      </c>
      <c r="O34" s="372">
        <f>[21]cansim6614927908536964073!$C$123</f>
        <v>197.5</v>
      </c>
      <c r="P34" s="372">
        <f>[21]cansim6614927908536964073!$C$135</f>
        <v>202.1</v>
      </c>
      <c r="Q34" s="372">
        <f>[21]cansim6614927908536964073!$C$147</f>
        <v>198.6</v>
      </c>
      <c r="R34" s="372">
        <f>[21]cansim6614927908536964073!$C$159</f>
        <v>203.6</v>
      </c>
      <c r="S34" s="372">
        <f>[21]cansim6614927908536964073!$C$171</f>
        <v>191.6</v>
      </c>
      <c r="T34" s="372">
        <f>[21]cansim6614927908536964073!$C$183</f>
        <v>193.1</v>
      </c>
      <c r="U34" s="372">
        <f>[21]cansim6614927908536964073!$C$195</f>
        <v>202.2</v>
      </c>
      <c r="V34" s="372">
        <f>[21]cansim6614927908536964073!$C$207</f>
        <v>209.3</v>
      </c>
      <c r="W34" s="219"/>
      <c r="X34" s="219"/>
    </row>
    <row r="35" spans="1:24" x14ac:dyDescent="0.2">
      <c r="A35" s="218" t="s">
        <v>201</v>
      </c>
      <c r="B35" s="276"/>
      <c r="C35" s="276"/>
      <c r="D35" s="276"/>
      <c r="E35" s="276"/>
      <c r="F35" s="372">
        <f>[21]cansim6614927908536964073!$C$16</f>
        <v>177.5</v>
      </c>
      <c r="G35" s="372">
        <f>[21]cansim6614927908536964073!$C$28</f>
        <v>169.9</v>
      </c>
      <c r="H35" s="372">
        <f>[21]cansim6614927908536964073!$C$40</f>
        <v>180.6</v>
      </c>
      <c r="I35" s="372">
        <f>[21]cansim6614927908536964073!$C$52</f>
        <v>179.5</v>
      </c>
      <c r="J35" s="372">
        <f>[21]cansim6614927908536964073!$C$64</f>
        <v>194.5</v>
      </c>
      <c r="K35" s="372">
        <f>[21]cansim6614927908536964073!$C$76</f>
        <v>187.5</v>
      </c>
      <c r="L35" s="372">
        <f>[21]cansim6614927908536964073!$C$88</f>
        <v>196.7</v>
      </c>
      <c r="M35" s="372">
        <f>[21]cansim6614927908536964073!$C$100</f>
        <v>199</v>
      </c>
      <c r="N35" s="372">
        <f>[21]cansim6614927908536964073!$C$112</f>
        <v>195.3</v>
      </c>
      <c r="O35" s="372">
        <f>[21]cansim6614927908536964073!$C$124</f>
        <v>195</v>
      </c>
      <c r="P35" s="372">
        <f>[21]cansim6614927908536964073!$C$136</f>
        <v>200</v>
      </c>
      <c r="Q35" s="372">
        <f>[21]cansim6614927908536964073!$C$148</f>
        <v>201.6</v>
      </c>
      <c r="R35" s="372">
        <f>[21]cansim6614927908536964073!$C$160</f>
        <v>202.6</v>
      </c>
      <c r="S35" s="372">
        <f>[21]cansim6614927908536964073!$C$172</f>
        <v>192.3</v>
      </c>
      <c r="T35" s="372">
        <f>[21]cansim6614927908536964073!$C$184</f>
        <v>192.8</v>
      </c>
      <c r="U35" s="372">
        <f>[21]cansim6614927908536964073!$C$196</f>
        <v>201.5</v>
      </c>
      <c r="V35" s="372">
        <f>[21]cansim6614927908536964073!$C$208</f>
        <v>208.5</v>
      </c>
      <c r="W35" s="219"/>
      <c r="X35" s="219"/>
    </row>
    <row r="36" spans="1:24" x14ac:dyDescent="0.2">
      <c r="A36" s="218" t="s">
        <v>202</v>
      </c>
      <c r="B36" s="276"/>
      <c r="C36" s="276"/>
      <c r="D36" s="276"/>
      <c r="E36" s="276"/>
      <c r="F36" s="372">
        <f>[21]cansim6614927908536964073!$C$17</f>
        <v>173.9</v>
      </c>
      <c r="G36" s="372">
        <f>[21]cansim6614927908536964073!$C$29</f>
        <v>166.9</v>
      </c>
      <c r="H36" s="372">
        <f>[21]cansim6614927908536964073!$C$41</f>
        <v>179.5</v>
      </c>
      <c r="I36" s="372">
        <f>[21]cansim6614927908536964073!$C$53</f>
        <v>174.8</v>
      </c>
      <c r="J36" s="372">
        <f>[21]cansim6614927908536964073!$C$65</f>
        <v>190.5</v>
      </c>
      <c r="K36" s="372">
        <f>[21]cansim6614927908536964073!$C$77</f>
        <v>186.6</v>
      </c>
      <c r="L36" s="372">
        <f>[21]cansim6614927908536964073!$C$89</f>
        <v>192</v>
      </c>
      <c r="M36" s="372">
        <f>[21]cansim6614927908536964073!$C$101</f>
        <v>194.5</v>
      </c>
      <c r="N36" s="372">
        <f>[21]cansim6614927908536964073!$C$113</f>
        <v>196.6</v>
      </c>
      <c r="O36" s="372">
        <f>[21]cansim6614927908536964073!$C$125</f>
        <v>193.2</v>
      </c>
      <c r="P36" s="372">
        <f>[21]cansim6614927908536964073!$C$137</f>
        <v>193.5</v>
      </c>
      <c r="Q36" s="372">
        <f>[21]cansim6614927908536964073!$C$149</f>
        <v>202.7</v>
      </c>
      <c r="R36" s="372">
        <f>[21]cansim6614927908536964073!$C$161</f>
        <v>199.3</v>
      </c>
      <c r="S36" s="372">
        <f>[21]cansim6614927908536964073!$C$173</f>
        <v>191.3</v>
      </c>
      <c r="T36" s="372">
        <f>[21]cansim6614927908536964073!$C$185</f>
        <v>192.8</v>
      </c>
      <c r="U36" s="372">
        <f>[21]cansim6614927908536964073!$C$197</f>
        <v>199.2</v>
      </c>
      <c r="V36" s="372">
        <f>[21]cansim6614927908536964073!$C$209</f>
        <v>204.6</v>
      </c>
      <c r="W36" s="219"/>
      <c r="X36" s="219"/>
    </row>
    <row r="37" spans="1:24" x14ac:dyDescent="0.2">
      <c r="A37" s="218" t="s">
        <v>203</v>
      </c>
      <c r="B37" s="276"/>
      <c r="C37" s="276"/>
      <c r="D37" s="276"/>
      <c r="E37" s="276"/>
      <c r="F37" s="372">
        <f>[21]cansim6614927908536964073!$C$18</f>
        <v>170.2</v>
      </c>
      <c r="G37" s="372">
        <f>[21]cansim6614927908536964073!$C$30</f>
        <v>165.2</v>
      </c>
      <c r="H37" s="372">
        <f>[21]cansim6614927908536964073!$C$42</f>
        <v>178.4</v>
      </c>
      <c r="I37" s="372">
        <f>[21]cansim6614927908536964073!$C$54</f>
        <v>175</v>
      </c>
      <c r="J37" s="372">
        <f>[21]cansim6614927908536964073!$C$66</f>
        <v>186.6</v>
      </c>
      <c r="K37" s="372">
        <f>[21]cansim6614927908536964073!$C$78</f>
        <v>185.9</v>
      </c>
      <c r="L37" s="372">
        <f>[21]cansim6614927908536964073!$C$90</f>
        <v>187.4</v>
      </c>
      <c r="M37" s="372">
        <f>[21]cansim6614927908536964073!$C$102</f>
        <v>192.6</v>
      </c>
      <c r="N37" s="372">
        <f>[21]cansim6614927908536964073!$C$114</f>
        <v>197.7</v>
      </c>
      <c r="O37" s="372">
        <f>[21]cansim6614927908536964073!$C$126</f>
        <v>190.4</v>
      </c>
      <c r="P37" s="372">
        <f>[21]cansim6614927908536964073!$C$138</f>
        <v>190.9</v>
      </c>
      <c r="Q37" s="372">
        <f>[21]cansim6614927908536964073!$C$150</f>
        <v>201.4</v>
      </c>
      <c r="R37" s="372">
        <f>[21]cansim6614927908536964073!$C$162</f>
        <v>198.1</v>
      </c>
      <c r="S37" s="372">
        <f>[21]cansim6614927908536964073!$C$174</f>
        <v>189.8</v>
      </c>
      <c r="T37" s="372">
        <f>[21]cansim6614927908536964073!$C$186</f>
        <v>193.3</v>
      </c>
      <c r="U37" s="372">
        <f>[21]cansim6614927908536964073!$C$198</f>
        <v>196.9</v>
      </c>
      <c r="V37" s="372">
        <f>[21]cansim6614927908536964073!$C$210</f>
        <v>201.6</v>
      </c>
      <c r="W37" s="219"/>
      <c r="X37" s="219"/>
    </row>
    <row r="38" spans="1:24" x14ac:dyDescent="0.2">
      <c r="A38" s="298"/>
      <c r="B38" s="298"/>
      <c r="C38" s="298"/>
      <c r="D38" s="298"/>
      <c r="E38" s="298"/>
      <c r="F38" s="370"/>
      <c r="G38" s="371"/>
      <c r="H38" s="275"/>
      <c r="I38" s="277"/>
      <c r="J38" s="275"/>
      <c r="K38" s="275"/>
      <c r="L38" s="275"/>
      <c r="M38" s="275"/>
      <c r="N38" s="275"/>
      <c r="O38" s="275"/>
      <c r="P38" s="275"/>
      <c r="Q38" s="275"/>
      <c r="R38" s="276"/>
      <c r="S38" s="275"/>
      <c r="T38" s="275"/>
      <c r="U38" s="275"/>
      <c r="V38" s="275"/>
      <c r="W38" s="277"/>
      <c r="X38" s="277"/>
    </row>
    <row r="39" spans="1:24" x14ac:dyDescent="0.2">
      <c r="A39" s="223" t="s">
        <v>304</v>
      </c>
      <c r="B39" s="223"/>
      <c r="C39" s="223"/>
      <c r="D39" s="223"/>
      <c r="E39" s="223"/>
      <c r="F39" s="217"/>
      <c r="G39" s="217"/>
    </row>
    <row r="40" spans="1:24" x14ac:dyDescent="0.2">
      <c r="A40" s="264"/>
      <c r="B40" s="214"/>
      <c r="C40" s="214"/>
      <c r="D40" s="214"/>
      <c r="E40" s="214"/>
      <c r="F40" s="215"/>
      <c r="G40" s="215"/>
    </row>
    <row r="41" spans="1:24" x14ac:dyDescent="0.2">
      <c r="A41" s="216" t="s">
        <v>192</v>
      </c>
      <c r="B41" s="216">
        <v>1992</v>
      </c>
      <c r="C41" s="216">
        <v>1993</v>
      </c>
      <c r="D41" s="216">
        <v>1994</v>
      </c>
      <c r="E41" s="216">
        <v>1995</v>
      </c>
      <c r="F41" s="216">
        <v>1996</v>
      </c>
      <c r="G41" s="216">
        <v>1997</v>
      </c>
      <c r="H41" s="216">
        <v>1998</v>
      </c>
      <c r="I41" s="216">
        <v>1999</v>
      </c>
      <c r="J41" s="216">
        <v>2000</v>
      </c>
      <c r="K41" s="216">
        <v>2001</v>
      </c>
      <c r="L41" s="216">
        <v>2002</v>
      </c>
      <c r="M41" s="216">
        <v>2003</v>
      </c>
      <c r="N41" s="216">
        <v>2004</v>
      </c>
      <c r="O41" s="216">
        <v>2005</v>
      </c>
      <c r="P41" s="216">
        <v>2006</v>
      </c>
      <c r="Q41" s="216">
        <v>2007</v>
      </c>
      <c r="R41" s="216">
        <v>2008</v>
      </c>
      <c r="S41" s="216">
        <v>2009</v>
      </c>
      <c r="T41" s="216">
        <v>2010</v>
      </c>
      <c r="U41" s="216">
        <v>2011</v>
      </c>
      <c r="V41" s="216">
        <v>2012</v>
      </c>
      <c r="W41" s="216">
        <v>2013</v>
      </c>
      <c r="X41" s="216">
        <v>2014</v>
      </c>
    </row>
    <row r="42" spans="1:24" x14ac:dyDescent="0.2">
      <c r="A42" s="214"/>
      <c r="B42" s="214"/>
      <c r="C42" s="214"/>
      <c r="D42" s="214"/>
      <c r="E42" s="214"/>
      <c r="F42" s="217"/>
      <c r="G42" s="217"/>
    </row>
    <row r="43" spans="1:24" x14ac:dyDescent="0.2">
      <c r="A43" s="218"/>
      <c r="B43" s="218"/>
      <c r="C43" s="218"/>
      <c r="D43" s="218"/>
      <c r="E43" s="218"/>
      <c r="F43" s="217"/>
      <c r="G43" s="217"/>
      <c r="H43" s="217"/>
      <c r="I43" s="217"/>
    </row>
    <row r="44" spans="1:24" x14ac:dyDescent="0.2">
      <c r="A44" s="218" t="s">
        <v>193</v>
      </c>
      <c r="B44" s="276"/>
      <c r="C44" s="276"/>
      <c r="D44" s="276"/>
      <c r="E44" s="276"/>
      <c r="F44" s="276"/>
      <c r="G44" s="372">
        <f>[21]cansim6614927908536964073!$D$19</f>
        <v>17.899999999999999</v>
      </c>
      <c r="H44" s="372">
        <f>[21]cansim6614927908536964073!$D$31</f>
        <v>15.1</v>
      </c>
      <c r="I44" s="372">
        <f>[21]cansim6614927908536964073!$D$43</f>
        <v>12.6</v>
      </c>
      <c r="J44" s="372">
        <f>[21]cansim6614927908536964073!$D$55</f>
        <v>13.2</v>
      </c>
      <c r="K44" s="372">
        <f>[21]cansim6614927908536964073!$D$67</f>
        <v>14.4</v>
      </c>
      <c r="L44" s="372">
        <f>[21]cansim6614927908536964073!$D$79</f>
        <v>13.8</v>
      </c>
      <c r="M44" s="372">
        <f>[21]cansim6614927908536964073!$D$91</f>
        <v>15.5</v>
      </c>
      <c r="N44" s="372">
        <f>[21]cansim6614927908536964073!$D$103</f>
        <v>14.1</v>
      </c>
      <c r="O44" s="372">
        <f>[21]cansim6614927908536964073!$D$115</f>
        <v>14.2</v>
      </c>
      <c r="P44" s="372">
        <f>[21]cansim6614927908536964073!$D$127</f>
        <v>14.3</v>
      </c>
      <c r="Q44" s="372">
        <f>[21]cansim6614927908536964073!$D$139</f>
        <v>12.9</v>
      </c>
      <c r="R44" s="372">
        <f>[21]cansim6614927908536964073!$D$151</f>
        <v>13.6</v>
      </c>
      <c r="S44" s="372">
        <f>[21]cansim6614927908536964073!$D$163</f>
        <v>18.5</v>
      </c>
      <c r="T44" s="372">
        <f>[21]cansim6614927908536964073!$D$175</f>
        <v>23</v>
      </c>
      <c r="U44" s="372">
        <f>[21]cansim6614927908536964073!$D$187</f>
        <v>20.7</v>
      </c>
      <c r="V44" s="372">
        <f>[21]cansim6614927908536964073!$D$199</f>
        <v>15.4</v>
      </c>
      <c r="W44" s="219"/>
      <c r="X44" s="219"/>
    </row>
    <row r="45" spans="1:24" x14ac:dyDescent="0.2">
      <c r="A45" s="218" t="s">
        <v>194</v>
      </c>
      <c r="B45" s="276"/>
      <c r="C45" s="276"/>
      <c r="D45" s="276"/>
      <c r="E45" s="276"/>
      <c r="F45" s="276"/>
      <c r="G45" s="372">
        <f>[21]cansim6614927908536964073!$D$20</f>
        <v>18.8</v>
      </c>
      <c r="H45" s="372">
        <f>[21]cansim6614927908536964073!$D$32</f>
        <v>14.2</v>
      </c>
      <c r="I45" s="372">
        <f>[21]cansim6614927908536964073!$D$44</f>
        <v>13.2</v>
      </c>
      <c r="J45" s="372">
        <f>[21]cansim6614927908536964073!$D$56</f>
        <v>11.4</v>
      </c>
      <c r="K45" s="372">
        <f>[21]cansim6614927908536964073!$D$68</f>
        <v>14.5</v>
      </c>
      <c r="L45" s="372">
        <f>[21]cansim6614927908536964073!$D$80</f>
        <v>14.5</v>
      </c>
      <c r="M45" s="372">
        <f>[21]cansim6614927908536964073!$D$92</f>
        <v>16.100000000000001</v>
      </c>
      <c r="N45" s="372">
        <f>[21]cansim6614927908536964073!$D$104</f>
        <v>14.9</v>
      </c>
      <c r="O45" s="372">
        <f>[21]cansim6614927908536964073!$D$116</f>
        <v>13.6</v>
      </c>
      <c r="P45" s="372">
        <f>[21]cansim6614927908536964073!$D$128</f>
        <v>13.7</v>
      </c>
      <c r="Q45" s="372">
        <f>[21]cansim6614927908536964073!$D$140</f>
        <v>13.1</v>
      </c>
      <c r="R45" s="372">
        <f>[21]cansim6614927908536964073!$D$152</f>
        <v>13.4</v>
      </c>
      <c r="S45" s="372">
        <f>[21]cansim6614927908536964073!$D$164</f>
        <v>19.8</v>
      </c>
      <c r="T45" s="372">
        <f>[21]cansim6614927908536964073!$D$176</f>
        <v>22.7</v>
      </c>
      <c r="U45" s="372">
        <f>[21]cansim6614927908536964073!$D$188</f>
        <v>20.3</v>
      </c>
      <c r="V45" s="372">
        <f>[21]cansim6614927908536964073!$D$200</f>
        <v>16.2</v>
      </c>
      <c r="W45" s="219"/>
      <c r="X45" s="219"/>
    </row>
    <row r="46" spans="1:24" x14ac:dyDescent="0.2">
      <c r="A46" s="218" t="s">
        <v>195</v>
      </c>
      <c r="B46" s="276"/>
      <c r="C46" s="276"/>
      <c r="D46" s="276"/>
      <c r="E46" s="276"/>
      <c r="F46" s="372">
        <f>[21]cansim6614927908536964073!$D$9</f>
        <v>17.100000000000001</v>
      </c>
      <c r="G46" s="372">
        <f>[21]cansim6614927908536964073!$D$21</f>
        <v>19.899999999999999</v>
      </c>
      <c r="H46" s="372">
        <f>[21]cansim6614927908536964073!$D$33</f>
        <v>14.3</v>
      </c>
      <c r="I46" s="372">
        <f>[21]cansim6614927908536964073!$D$45</f>
        <v>12.6</v>
      </c>
      <c r="J46" s="372">
        <f>[21]cansim6614927908536964073!$D$57</f>
        <v>10.199999999999999</v>
      </c>
      <c r="K46" s="372">
        <f>[21]cansim6614927908536964073!$D$69</f>
        <v>14.2</v>
      </c>
      <c r="L46" s="372">
        <f>[21]cansim6614927908536964073!$D$81</f>
        <v>15.2</v>
      </c>
      <c r="M46" s="372">
        <f>[21]cansim6614927908536964073!$D$93</f>
        <v>13.8</v>
      </c>
      <c r="N46" s="372">
        <f>[21]cansim6614927908536964073!$D$105</f>
        <v>16.2</v>
      </c>
      <c r="O46" s="372">
        <f>[21]cansim6614927908536964073!$D$117</f>
        <v>14</v>
      </c>
      <c r="P46" s="372">
        <f>[21]cansim6614927908536964073!$D$129</f>
        <v>13.6</v>
      </c>
      <c r="Q46" s="372">
        <f>[21]cansim6614927908536964073!$D$141</f>
        <v>13.2</v>
      </c>
      <c r="R46" s="372">
        <f>[21]cansim6614927908536964073!$D$153</f>
        <v>13.5</v>
      </c>
      <c r="S46" s="372">
        <f>[21]cansim6614927908536964073!$D$165</f>
        <v>20.399999999999999</v>
      </c>
      <c r="T46" s="372">
        <f>[21]cansim6614927908536964073!$D$177</f>
        <v>21.5</v>
      </c>
      <c r="U46" s="372">
        <f>[21]cansim6614927908536964073!$D$189</f>
        <v>20.3</v>
      </c>
      <c r="V46" s="372">
        <f>[21]cansim6614927908536964073!$D$201</f>
        <v>16</v>
      </c>
      <c r="W46" s="219"/>
      <c r="X46" s="219"/>
    </row>
    <row r="47" spans="1:24" x14ac:dyDescent="0.2">
      <c r="A47" s="218" t="s">
        <v>196</v>
      </c>
      <c r="B47" s="276"/>
      <c r="C47" s="276"/>
      <c r="D47" s="276"/>
      <c r="E47" s="276"/>
      <c r="F47" s="372">
        <f>[21]cansim6614927908536964073!$D$10</f>
        <v>17</v>
      </c>
      <c r="G47" s="372">
        <f>[21]cansim6614927908536964073!$D$22</f>
        <v>20.100000000000001</v>
      </c>
      <c r="H47" s="372">
        <f>[21]cansim6614927908536964073!$D$34</f>
        <v>15.5</v>
      </c>
      <c r="I47" s="372">
        <f>[21]cansim6614927908536964073!$D$46</f>
        <v>12.3</v>
      </c>
      <c r="J47" s="372">
        <f>[21]cansim6614927908536964073!$D$58</f>
        <v>10.199999999999999</v>
      </c>
      <c r="K47" s="372">
        <f>[21]cansim6614927908536964073!$D$70</f>
        <v>13.2</v>
      </c>
      <c r="L47" s="372">
        <f>[21]cansim6614927908536964073!$D$82</f>
        <v>15.7</v>
      </c>
      <c r="M47" s="372">
        <f>[21]cansim6614927908536964073!$D$94</f>
        <v>13.6</v>
      </c>
      <c r="N47" s="372">
        <f>[21]cansim6614927908536964073!$D$106</f>
        <v>16.100000000000001</v>
      </c>
      <c r="O47" s="372">
        <f>[21]cansim6614927908536964073!$D$118</f>
        <v>15.3</v>
      </c>
      <c r="P47" s="372">
        <f>[21]cansim6614927908536964073!$D$130</f>
        <v>12.7</v>
      </c>
      <c r="Q47" s="372">
        <f>[21]cansim6614927908536964073!$D$142</f>
        <v>13.4</v>
      </c>
      <c r="R47" s="372">
        <f>[21]cansim6614927908536964073!$D$154</f>
        <v>14.2</v>
      </c>
      <c r="S47" s="372">
        <f>[21]cansim6614927908536964073!$D$166</f>
        <v>21.9</v>
      </c>
      <c r="T47" s="372">
        <f>[21]cansim6614927908536964073!$D$178</f>
        <v>19.5</v>
      </c>
      <c r="U47" s="372">
        <f>[21]cansim6614927908536964073!$D$190</f>
        <v>19.5</v>
      </c>
      <c r="V47" s="372">
        <f>[21]cansim6614927908536964073!$D$202</f>
        <v>16.7</v>
      </c>
      <c r="W47" s="219"/>
      <c r="X47" s="219"/>
    </row>
    <row r="48" spans="1:24" x14ac:dyDescent="0.2">
      <c r="A48" s="218" t="s">
        <v>86</v>
      </c>
      <c r="B48" s="276"/>
      <c r="C48" s="276"/>
      <c r="D48" s="276"/>
      <c r="E48" s="276"/>
      <c r="F48" s="372">
        <f>[21]cansim6614927908536964073!$D$11</f>
        <v>16.8</v>
      </c>
      <c r="G48" s="372">
        <f>[21]cansim6614927908536964073!$D$23</f>
        <v>19.8</v>
      </c>
      <c r="H48" s="372">
        <f>[21]cansim6614927908536964073!$D$35</f>
        <v>15.8</v>
      </c>
      <c r="I48" s="372">
        <f>[21]cansim6614927908536964073!$D$47</f>
        <v>11.9</v>
      </c>
      <c r="J48" s="372">
        <f>[21]cansim6614927908536964073!$D$59</f>
        <v>11.4</v>
      </c>
      <c r="K48" s="372">
        <f>[21]cansim6614927908536964073!$D$71</f>
        <v>12.6</v>
      </c>
      <c r="L48" s="372">
        <f>[21]cansim6614927908536964073!$D$83</f>
        <v>16</v>
      </c>
      <c r="M48" s="372">
        <f>[21]cansim6614927908536964073!$D$95</f>
        <v>12.9</v>
      </c>
      <c r="N48" s="372">
        <f>[21]cansim6614927908536964073!$D$107</f>
        <v>15.8</v>
      </c>
      <c r="O48" s="372">
        <f>[21]cansim6614927908536964073!$D$119</f>
        <v>15.6</v>
      </c>
      <c r="P48" s="372">
        <f>[21]cansim6614927908536964073!$D$131</f>
        <v>13.3</v>
      </c>
      <c r="Q48" s="372">
        <f>[21]cansim6614927908536964073!$D$143</f>
        <v>12.4</v>
      </c>
      <c r="R48" s="372">
        <f>[21]cansim6614927908536964073!$D$155</f>
        <v>15.3</v>
      </c>
      <c r="S48" s="372">
        <f>[21]cansim6614927908536964073!$D$167</f>
        <v>21.8</v>
      </c>
      <c r="T48" s="372">
        <f>[21]cansim6614927908536964073!$D$179</f>
        <v>18.7</v>
      </c>
      <c r="U48" s="372">
        <f>[21]cansim6614927908536964073!$D$191</f>
        <v>19.3</v>
      </c>
      <c r="V48" s="372">
        <f>[21]cansim6614927908536964073!$D$203</f>
        <v>16.8</v>
      </c>
      <c r="W48" s="219"/>
      <c r="X48" s="219"/>
    </row>
    <row r="49" spans="1:24" x14ac:dyDescent="0.2">
      <c r="A49" s="218" t="s">
        <v>197</v>
      </c>
      <c r="B49" s="276"/>
      <c r="C49" s="276"/>
      <c r="D49" s="276"/>
      <c r="E49" s="276"/>
      <c r="F49" s="372">
        <f>[21]cansim6614927908536964073!$D$12</f>
        <v>16.600000000000001</v>
      </c>
      <c r="G49" s="372">
        <f>[21]cansim6614927908536964073!$D$24</f>
        <v>18.899999999999999</v>
      </c>
      <c r="H49" s="372">
        <f>[21]cansim6614927908536964073!$D$36</f>
        <v>16.5</v>
      </c>
      <c r="I49" s="372">
        <f>[21]cansim6614927908536964073!$D$48</f>
        <v>11.8</v>
      </c>
      <c r="J49" s="372">
        <f>[21]cansim6614927908536964073!$D$60</f>
        <v>11.9</v>
      </c>
      <c r="K49" s="372">
        <f>[21]cansim6614927908536964073!$D$72</f>
        <v>12.4</v>
      </c>
      <c r="L49" s="372">
        <f>[21]cansim6614927908536964073!$D$84</f>
        <v>14.8</v>
      </c>
      <c r="M49" s="372">
        <f>[21]cansim6614927908536964073!$D$96</f>
        <v>14.1</v>
      </c>
      <c r="N49" s="372">
        <f>[21]cansim6614927908536964073!$D$108</f>
        <v>15.8</v>
      </c>
      <c r="O49" s="372">
        <f>[21]cansim6614927908536964073!$D$120</f>
        <v>14.7</v>
      </c>
      <c r="P49" s="372">
        <f>[21]cansim6614927908536964073!$D$132</f>
        <v>13.1</v>
      </c>
      <c r="Q49" s="372">
        <f>[21]cansim6614927908536964073!$D$144</f>
        <v>13.5</v>
      </c>
      <c r="R49" s="372">
        <f>[21]cansim6614927908536964073!$D$156</f>
        <v>15.5</v>
      </c>
      <c r="S49" s="372">
        <f>[21]cansim6614927908536964073!$D$168</f>
        <v>22.5</v>
      </c>
      <c r="T49" s="372">
        <f>[21]cansim6614927908536964073!$D$180</f>
        <v>17.8</v>
      </c>
      <c r="U49" s="372">
        <f>[21]cansim6614927908536964073!$D$192</f>
        <v>18.5</v>
      </c>
      <c r="V49" s="372">
        <f>[21]cansim6614927908536964073!$D$204</f>
        <v>17.8</v>
      </c>
      <c r="W49" s="219"/>
      <c r="X49" s="219"/>
    </row>
    <row r="50" spans="1:24" x14ac:dyDescent="0.2">
      <c r="A50" s="218" t="s">
        <v>198</v>
      </c>
      <c r="B50" s="276"/>
      <c r="C50" s="276"/>
      <c r="D50" s="276"/>
      <c r="E50" s="276"/>
      <c r="F50" s="372">
        <f>[21]cansim6614927908536964073!$D$13</f>
        <v>16.899999999999999</v>
      </c>
      <c r="G50" s="372">
        <f>[21]cansim6614927908536964073!$D$25</f>
        <v>18.5</v>
      </c>
      <c r="H50" s="372">
        <f>[21]cansim6614927908536964073!$D$37</f>
        <v>15.4</v>
      </c>
      <c r="I50" s="372">
        <f>[21]cansim6614927908536964073!$D$49</f>
        <v>12.8</v>
      </c>
      <c r="J50" s="372">
        <f>[21]cansim6614927908536964073!$D$61</f>
        <v>11.8</v>
      </c>
      <c r="K50" s="372">
        <f>[21]cansim6614927908536964073!$D$73</f>
        <v>12.1</v>
      </c>
      <c r="L50" s="372">
        <f>[21]cansim6614927908536964073!$D$85</f>
        <v>14.2</v>
      </c>
      <c r="M50" s="372">
        <f>[21]cansim6614927908536964073!$D$97</f>
        <v>13.9</v>
      </c>
      <c r="N50" s="372">
        <f>[21]cansim6614927908536964073!$D$109</f>
        <v>15.3</v>
      </c>
      <c r="O50" s="372">
        <f>[21]cansim6614927908536964073!$D$121</f>
        <v>14.6</v>
      </c>
      <c r="P50" s="372">
        <f>[21]cansim6614927908536964073!$D$133</f>
        <v>13.4</v>
      </c>
      <c r="Q50" s="372">
        <f>[21]cansim6614927908536964073!$D$145</f>
        <v>15</v>
      </c>
      <c r="R50" s="372">
        <f>[21]cansim6614927908536964073!$D$157</f>
        <v>15.2</v>
      </c>
      <c r="S50" s="372">
        <f>[21]cansim6614927908536964073!$D$169</f>
        <v>21.8</v>
      </c>
      <c r="T50" s="372">
        <f>[21]cansim6614927908536964073!$D$181</f>
        <v>19</v>
      </c>
      <c r="U50" s="372">
        <f>[21]cansim6614927908536964073!$D$193</f>
        <v>18.100000000000001</v>
      </c>
      <c r="V50" s="372">
        <f>[21]cansim6614927908536964073!$D$205</f>
        <v>18.399999999999999</v>
      </c>
      <c r="W50" s="219"/>
      <c r="X50" s="219"/>
    </row>
    <row r="51" spans="1:24" x14ac:dyDescent="0.2">
      <c r="A51" s="218" t="s">
        <v>199</v>
      </c>
      <c r="B51" s="276"/>
      <c r="C51" s="276"/>
      <c r="D51" s="276"/>
      <c r="E51" s="276"/>
      <c r="F51" s="372">
        <f>[21]cansim6614927908536964073!$D$14</f>
        <v>16.600000000000001</v>
      </c>
      <c r="G51" s="372">
        <f>[21]cansim6614927908536964073!$D$26</f>
        <v>18</v>
      </c>
      <c r="H51" s="372">
        <f>[21]cansim6614927908536964073!$D$38</f>
        <v>15.8</v>
      </c>
      <c r="I51" s="372">
        <f>[21]cansim6614927908536964073!$D$50</f>
        <v>12.4</v>
      </c>
      <c r="J51" s="372">
        <f>[21]cansim6614927908536964073!$D$62</f>
        <v>11.6</v>
      </c>
      <c r="K51" s="372">
        <f>[21]cansim6614927908536964073!$D$74</f>
        <v>11.7</v>
      </c>
      <c r="L51" s="372">
        <f>[21]cansim6614927908536964073!$D$86</f>
        <v>13.5</v>
      </c>
      <c r="M51" s="372">
        <f>[21]cansim6614927908536964073!$D$98</f>
        <v>14</v>
      </c>
      <c r="N51" s="372">
        <f>[21]cansim6614927908536964073!$D$110</f>
        <v>14.9</v>
      </c>
      <c r="O51" s="372">
        <f>[21]cansim6614927908536964073!$D$122</f>
        <v>16.5</v>
      </c>
      <c r="P51" s="372">
        <f>[21]cansim6614927908536964073!$D$134</f>
        <v>12.9</v>
      </c>
      <c r="Q51" s="372">
        <f>[21]cansim6614927908536964073!$D$146</f>
        <v>16.8</v>
      </c>
      <c r="R51" s="372">
        <f>[21]cansim6614927908536964073!$D$158</f>
        <v>15.7</v>
      </c>
      <c r="S51" s="372">
        <f>[21]cansim6614927908536964073!$D$170</f>
        <v>21</v>
      </c>
      <c r="T51" s="372">
        <f>[21]cansim6614927908536964073!$D$182</f>
        <v>19.600000000000001</v>
      </c>
      <c r="U51" s="372">
        <f>[21]cansim6614927908536964073!$D$194</f>
        <v>17.7</v>
      </c>
      <c r="V51" s="372">
        <f>[21]cansim6614927908536964073!$D$206</f>
        <v>18.899999999999999</v>
      </c>
      <c r="W51" s="219"/>
      <c r="X51" s="219"/>
    </row>
    <row r="52" spans="1:24" x14ac:dyDescent="0.2">
      <c r="A52" s="218" t="s">
        <v>200</v>
      </c>
      <c r="B52" s="276"/>
      <c r="C52" s="276"/>
      <c r="D52" s="276"/>
      <c r="E52" s="276"/>
      <c r="F52" s="372">
        <f>[21]cansim6614927908536964073!$D$15</f>
        <v>16.2</v>
      </c>
      <c r="G52" s="372">
        <f>[21]cansim6614927908536964073!$D$27</f>
        <v>18.2</v>
      </c>
      <c r="H52" s="372">
        <f>[21]cansim6614927908536964073!$D$39</f>
        <v>14.8</v>
      </c>
      <c r="I52" s="372">
        <f>[21]cansim6614927908536964073!$D$51</f>
        <v>13.2</v>
      </c>
      <c r="J52" s="372">
        <f>[21]cansim6614927908536964073!$D$63</f>
        <v>12.7</v>
      </c>
      <c r="K52" s="372">
        <f>[21]cansim6614927908536964073!$D$75</f>
        <v>11.1</v>
      </c>
      <c r="L52" s="372">
        <f>[21]cansim6614927908536964073!$D$87</f>
        <v>14.4</v>
      </c>
      <c r="M52" s="372">
        <f>[21]cansim6614927908536964073!$D$99</f>
        <v>14.5</v>
      </c>
      <c r="N52" s="372">
        <f>[21]cansim6614927908536964073!$D$111</f>
        <v>13.6</v>
      </c>
      <c r="O52" s="372">
        <f>[21]cansim6614927908536964073!$D$123</f>
        <v>16.8</v>
      </c>
      <c r="P52" s="372">
        <f>[21]cansim6614927908536964073!$D$135</f>
        <v>13.3</v>
      </c>
      <c r="Q52" s="372">
        <f>[21]cansim6614927908536964073!$D$147</f>
        <v>16.899999999999999</v>
      </c>
      <c r="R52" s="372">
        <f>[21]cansim6614927908536964073!$D$159</f>
        <v>16</v>
      </c>
      <c r="S52" s="372">
        <f>[21]cansim6614927908536964073!$D$171</f>
        <v>21</v>
      </c>
      <c r="T52" s="372">
        <f>[21]cansim6614927908536964073!$D$183</f>
        <v>20.399999999999999</v>
      </c>
      <c r="U52" s="372">
        <f>[21]cansim6614927908536964073!$D$195</f>
        <v>17.600000000000001</v>
      </c>
      <c r="V52" s="372">
        <f>[21]cansim6614927908536964073!$D$207</f>
        <v>19.100000000000001</v>
      </c>
      <c r="W52" s="219"/>
      <c r="X52" s="219"/>
    </row>
    <row r="53" spans="1:24" x14ac:dyDescent="0.2">
      <c r="A53" s="218" t="s">
        <v>201</v>
      </c>
      <c r="B53" s="276"/>
      <c r="C53" s="276"/>
      <c r="D53" s="276"/>
      <c r="E53" s="276"/>
      <c r="F53" s="372">
        <f>[21]cansim6614927908536964073!$D$16</f>
        <v>16.3</v>
      </c>
      <c r="G53" s="372">
        <f>[21]cansim6614927908536964073!$D$28</f>
        <v>17.2</v>
      </c>
      <c r="H53" s="372">
        <f>[21]cansim6614927908536964073!$D$40</f>
        <v>14.2</v>
      </c>
      <c r="I53" s="372">
        <f>[21]cansim6614927908536964073!$D$52</f>
        <v>13.2</v>
      </c>
      <c r="J53" s="372">
        <f>[21]cansim6614927908536964073!$D$64</f>
        <v>13.8</v>
      </c>
      <c r="K53" s="372">
        <f>[21]cansim6614927908536964073!$D$76</f>
        <v>11.2</v>
      </c>
      <c r="L53" s="372">
        <f>[21]cansim6614927908536964073!$D$88</f>
        <v>14.8</v>
      </c>
      <c r="M53" s="372">
        <f>[21]cansim6614927908536964073!$D$100</f>
        <v>14.9</v>
      </c>
      <c r="N53" s="372">
        <f>[21]cansim6614927908536964073!$D$112</f>
        <v>13.1</v>
      </c>
      <c r="O53" s="372">
        <f>[21]cansim6614927908536964073!$D$124</f>
        <v>16</v>
      </c>
      <c r="P53" s="372">
        <f>[21]cansim6614927908536964073!$D$136</f>
        <v>13.3</v>
      </c>
      <c r="Q53" s="372">
        <f>[21]cansim6614927908536964073!$D$148</f>
        <v>16.5</v>
      </c>
      <c r="R53" s="372">
        <f>[21]cansim6614927908536964073!$D$160</f>
        <v>17</v>
      </c>
      <c r="S53" s="372">
        <f>[21]cansim6614927908536964073!$D$172</f>
        <v>21.5</v>
      </c>
      <c r="T53" s="372">
        <f>[21]cansim6614927908536964073!$D$184</f>
        <v>20.100000000000001</v>
      </c>
      <c r="U53" s="372">
        <f>[21]cansim6614927908536964073!$D$196</f>
        <v>17.2</v>
      </c>
      <c r="V53" s="372">
        <f>[21]cansim6614927908536964073!$D$208</f>
        <v>19.399999999999999</v>
      </c>
      <c r="W53" s="219"/>
      <c r="X53" s="219"/>
    </row>
    <row r="54" spans="1:24" x14ac:dyDescent="0.2">
      <c r="A54" s="218" t="s">
        <v>202</v>
      </c>
      <c r="B54" s="276"/>
      <c r="C54" s="276"/>
      <c r="D54" s="276"/>
      <c r="E54" s="276"/>
      <c r="F54" s="372">
        <f>[21]cansim6614927908536964073!$D$17</f>
        <v>16.399999999999999</v>
      </c>
      <c r="G54" s="372">
        <f>[21]cansim6614927908536964073!$D$29</f>
        <v>16.899999999999999</v>
      </c>
      <c r="H54" s="372">
        <f>[21]cansim6614927908536964073!$D$41</f>
        <v>12.6</v>
      </c>
      <c r="I54" s="372">
        <f>[21]cansim6614927908536964073!$D$53</f>
        <v>14.6</v>
      </c>
      <c r="J54" s="372">
        <f>[21]cansim6614927908536964073!$D$65</f>
        <v>14</v>
      </c>
      <c r="K54" s="372">
        <f>[21]cansim6614927908536964073!$D$77</f>
        <v>12.1</v>
      </c>
      <c r="L54" s="372">
        <f>[21]cansim6614927908536964073!$D$89</f>
        <v>14.9</v>
      </c>
      <c r="M54" s="372">
        <f>[21]cansim6614927908536964073!$D$101</f>
        <v>14.7</v>
      </c>
      <c r="N54" s="372">
        <f>[21]cansim6614927908536964073!$D$113</f>
        <v>13.3</v>
      </c>
      <c r="O54" s="372">
        <f>[21]cansim6614927908536964073!$D$125</f>
        <v>14.3</v>
      </c>
      <c r="P54" s="372">
        <f>[21]cansim6614927908536964073!$D$137</f>
        <v>13.8</v>
      </c>
      <c r="Q54" s="372">
        <f>[21]cansim6614927908536964073!$D$149</f>
        <v>15.1</v>
      </c>
      <c r="R54" s="372">
        <f>[21]cansim6614927908536964073!$D$161</f>
        <v>17.8</v>
      </c>
      <c r="S54" s="372">
        <f>[21]cansim6614927908536964073!$D$173</f>
        <v>22.3</v>
      </c>
      <c r="T54" s="372">
        <f>[21]cansim6614927908536964073!$D$185</f>
        <v>20.2</v>
      </c>
      <c r="U54" s="372">
        <f>[21]cansim6614927908536964073!$D$197</f>
        <v>16.100000000000001</v>
      </c>
      <c r="V54" s="372">
        <f>[21]cansim6614927908536964073!$D$209</f>
        <v>18.2</v>
      </c>
      <c r="W54" s="219"/>
      <c r="X54" s="219"/>
    </row>
    <row r="55" spans="1:24" x14ac:dyDescent="0.2">
      <c r="A55" s="218" t="s">
        <v>203</v>
      </c>
      <c r="B55" s="276"/>
      <c r="C55" s="276"/>
      <c r="D55" s="276"/>
      <c r="E55" s="276"/>
      <c r="F55" s="372">
        <f>[21]cansim6614927908536964073!$D$18</f>
        <v>17.100000000000001</v>
      </c>
      <c r="G55" s="372">
        <f>[21]cansim6614927908536964073!$D$30</f>
        <v>15.7</v>
      </c>
      <c r="H55" s="372">
        <f>[21]cansim6614927908536964073!$D$42</f>
        <v>12.7</v>
      </c>
      <c r="I55" s="372">
        <f>[21]cansim6614927908536964073!$D$54</f>
        <v>14</v>
      </c>
      <c r="J55" s="372">
        <f>[21]cansim6614927908536964073!$D$66</f>
        <v>14.3</v>
      </c>
      <c r="K55" s="372">
        <f>[21]cansim6614927908536964073!$D$78</f>
        <v>13</v>
      </c>
      <c r="L55" s="372">
        <f>[21]cansim6614927908536964073!$D$90</f>
        <v>15.8</v>
      </c>
      <c r="M55" s="372">
        <f>[21]cansim6614927908536964073!$D$102</f>
        <v>13.5</v>
      </c>
      <c r="N55" s="372">
        <f>[21]cansim6614927908536964073!$D$114</f>
        <v>14.1</v>
      </c>
      <c r="O55" s="372">
        <f>[21]cansim6614927908536964073!$D$126</f>
        <v>14.4</v>
      </c>
      <c r="P55" s="372">
        <f>[21]cansim6614927908536964073!$D$138</f>
        <v>13.2</v>
      </c>
      <c r="Q55" s="372">
        <f>[21]cansim6614927908536964073!$D$150</f>
        <v>14.3</v>
      </c>
      <c r="R55" s="372">
        <f>[21]cansim6614927908536964073!$D$162</f>
        <v>18.7</v>
      </c>
      <c r="S55" s="372">
        <f>[21]cansim6614927908536964073!$D$174</f>
        <v>22.7</v>
      </c>
      <c r="T55" s="372">
        <f>[21]cansim6614927908536964073!$D$186</f>
        <v>20.3</v>
      </c>
      <c r="U55" s="372">
        <f>[21]cansim6614927908536964073!$D$198</f>
        <v>15.7</v>
      </c>
      <c r="V55" s="372">
        <f>[21]cansim6614927908536964073!$D$210</f>
        <v>17</v>
      </c>
      <c r="W55" s="219"/>
      <c r="X55" s="219"/>
    </row>
    <row r="56" spans="1:24" x14ac:dyDescent="0.2">
      <c r="A56" s="298"/>
      <c r="B56" s="298"/>
      <c r="C56" s="298"/>
      <c r="D56" s="298"/>
      <c r="E56" s="298"/>
      <c r="F56" s="370"/>
      <c r="G56" s="371"/>
      <c r="H56" s="275"/>
      <c r="I56" s="277"/>
      <c r="J56" s="275"/>
      <c r="K56" s="275"/>
      <c r="L56" s="275"/>
      <c r="M56" s="275"/>
      <c r="N56" s="275"/>
      <c r="O56" s="275"/>
      <c r="P56" s="275"/>
      <c r="Q56" s="275"/>
      <c r="R56" s="276"/>
      <c r="S56" s="275"/>
      <c r="T56" s="275"/>
      <c r="U56" s="275"/>
      <c r="V56" s="275"/>
      <c r="W56" s="277"/>
      <c r="X56" s="277"/>
    </row>
    <row r="57" spans="1:24" x14ac:dyDescent="0.2">
      <c r="A57" s="223" t="s">
        <v>305</v>
      </c>
      <c r="B57" s="223"/>
      <c r="C57" s="223"/>
      <c r="D57" s="223"/>
      <c r="E57" s="223"/>
      <c r="F57" s="217"/>
      <c r="G57" s="217"/>
    </row>
    <row r="58" spans="1:24" x14ac:dyDescent="0.2">
      <c r="A58" s="264"/>
      <c r="B58" s="214"/>
      <c r="C58" s="214"/>
      <c r="D58" s="214"/>
      <c r="E58" s="214"/>
      <c r="F58" s="215"/>
      <c r="G58" s="215"/>
    </row>
    <row r="59" spans="1:24" x14ac:dyDescent="0.2">
      <c r="A59" s="216" t="s">
        <v>192</v>
      </c>
      <c r="B59" s="216">
        <v>1992</v>
      </c>
      <c r="C59" s="216">
        <v>1993</v>
      </c>
      <c r="D59" s="216">
        <v>1994</v>
      </c>
      <c r="E59" s="216">
        <v>1995</v>
      </c>
      <c r="F59" s="216">
        <v>1996</v>
      </c>
      <c r="G59" s="216">
        <v>1997</v>
      </c>
      <c r="H59" s="216">
        <v>1998</v>
      </c>
      <c r="I59" s="216">
        <v>1999</v>
      </c>
      <c r="J59" s="216">
        <v>2000</v>
      </c>
      <c r="K59" s="216">
        <v>2001</v>
      </c>
      <c r="L59" s="216">
        <v>2002</v>
      </c>
      <c r="M59" s="216">
        <v>2003</v>
      </c>
      <c r="N59" s="216">
        <v>2004</v>
      </c>
      <c r="O59" s="216">
        <v>2005</v>
      </c>
      <c r="P59" s="216">
        <v>2006</v>
      </c>
      <c r="Q59" s="216">
        <v>2007</v>
      </c>
      <c r="R59" s="216">
        <v>2008</v>
      </c>
      <c r="S59" s="216">
        <v>2009</v>
      </c>
      <c r="T59" s="216">
        <v>2010</v>
      </c>
      <c r="U59" s="216">
        <v>2011</v>
      </c>
      <c r="V59" s="216">
        <v>2012</v>
      </c>
      <c r="W59" s="216">
        <v>2013</v>
      </c>
      <c r="X59" s="216">
        <v>2014</v>
      </c>
    </row>
    <row r="60" spans="1:24" x14ac:dyDescent="0.2">
      <c r="A60" s="214"/>
      <c r="B60" s="214"/>
      <c r="C60" s="214"/>
      <c r="D60" s="214"/>
      <c r="E60" s="214"/>
      <c r="F60" s="217"/>
      <c r="G60" s="217"/>
    </row>
    <row r="61" spans="1:24" x14ac:dyDescent="0.2">
      <c r="A61" s="218"/>
      <c r="B61" s="218"/>
      <c r="C61" s="218"/>
      <c r="D61" s="218"/>
      <c r="E61" s="218"/>
      <c r="F61" s="217"/>
      <c r="G61" s="217"/>
      <c r="H61" s="217"/>
      <c r="I61" s="217"/>
    </row>
    <row r="62" spans="1:24" x14ac:dyDescent="0.2">
      <c r="A62" s="218" t="s">
        <v>193</v>
      </c>
      <c r="B62" s="276"/>
      <c r="C62" s="276"/>
      <c r="D62" s="276"/>
      <c r="E62" s="276"/>
      <c r="F62" s="276"/>
      <c r="G62" s="372">
        <f>[21]cansim6614927908536964073!$E$19</f>
        <v>17.8</v>
      </c>
      <c r="H62" s="372">
        <f>[21]cansim6614927908536964073!$E$31</f>
        <v>14.9</v>
      </c>
      <c r="I62" s="372">
        <f>[21]cansim6614927908536964073!$E$43</f>
        <v>12.4</v>
      </c>
      <c r="J62" s="372">
        <f>[21]cansim6614927908536964073!$E$55</f>
        <v>13</v>
      </c>
      <c r="K62" s="372">
        <f>[21]cansim6614927908536964073!$E$67</f>
        <v>14.5</v>
      </c>
      <c r="L62" s="372">
        <f>[21]cansim6614927908536964073!$E$79</f>
        <v>13.9</v>
      </c>
      <c r="M62" s="372">
        <f>[21]cansim6614927908536964073!$E$91</f>
        <v>16.2</v>
      </c>
      <c r="N62" s="372">
        <f>[21]cansim6614927908536964073!$E$103</f>
        <v>14.5</v>
      </c>
      <c r="O62" s="372">
        <f>[21]cansim6614927908536964073!$E$115</f>
        <v>14.2</v>
      </c>
      <c r="P62" s="372">
        <f>[21]cansim6614927908536964073!$E$127</f>
        <v>14.8</v>
      </c>
      <c r="Q62" s="372">
        <f>[21]cansim6614927908536964073!$E$139</f>
        <v>13.1</v>
      </c>
      <c r="R62" s="372">
        <f>[21]cansim6614927908536964073!$E$151</f>
        <v>13.7</v>
      </c>
      <c r="S62" s="372">
        <f>[21]cansim6614927908536964073!$E$163</f>
        <v>19.2</v>
      </c>
      <c r="T62" s="372">
        <f>[21]cansim6614927908536964073!$E$175</f>
        <v>23.7</v>
      </c>
      <c r="U62" s="372">
        <f>[21]cansim6614927908536964073!$E$187</f>
        <v>21.3</v>
      </c>
      <c r="V62" s="372">
        <f>[21]cansim6614927908536964073!$E$199</f>
        <v>15.9</v>
      </c>
      <c r="W62" s="219"/>
      <c r="X62" s="219"/>
    </row>
    <row r="63" spans="1:24" x14ac:dyDescent="0.2">
      <c r="A63" s="218" t="s">
        <v>194</v>
      </c>
      <c r="B63" s="276"/>
      <c r="C63" s="276"/>
      <c r="D63" s="276"/>
      <c r="E63" s="276"/>
      <c r="F63" s="276"/>
      <c r="G63" s="372">
        <f>[21]cansim6614927908536964073!$E$20</f>
        <v>19.100000000000001</v>
      </c>
      <c r="H63" s="372">
        <f>[21]cansim6614927908536964073!$E$32</f>
        <v>14.4</v>
      </c>
      <c r="I63" s="372">
        <f>[21]cansim6614927908536964073!$E$44</f>
        <v>13.4</v>
      </c>
      <c r="J63" s="372">
        <f>[21]cansim6614927908536964073!$E$56</f>
        <v>11.7</v>
      </c>
      <c r="K63" s="372">
        <f>[21]cansim6614927908536964073!$E$68</f>
        <v>15.6</v>
      </c>
      <c r="L63" s="372">
        <f>[21]cansim6614927908536964073!$E$80</f>
        <v>15.6</v>
      </c>
      <c r="M63" s="372">
        <f>[21]cansim6614927908536964073!$E$92</f>
        <v>17.2</v>
      </c>
      <c r="N63" s="372">
        <f>[21]cansim6614927908536964073!$E$104</f>
        <v>15.8</v>
      </c>
      <c r="O63" s="372">
        <f>[21]cansim6614927908536964073!$E$116</f>
        <v>14.2</v>
      </c>
      <c r="P63" s="372">
        <f>[21]cansim6614927908536964073!$E$128</f>
        <v>14.8</v>
      </c>
      <c r="Q63" s="372">
        <f>[21]cansim6614927908536964073!$E$140</f>
        <v>14.1</v>
      </c>
      <c r="R63" s="372">
        <f>[21]cansim6614927908536964073!$E$152</f>
        <v>14.4</v>
      </c>
      <c r="S63" s="372">
        <f>[21]cansim6614927908536964073!$E$164</f>
        <v>21.1</v>
      </c>
      <c r="T63" s="372">
        <f>[21]cansim6614927908536964073!$E$176</f>
        <v>24.2</v>
      </c>
      <c r="U63" s="372">
        <f>[21]cansim6614927908536964073!$E$188</f>
        <v>22</v>
      </c>
      <c r="V63" s="372">
        <f>[21]cansim6614927908536964073!$E$200</f>
        <v>17.899999999999999</v>
      </c>
      <c r="W63" s="219"/>
      <c r="X63" s="219"/>
    </row>
    <row r="64" spans="1:24" x14ac:dyDescent="0.2">
      <c r="A64" s="218" t="s">
        <v>195</v>
      </c>
      <c r="B64" s="276"/>
      <c r="C64" s="276"/>
      <c r="D64" s="276"/>
      <c r="E64" s="276"/>
      <c r="F64" s="372">
        <f>[21]cansim6614927908536964073!$E$9</f>
        <v>19.2</v>
      </c>
      <c r="G64" s="372">
        <f>[21]cansim6614927908536964073!$E$21</f>
        <v>21.8</v>
      </c>
      <c r="H64" s="372">
        <f>[21]cansim6614927908536964073!$E$33</f>
        <v>15.7</v>
      </c>
      <c r="I64" s="372">
        <f>[21]cansim6614927908536964073!$E$45</f>
        <v>14</v>
      </c>
      <c r="J64" s="372">
        <f>[21]cansim6614927908536964073!$E$57</f>
        <v>11.6</v>
      </c>
      <c r="K64" s="372">
        <f>[21]cansim6614927908536964073!$E$69</f>
        <v>16.3</v>
      </c>
      <c r="L64" s="372">
        <f>[21]cansim6614927908536964073!$E$81</f>
        <v>17.399999999999999</v>
      </c>
      <c r="M64" s="372">
        <f>[21]cansim6614927908536964073!$E$93</f>
        <v>16</v>
      </c>
      <c r="N64" s="372">
        <f>[21]cansim6614927908536964073!$E$105</f>
        <v>18.100000000000001</v>
      </c>
      <c r="O64" s="372">
        <f>[21]cansim6614927908536964073!$E$117</f>
        <v>15.5</v>
      </c>
      <c r="P64" s="372">
        <f>[21]cansim6614927908536964073!$E$129</f>
        <v>15.6</v>
      </c>
      <c r="Q64" s="372">
        <f>[21]cansim6614927908536964073!$E$141</f>
        <v>15</v>
      </c>
      <c r="R64" s="372">
        <f>[21]cansim6614927908536964073!$E$153</f>
        <v>15.3</v>
      </c>
      <c r="S64" s="372">
        <f>[21]cansim6614927908536964073!$E$165</f>
        <v>22</v>
      </c>
      <c r="T64" s="372">
        <f>[21]cansim6614927908536964073!$E$177</f>
        <v>23.3</v>
      </c>
      <c r="U64" s="372">
        <f>[21]cansim6614927908536964073!$E$189</f>
        <v>22.1</v>
      </c>
      <c r="V64" s="372">
        <f>[21]cansim6614927908536964073!$E$201</f>
        <v>18</v>
      </c>
      <c r="W64" s="219"/>
      <c r="X64" s="219"/>
    </row>
    <row r="65" spans="1:24" x14ac:dyDescent="0.2">
      <c r="A65" s="218" t="s">
        <v>196</v>
      </c>
      <c r="B65" s="276"/>
      <c r="C65" s="276"/>
      <c r="D65" s="276"/>
      <c r="E65" s="276"/>
      <c r="F65" s="372">
        <f>[21]cansim6614927908536964073!$E$10</f>
        <v>18.5</v>
      </c>
      <c r="G65" s="372">
        <f>[21]cansim6614927908536964073!$E$22</f>
        <v>21.6</v>
      </c>
      <c r="H65" s="372">
        <f>[21]cansim6614927908536964073!$E$34</f>
        <v>16.7</v>
      </c>
      <c r="I65" s="372">
        <f>[21]cansim6614927908536964073!$E$46</f>
        <v>13.4</v>
      </c>
      <c r="J65" s="372">
        <f>[21]cansim6614927908536964073!$E$58</f>
        <v>11.4</v>
      </c>
      <c r="K65" s="372">
        <f>[21]cansim6614927908536964073!$E$70</f>
        <v>14.4</v>
      </c>
      <c r="L65" s="372">
        <f>[21]cansim6614927908536964073!$E$82</f>
        <v>17.100000000000001</v>
      </c>
      <c r="M65" s="372">
        <f>[21]cansim6614927908536964073!$E$94</f>
        <v>15.1</v>
      </c>
      <c r="N65" s="372">
        <f>[21]cansim6614927908536964073!$E$106</f>
        <v>17.5</v>
      </c>
      <c r="O65" s="372">
        <f>[21]cansim6614927908536964073!$E$118</f>
        <v>16.7</v>
      </c>
      <c r="P65" s="372">
        <f>[21]cansim6614927908536964073!$E$130</f>
        <v>14.1</v>
      </c>
      <c r="Q65" s="372">
        <f>[21]cansim6614927908536964073!$E$142</f>
        <v>14.6</v>
      </c>
      <c r="R65" s="372">
        <f>[21]cansim6614927908536964073!$E$154</f>
        <v>15.5</v>
      </c>
      <c r="S65" s="372">
        <f>[21]cansim6614927908536964073!$E$166</f>
        <v>23.1</v>
      </c>
      <c r="T65" s="372">
        <f>[21]cansim6614927908536964073!$E$178</f>
        <v>20.8</v>
      </c>
      <c r="U65" s="372">
        <f>[21]cansim6614927908536964073!$E$190</f>
        <v>20.9</v>
      </c>
      <c r="V65" s="372">
        <f>[21]cansim6614927908536964073!$E$202</f>
        <v>18.2</v>
      </c>
      <c r="W65" s="219"/>
      <c r="X65" s="219"/>
    </row>
    <row r="66" spans="1:24" x14ac:dyDescent="0.2">
      <c r="A66" s="218" t="s">
        <v>86</v>
      </c>
      <c r="B66" s="276"/>
      <c r="C66" s="276"/>
      <c r="D66" s="276"/>
      <c r="E66" s="276"/>
      <c r="F66" s="372">
        <f>[21]cansim6614927908536964073!$E$11</f>
        <v>17.7</v>
      </c>
      <c r="G66" s="372">
        <f>[21]cansim6614927908536964073!$E$23</f>
        <v>21</v>
      </c>
      <c r="H66" s="372">
        <f>[21]cansim6614927908536964073!$E$35</f>
        <v>17</v>
      </c>
      <c r="I66" s="372">
        <f>[21]cansim6614927908536964073!$E$47</f>
        <v>13.5</v>
      </c>
      <c r="J66" s="372">
        <f>[21]cansim6614927908536964073!$E$59</f>
        <v>12</v>
      </c>
      <c r="K66" s="372">
        <f>[21]cansim6614927908536964073!$E$71</f>
        <v>13.4</v>
      </c>
      <c r="L66" s="372">
        <f>[21]cansim6614927908536964073!$E$83</f>
        <v>17</v>
      </c>
      <c r="M66" s="372">
        <f>[21]cansim6614927908536964073!$E$95</f>
        <v>14.3</v>
      </c>
      <c r="N66" s="372">
        <f>[21]cansim6614927908536964073!$E$107</f>
        <v>17.399999999999999</v>
      </c>
      <c r="O66" s="372">
        <f>[21]cansim6614927908536964073!$E$119</f>
        <v>15.9</v>
      </c>
      <c r="P66" s="372">
        <f>[21]cansim6614927908536964073!$E$131</f>
        <v>13.9</v>
      </c>
      <c r="Q66" s="372">
        <f>[21]cansim6614927908536964073!$E$143</f>
        <v>13.1</v>
      </c>
      <c r="R66" s="372">
        <f>[21]cansim6614927908536964073!$E$155</f>
        <v>16.5</v>
      </c>
      <c r="S66" s="372">
        <f>[21]cansim6614927908536964073!$E$167</f>
        <v>22.8</v>
      </c>
      <c r="T66" s="372">
        <f>[21]cansim6614927908536964073!$E$179</f>
        <v>20</v>
      </c>
      <c r="U66" s="372">
        <f>[21]cansim6614927908536964073!$E$191</f>
        <v>19.600000000000001</v>
      </c>
      <c r="V66" s="372">
        <f>[21]cansim6614927908536964073!$E$203</f>
        <v>17.5</v>
      </c>
      <c r="W66" s="219"/>
      <c r="X66" s="219"/>
    </row>
    <row r="67" spans="1:24" x14ac:dyDescent="0.2">
      <c r="A67" s="218" t="s">
        <v>197</v>
      </c>
      <c r="B67" s="276"/>
      <c r="C67" s="276"/>
      <c r="D67" s="276"/>
      <c r="E67" s="276"/>
      <c r="F67" s="372">
        <f>[21]cansim6614927908536964073!$E$12</f>
        <v>15.7</v>
      </c>
      <c r="G67" s="372">
        <f>[21]cansim6614927908536964073!$E$24</f>
        <v>18.5</v>
      </c>
      <c r="H67" s="372">
        <f>[21]cansim6614927908536964073!$E$36</f>
        <v>16.5</v>
      </c>
      <c r="I67" s="372">
        <f>[21]cansim6614927908536964073!$E$48</f>
        <v>12.1</v>
      </c>
      <c r="J67" s="372">
        <f>[21]cansim6614927908536964073!$E$60</f>
        <v>11.3</v>
      </c>
      <c r="K67" s="372">
        <f>[21]cansim6614927908536964073!$E$72</f>
        <v>12</v>
      </c>
      <c r="L67" s="372">
        <f>[21]cansim6614927908536964073!$E$84</f>
        <v>14.6</v>
      </c>
      <c r="M67" s="372">
        <f>[21]cansim6614927908536964073!$E$96</f>
        <v>14.3</v>
      </c>
      <c r="N67" s="372">
        <f>[21]cansim6614927908536964073!$E$108</f>
        <v>16.399999999999999</v>
      </c>
      <c r="O67" s="372">
        <f>[21]cansim6614927908536964073!$E$120</f>
        <v>13.9</v>
      </c>
      <c r="P67" s="372">
        <f>[21]cansim6614927908536964073!$E$132</f>
        <v>12.5</v>
      </c>
      <c r="Q67" s="372">
        <f>[21]cansim6614927908536964073!$E$144</f>
        <v>12.9</v>
      </c>
      <c r="R67" s="372">
        <f>[21]cansim6614927908536964073!$E$156</f>
        <v>15.5</v>
      </c>
      <c r="S67" s="372">
        <f>[21]cansim6614927908536964073!$E$168</f>
        <v>22.5</v>
      </c>
      <c r="T67" s="372">
        <f>[21]cansim6614927908536964073!$E$180</f>
        <v>17.8</v>
      </c>
      <c r="U67" s="372">
        <f>[21]cansim6614927908536964073!$E$192</f>
        <v>17.3</v>
      </c>
      <c r="V67" s="372">
        <f>[21]cansim6614927908536964073!$E$204</f>
        <v>16.899999999999999</v>
      </c>
      <c r="W67" s="219"/>
      <c r="X67" s="219"/>
    </row>
    <row r="68" spans="1:24" x14ac:dyDescent="0.2">
      <c r="A68" s="218" t="s">
        <v>198</v>
      </c>
      <c r="B68" s="276"/>
      <c r="C68" s="276"/>
      <c r="D68" s="276"/>
      <c r="E68" s="276"/>
      <c r="F68" s="372">
        <f>[21]cansim6614927908536964073!$E$13</f>
        <v>16.399999999999999</v>
      </c>
      <c r="G68" s="372">
        <f>[21]cansim6614927908536964073!$E$25</f>
        <v>18.3</v>
      </c>
      <c r="H68" s="372">
        <f>[21]cansim6614927908536964073!$E$37</f>
        <v>15.3</v>
      </c>
      <c r="I68" s="372">
        <f>[21]cansim6614927908536964073!$E$49</f>
        <v>12.9</v>
      </c>
      <c r="J68" s="372">
        <f>[21]cansim6614927908536964073!$E$61</f>
        <v>10.7</v>
      </c>
      <c r="K68" s="372">
        <f>[21]cansim6614927908536964073!$E$73</f>
        <v>11.4</v>
      </c>
      <c r="L68" s="372">
        <f>[21]cansim6614927908536964073!$E$85</f>
        <v>13.8</v>
      </c>
      <c r="M68" s="372">
        <f>[21]cansim6614927908536964073!$E$97</f>
        <v>14</v>
      </c>
      <c r="N68" s="372">
        <f>[21]cansim6614927908536964073!$E$109</f>
        <v>15.9</v>
      </c>
      <c r="O68" s="372">
        <f>[21]cansim6614927908536964073!$E$121</f>
        <v>13.9</v>
      </c>
      <c r="P68" s="372">
        <f>[21]cansim6614927908536964073!$E$133</f>
        <v>12.8</v>
      </c>
      <c r="Q68" s="372">
        <f>[21]cansim6614927908536964073!$E$145</f>
        <v>14.6</v>
      </c>
      <c r="R68" s="372">
        <f>[21]cansim6614927908536964073!$E$157</f>
        <v>15.2</v>
      </c>
      <c r="S68" s="372">
        <f>[21]cansim6614927908536964073!$E$169</f>
        <v>21.6</v>
      </c>
      <c r="T68" s="372">
        <f>[21]cansim6614927908536964073!$E$181</f>
        <v>18.600000000000001</v>
      </c>
      <c r="U68" s="372">
        <f>[21]cansim6614927908536964073!$E$193</f>
        <v>16.5</v>
      </c>
      <c r="V68" s="372">
        <f>[21]cansim6614927908536964073!$E$205</f>
        <v>17.399999999999999</v>
      </c>
      <c r="W68" s="219"/>
      <c r="X68" s="219"/>
    </row>
    <row r="69" spans="1:24" x14ac:dyDescent="0.2">
      <c r="A69" s="218" t="s">
        <v>199</v>
      </c>
      <c r="B69" s="276"/>
      <c r="C69" s="276"/>
      <c r="D69" s="276"/>
      <c r="E69" s="276"/>
      <c r="F69" s="372">
        <f>[21]cansim6614927908536964073!$E$14</f>
        <v>16.7</v>
      </c>
      <c r="G69" s="372">
        <f>[21]cansim6614927908536964073!$E$26</f>
        <v>18.100000000000001</v>
      </c>
      <c r="H69" s="372">
        <f>[21]cansim6614927908536964073!$E$38</f>
        <v>15.6</v>
      </c>
      <c r="I69" s="372">
        <f>[21]cansim6614927908536964073!$E$50</f>
        <v>12.1</v>
      </c>
      <c r="J69" s="372">
        <f>[21]cansim6614927908536964073!$E$62</f>
        <v>10.9</v>
      </c>
      <c r="K69" s="372">
        <f>[21]cansim6614927908536964073!$E$74</f>
        <v>10.9</v>
      </c>
      <c r="L69" s="372">
        <f>[21]cansim6614927908536964073!$E$86</f>
        <v>12.6</v>
      </c>
      <c r="M69" s="372">
        <f>[21]cansim6614927908536964073!$E$98</f>
        <v>13.4</v>
      </c>
      <c r="N69" s="372">
        <f>[21]cansim6614927908536964073!$E$110</f>
        <v>14.7</v>
      </c>
      <c r="O69" s="372">
        <f>[21]cansim6614927908536964073!$E$122</f>
        <v>16.3</v>
      </c>
      <c r="P69" s="372">
        <f>[21]cansim6614927908536964073!$E$134</f>
        <v>12.6</v>
      </c>
      <c r="Q69" s="372">
        <f>[21]cansim6614927908536964073!$E$146</f>
        <v>16.399999999999999</v>
      </c>
      <c r="R69" s="372">
        <f>[21]cansim6614927908536964073!$E$158</f>
        <v>15.2</v>
      </c>
      <c r="S69" s="372">
        <f>[21]cansim6614927908536964073!$E$170</f>
        <v>20</v>
      </c>
      <c r="T69" s="372">
        <f>[21]cansim6614927908536964073!$E$182</f>
        <v>18.7</v>
      </c>
      <c r="U69" s="372">
        <f>[21]cansim6614927908536964073!$E$194</f>
        <v>16.600000000000001</v>
      </c>
      <c r="V69" s="372">
        <f>[21]cansim6614927908536964073!$E$206</f>
        <v>18.100000000000001</v>
      </c>
      <c r="W69" s="219"/>
      <c r="X69" s="219"/>
    </row>
    <row r="70" spans="1:24" x14ac:dyDescent="0.2">
      <c r="A70" s="218" t="s">
        <v>200</v>
      </c>
      <c r="B70" s="276"/>
      <c r="C70" s="276"/>
      <c r="D70" s="276"/>
      <c r="E70" s="276"/>
      <c r="F70" s="372">
        <f>[21]cansim6614927908536964073!$E$15</f>
        <v>16.5</v>
      </c>
      <c r="G70" s="372">
        <f>[21]cansim6614927908536964073!$E$27</f>
        <v>18.399999999999999</v>
      </c>
      <c r="H70" s="372">
        <f>[21]cansim6614927908536964073!$E$39</f>
        <v>14.7</v>
      </c>
      <c r="I70" s="372">
        <f>[21]cansim6614927908536964073!$E$51</f>
        <v>13</v>
      </c>
      <c r="J70" s="372">
        <f>[21]cansim6614927908536964073!$E$63</f>
        <v>12</v>
      </c>
      <c r="K70" s="372">
        <f>[21]cansim6614927908536964073!$E$75</f>
        <v>10.199999999999999</v>
      </c>
      <c r="L70" s="372">
        <f>[21]cansim6614927908536964073!$E$87</f>
        <v>13.2</v>
      </c>
      <c r="M70" s="372">
        <f>[21]cansim6614927908536964073!$E$99</f>
        <v>13.2</v>
      </c>
      <c r="N70" s="372">
        <f>[21]cansim6614927908536964073!$E$111</f>
        <v>12.8</v>
      </c>
      <c r="O70" s="372">
        <f>[21]cansim6614927908536964073!$E$123</f>
        <v>16.100000000000001</v>
      </c>
      <c r="P70" s="372">
        <f>[21]cansim6614927908536964073!$E$135</f>
        <v>12.7</v>
      </c>
      <c r="Q70" s="372">
        <f>[21]cansim6614927908536964073!$E$147</f>
        <v>16.399999999999999</v>
      </c>
      <c r="R70" s="372">
        <f>[21]cansim6614927908536964073!$E$159</f>
        <v>15.4</v>
      </c>
      <c r="S70" s="372">
        <f>[21]cansim6614927908536964073!$E$171</f>
        <v>20.2</v>
      </c>
      <c r="T70" s="372">
        <f>[21]cansim6614927908536964073!$E$183</f>
        <v>19.8</v>
      </c>
      <c r="U70" s="372">
        <f>[21]cansim6614927908536964073!$E$195</f>
        <v>16.899999999999999</v>
      </c>
      <c r="V70" s="372">
        <f>[21]cansim6614927908536964073!$E$207</f>
        <v>18.8</v>
      </c>
      <c r="W70" s="219"/>
      <c r="X70" s="219"/>
    </row>
    <row r="71" spans="1:24" x14ac:dyDescent="0.2">
      <c r="A71" s="218" t="s">
        <v>201</v>
      </c>
      <c r="B71" s="276"/>
      <c r="C71" s="276"/>
      <c r="D71" s="276"/>
      <c r="E71" s="276"/>
      <c r="F71" s="372">
        <f>[21]cansim6614927908536964073!$E$16</f>
        <v>15.8</v>
      </c>
      <c r="G71" s="372">
        <f>[21]cansim6614927908536964073!$E$28</f>
        <v>16.600000000000001</v>
      </c>
      <c r="H71" s="372">
        <f>[21]cansim6614927908536964073!$E$40</f>
        <v>13.4</v>
      </c>
      <c r="I71" s="372">
        <f>[21]cansim6614927908536964073!$E$52</f>
        <v>12.4</v>
      </c>
      <c r="J71" s="372">
        <f>[21]cansim6614927908536964073!$E$64</f>
        <v>12.6</v>
      </c>
      <c r="K71" s="372">
        <f>[21]cansim6614927908536964073!$E$76</f>
        <v>9.6999999999999993</v>
      </c>
      <c r="L71" s="372">
        <f>[21]cansim6614927908536964073!$E$88</f>
        <v>13.4</v>
      </c>
      <c r="M71" s="372">
        <f>[21]cansim6614927908536964073!$E$100</f>
        <v>13.2</v>
      </c>
      <c r="N71" s="372">
        <f>[21]cansim6614927908536964073!$E$112</f>
        <v>11.4</v>
      </c>
      <c r="O71" s="372">
        <f>[21]cansim6614927908536964073!$E$124</f>
        <v>14.3</v>
      </c>
      <c r="P71" s="372">
        <f>[21]cansim6614927908536964073!$E$136</f>
        <v>11.6</v>
      </c>
      <c r="Q71" s="372">
        <f>[21]cansim6614927908536964073!$E$148</f>
        <v>14.7</v>
      </c>
      <c r="R71" s="372">
        <f>[21]cansim6614927908536964073!$E$160</f>
        <v>15.7</v>
      </c>
      <c r="S71" s="372">
        <f>[21]cansim6614927908536964073!$E$172</f>
        <v>19.899999999999999</v>
      </c>
      <c r="T71" s="372">
        <f>[21]cansim6614927908536964073!$E$184</f>
        <v>18.8</v>
      </c>
      <c r="U71" s="372">
        <f>[21]cansim6614927908536964073!$E$196</f>
        <v>15.7</v>
      </c>
      <c r="V71" s="372">
        <f>[21]cansim6614927908536964073!$E$208</f>
        <v>18</v>
      </c>
      <c r="W71" s="219"/>
      <c r="X71" s="219"/>
    </row>
    <row r="72" spans="1:24" x14ac:dyDescent="0.2">
      <c r="A72" s="218" t="s">
        <v>202</v>
      </c>
      <c r="B72" s="276"/>
      <c r="C72" s="276"/>
      <c r="D72" s="276"/>
      <c r="E72" s="276"/>
      <c r="F72" s="372">
        <f>[21]cansim6614927908536964073!$E$17</f>
        <v>15.5</v>
      </c>
      <c r="G72" s="372">
        <f>[21]cansim6614927908536964073!$E$29</f>
        <v>15.9</v>
      </c>
      <c r="H72" s="372">
        <f>[21]cansim6614927908536964073!$E$41</f>
        <v>11.5</v>
      </c>
      <c r="I72" s="372">
        <f>[21]cansim6614927908536964073!$E$53</f>
        <v>13.3</v>
      </c>
      <c r="J72" s="372">
        <f>[21]cansim6614927908536964073!$E$65</f>
        <v>12.4</v>
      </c>
      <c r="K72" s="372">
        <f>[21]cansim6614927908536964073!$E$77</f>
        <v>10.1</v>
      </c>
      <c r="L72" s="372">
        <f>[21]cansim6614927908536964073!$E$89</f>
        <v>13.9</v>
      </c>
      <c r="M72" s="372">
        <f>[21]cansim6614927908536964073!$E$101</f>
        <v>13.4</v>
      </c>
      <c r="N72" s="372">
        <f>[21]cansim6614927908536964073!$E$113</f>
        <v>11.6</v>
      </c>
      <c r="O72" s="372">
        <f>[21]cansim6614927908536964073!$E$125</f>
        <v>12.5</v>
      </c>
      <c r="P72" s="372">
        <f>[21]cansim6614927908536964073!$E$137</f>
        <v>11.8</v>
      </c>
      <c r="Q72" s="372">
        <f>[21]cansim6614927908536964073!$E$149</f>
        <v>13</v>
      </c>
      <c r="R72" s="372">
        <f>[21]cansim6614927908536964073!$E$161</f>
        <v>16.600000000000001</v>
      </c>
      <c r="S72" s="372">
        <f>[21]cansim6614927908536964073!$E$173</f>
        <v>20.7</v>
      </c>
      <c r="T72" s="372">
        <f>[21]cansim6614927908536964073!$E$185</f>
        <v>18.399999999999999</v>
      </c>
      <c r="U72" s="372">
        <f>[21]cansim6614927908536964073!$E$197</f>
        <v>14.1</v>
      </c>
      <c r="V72" s="372">
        <f>[21]cansim6614927908536964073!$E$209</f>
        <v>15.6</v>
      </c>
      <c r="W72" s="219"/>
      <c r="X72" s="219"/>
    </row>
    <row r="73" spans="1:24" x14ac:dyDescent="0.2">
      <c r="A73" s="218" t="s">
        <v>203</v>
      </c>
      <c r="B73" s="276"/>
      <c r="C73" s="276"/>
      <c r="D73" s="276"/>
      <c r="E73" s="276"/>
      <c r="F73" s="372">
        <f>[21]cansim6614927908536964073!$E$18</f>
        <v>16.2</v>
      </c>
      <c r="G73" s="372">
        <f>[21]cansim6614927908536964073!$E$30</f>
        <v>14.6</v>
      </c>
      <c r="H73" s="372">
        <f>[21]cansim6614927908536964073!$E$42</f>
        <v>11.6</v>
      </c>
      <c r="I73" s="372">
        <f>[21]cansim6614927908536964073!$E$54</f>
        <v>12.9</v>
      </c>
      <c r="J73" s="372">
        <f>[21]cansim6614927908536964073!$E$66</f>
        <v>12.8</v>
      </c>
      <c r="K73" s="372">
        <f>[21]cansim6614927908536964073!$E$78</f>
        <v>11.3</v>
      </c>
      <c r="L73" s="372">
        <f>[21]cansim6614927908536964073!$E$90</f>
        <v>15.3</v>
      </c>
      <c r="M73" s="372">
        <f>[21]cansim6614927908536964073!$E$102</f>
        <v>12.8</v>
      </c>
      <c r="N73" s="372">
        <f>[21]cansim6614927908536964073!$E$114</f>
        <v>12.9</v>
      </c>
      <c r="O73" s="372">
        <f>[21]cansim6614927908536964073!$E$126</f>
        <v>13.1</v>
      </c>
      <c r="P73" s="372">
        <f>[21]cansim6614927908536964073!$E$138</f>
        <v>11.7</v>
      </c>
      <c r="Q73" s="372">
        <f>[21]cansim6614927908536964073!$E$150</f>
        <v>12.7</v>
      </c>
      <c r="R73" s="372">
        <f>[21]cansim6614927908536964073!$E$162</f>
        <v>18.100000000000001</v>
      </c>
      <c r="S73" s="372">
        <f>[21]cansim6614927908536964073!$E$174</f>
        <v>22</v>
      </c>
      <c r="T73" s="372">
        <f>[21]cansim6614927908536964073!$E$186</f>
        <v>19.3</v>
      </c>
      <c r="U73" s="372">
        <f>[21]cansim6614927908536964073!$E$198</f>
        <v>14.4</v>
      </c>
      <c r="V73" s="372">
        <f>[21]cansim6614927908536964073!$E$210</f>
        <v>14.9</v>
      </c>
      <c r="W73" s="219"/>
      <c r="X73" s="219"/>
    </row>
    <row r="74" spans="1:24" x14ac:dyDescent="0.2">
      <c r="A74" s="298"/>
      <c r="B74" s="298"/>
      <c r="C74" s="298"/>
      <c r="D74" s="298"/>
      <c r="E74" s="298"/>
      <c r="F74" s="370"/>
      <c r="G74" s="371"/>
      <c r="H74" s="275"/>
      <c r="I74" s="277"/>
      <c r="J74" s="275"/>
      <c r="K74" s="275"/>
      <c r="L74" s="275"/>
      <c r="M74" s="275"/>
      <c r="N74" s="275"/>
      <c r="O74" s="275"/>
      <c r="P74" s="275"/>
      <c r="Q74" s="275"/>
      <c r="R74" s="276"/>
      <c r="S74" s="275"/>
      <c r="T74" s="275"/>
      <c r="U74" s="275"/>
      <c r="V74" s="275"/>
      <c r="W74" s="277"/>
      <c r="X74" s="27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6"/>
  <sheetViews>
    <sheetView topLeftCell="G1" workbookViewId="0">
      <selection activeCell="S34" sqref="S34"/>
    </sheetView>
  </sheetViews>
  <sheetFormatPr defaultRowHeight="12.75" x14ac:dyDescent="0.2"/>
  <sheetData>
    <row r="1" spans="1:24" x14ac:dyDescent="0.2">
      <c r="A1" s="20" t="s">
        <v>316</v>
      </c>
    </row>
    <row r="3" spans="1:24" x14ac:dyDescent="0.2">
      <c r="A3" s="213" t="s">
        <v>321</v>
      </c>
      <c r="F3" s="212"/>
      <c r="G3" s="212"/>
    </row>
    <row r="4" spans="1:24" ht="15.75" thickBot="1" x14ac:dyDescent="0.3">
      <c r="A4" s="218" t="s">
        <v>324</v>
      </c>
      <c r="B4" s="793"/>
      <c r="C4" s="793"/>
      <c r="D4" s="793"/>
      <c r="E4" s="793"/>
      <c r="F4" s="793"/>
      <c r="G4" s="793"/>
      <c r="H4" s="793"/>
      <c r="I4" s="793"/>
      <c r="J4" s="793"/>
      <c r="K4" s="793"/>
      <c r="L4" s="794"/>
      <c r="M4" s="405">
        <f>M25+M45+M65</f>
        <v>193226.27828414517</v>
      </c>
      <c r="N4" s="405">
        <f t="shared" ref="N4:S4" si="0">N25+N45+N65</f>
        <v>202809.70632311454</v>
      </c>
      <c r="O4" s="405">
        <f t="shared" si="0"/>
        <v>186398</v>
      </c>
      <c r="P4" s="405">
        <f t="shared" si="0"/>
        <v>203999</v>
      </c>
      <c r="Q4" s="405">
        <f t="shared" si="0"/>
        <v>206551</v>
      </c>
      <c r="R4" s="405">
        <f t="shared" si="0"/>
        <v>202603.41415970441</v>
      </c>
      <c r="S4" s="405">
        <f t="shared" si="0"/>
        <v>195940.59234697139</v>
      </c>
      <c r="T4" s="405">
        <f>T25+T45</f>
        <v>200917.70349332422</v>
      </c>
      <c r="U4" s="405">
        <f>U25+U45</f>
        <v>203911.44999999998</v>
      </c>
      <c r="V4" s="405">
        <f>V25+V45</f>
        <v>205975.31</v>
      </c>
      <c r="W4" s="220">
        <f>W24+W44+W64+W84+W104+W124</f>
        <v>0</v>
      </c>
      <c r="X4" s="220">
        <f>X24+X44+X64+X84+X104+X124</f>
        <v>0</v>
      </c>
    </row>
    <row r="5" spans="1:24" ht="13.5" thickTop="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row>
    <row r="6" spans="1:24" x14ac:dyDescent="0.2">
      <c r="A6" s="213"/>
      <c r="F6" s="212"/>
      <c r="G6" s="212"/>
    </row>
    <row r="7" spans="1:24" x14ac:dyDescent="0.2">
      <c r="A7" s="223" t="s">
        <v>317</v>
      </c>
      <c r="B7" s="223"/>
      <c r="C7" s="223"/>
      <c r="D7" s="223"/>
      <c r="E7" s="223"/>
      <c r="F7" s="217"/>
      <c r="G7" s="217"/>
    </row>
    <row r="8" spans="1:24" x14ac:dyDescent="0.2">
      <c r="A8" s="264"/>
      <c r="B8" s="214"/>
      <c r="C8" s="214"/>
      <c r="D8" s="214"/>
      <c r="E8" s="214"/>
      <c r="F8" s="215"/>
      <c r="G8" s="215"/>
    </row>
    <row r="9" spans="1:24" x14ac:dyDescent="0.2">
      <c r="A9" s="216" t="s">
        <v>192</v>
      </c>
      <c r="B9" s="216">
        <v>1992</v>
      </c>
      <c r="C9" s="216">
        <v>1993</v>
      </c>
      <c r="D9" s="216">
        <v>1994</v>
      </c>
      <c r="E9" s="216">
        <v>1995</v>
      </c>
      <c r="F9" s="216">
        <v>1996</v>
      </c>
      <c r="G9" s="216">
        <v>1997</v>
      </c>
      <c r="H9" s="216">
        <v>1998</v>
      </c>
      <c r="I9" s="216">
        <v>1999</v>
      </c>
      <c r="J9" s="216">
        <v>2000</v>
      </c>
      <c r="K9" s="216">
        <v>2001</v>
      </c>
      <c r="L9" s="216">
        <v>2002</v>
      </c>
      <c r="M9" s="216">
        <v>2003</v>
      </c>
      <c r="N9" s="216">
        <v>2004</v>
      </c>
      <c r="O9" s="216">
        <v>2005</v>
      </c>
      <c r="P9" s="216">
        <v>2006</v>
      </c>
      <c r="Q9" s="216">
        <v>2007</v>
      </c>
      <c r="R9" s="216">
        <v>2008</v>
      </c>
      <c r="S9" s="216">
        <v>2009</v>
      </c>
      <c r="T9" s="216">
        <v>2010</v>
      </c>
      <c r="U9" s="216">
        <v>2011</v>
      </c>
      <c r="V9" s="216">
        <v>2012</v>
      </c>
      <c r="W9" s="216">
        <v>2013</v>
      </c>
      <c r="X9" s="216">
        <v>2014</v>
      </c>
    </row>
    <row r="10" spans="1:24" x14ac:dyDescent="0.2">
      <c r="A10" s="214"/>
      <c r="B10" s="214"/>
      <c r="C10" s="214"/>
      <c r="D10" s="214"/>
      <c r="E10" s="214"/>
      <c r="F10" s="217"/>
      <c r="G10" s="217"/>
    </row>
    <row r="11" spans="1:24" x14ac:dyDescent="0.2">
      <c r="A11" s="218"/>
      <c r="B11" s="218"/>
      <c r="C11" s="218"/>
      <c r="D11" s="218"/>
      <c r="E11" s="218"/>
      <c r="F11" s="217"/>
      <c r="G11" s="217"/>
      <c r="H11" s="217"/>
      <c r="I11" s="217"/>
    </row>
    <row r="12" spans="1:24" x14ac:dyDescent="0.2">
      <c r="A12" s="218" t="s">
        <v>193</v>
      </c>
      <c r="M12" s="219"/>
      <c r="N12" s="219"/>
      <c r="O12" s="219"/>
      <c r="P12" s="219"/>
      <c r="Q12" s="219"/>
      <c r="W12" s="65"/>
      <c r="X12" s="65"/>
    </row>
    <row r="13" spans="1:24" x14ac:dyDescent="0.2">
      <c r="A13" s="218" t="s">
        <v>194</v>
      </c>
      <c r="M13" s="219"/>
      <c r="N13" s="219"/>
      <c r="O13" s="219"/>
      <c r="P13" s="219"/>
      <c r="Q13" s="219"/>
      <c r="W13" s="65"/>
      <c r="X13" s="65"/>
    </row>
    <row r="14" spans="1:24" x14ac:dyDescent="0.2">
      <c r="A14" s="218" t="s">
        <v>195</v>
      </c>
    </row>
    <row r="15" spans="1:24" x14ac:dyDescent="0.2">
      <c r="A15" s="218" t="s">
        <v>196</v>
      </c>
    </row>
    <row r="16" spans="1:24" x14ac:dyDescent="0.2">
      <c r="A16" s="218" t="s">
        <v>86</v>
      </c>
    </row>
    <row r="17" spans="1:24" x14ac:dyDescent="0.2">
      <c r="A17" s="218" t="s">
        <v>197</v>
      </c>
    </row>
    <row r="18" spans="1:24" x14ac:dyDescent="0.2">
      <c r="A18" s="218" t="s">
        <v>198</v>
      </c>
    </row>
    <row r="19" spans="1:24" x14ac:dyDescent="0.2">
      <c r="A19" s="218" t="s">
        <v>199</v>
      </c>
    </row>
    <row r="20" spans="1:24" x14ac:dyDescent="0.2">
      <c r="A20" s="218" t="s">
        <v>200</v>
      </c>
    </row>
    <row r="21" spans="1:24" x14ac:dyDescent="0.2">
      <c r="A21" s="218" t="s">
        <v>201</v>
      </c>
    </row>
    <row r="22" spans="1:24" x14ac:dyDescent="0.2">
      <c r="A22" s="218" t="s">
        <v>202</v>
      </c>
    </row>
    <row r="23" spans="1:24" x14ac:dyDescent="0.2">
      <c r="A23" s="218" t="s">
        <v>203</v>
      </c>
    </row>
    <row r="24" spans="1:24" x14ac:dyDescent="0.2">
      <c r="A24" s="218"/>
      <c r="B24" s="218"/>
      <c r="C24" s="218"/>
      <c r="D24" s="218"/>
      <c r="E24" s="218"/>
      <c r="F24" s="265"/>
      <c r="G24" s="212"/>
      <c r="I24" s="65"/>
      <c r="R24" s="219"/>
      <c r="W24" s="65"/>
      <c r="X24" s="65"/>
    </row>
    <row r="25" spans="1:24" ht="15.75" thickBot="1" x14ac:dyDescent="0.3">
      <c r="A25" s="218" t="s">
        <v>9</v>
      </c>
      <c r="B25" s="793" t="s">
        <v>319</v>
      </c>
      <c r="C25" s="793"/>
      <c r="D25" s="793"/>
      <c r="E25" s="793"/>
      <c r="F25" s="793"/>
      <c r="G25" s="793"/>
      <c r="H25" s="793"/>
      <c r="I25" s="793"/>
      <c r="J25" s="793"/>
      <c r="K25" s="793"/>
      <c r="L25" s="794"/>
      <c r="M25" s="397">
        <f>'[7]2002 to 2012'!$K$26</f>
        <v>190424.12</v>
      </c>
      <c r="N25" s="397">
        <f>'[7]2002 to 2012'!$K$40</f>
        <v>199831.88</v>
      </c>
      <c r="O25" s="397">
        <f>'[7]2002 to 2012'!$K$54</f>
        <v>183435</v>
      </c>
      <c r="P25" s="397">
        <f>'[7]2002 to 2012'!$K$68</f>
        <v>201104</v>
      </c>
      <c r="Q25" s="397">
        <f>'[7]2002 to 2012'!$K$82</f>
        <v>203395</v>
      </c>
      <c r="R25" s="397">
        <f>'[7]2002 to 2012'!$K$97</f>
        <v>199264.06025278466</v>
      </c>
      <c r="S25" s="397">
        <f>'[7]2002 to 2012'!$K$111</f>
        <v>192955.14550135657</v>
      </c>
      <c r="T25" s="397">
        <f>'[7]2002 to 2012'!$K$125</f>
        <v>197719.76424585879</v>
      </c>
      <c r="U25" s="397">
        <f>'[7]2002 to 2012'!$K$139</f>
        <v>200689.96</v>
      </c>
      <c r="V25" s="397">
        <f>'[7]2002 to 2012'!$K$153</f>
        <v>202737.31</v>
      </c>
      <c r="W25" s="220">
        <f>SUM(W12:W24)</f>
        <v>0</v>
      </c>
      <c r="X25" s="220">
        <f>SUM(X12:X24)</f>
        <v>0</v>
      </c>
    </row>
    <row r="26" spans="1:24" ht="13.5" thickTop="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x14ac:dyDescent="0.2">
      <c r="A27" s="223" t="s">
        <v>318</v>
      </c>
      <c r="B27" s="223"/>
      <c r="C27" s="223"/>
      <c r="D27" s="223"/>
      <c r="E27" s="223"/>
      <c r="F27" s="217"/>
      <c r="G27" s="217"/>
    </row>
    <row r="28" spans="1:24" x14ac:dyDescent="0.2">
      <c r="A28" s="395"/>
      <c r="B28" s="396"/>
      <c r="C28" s="396"/>
      <c r="D28" s="396"/>
      <c r="E28" s="214"/>
      <c r="F28" s="215"/>
      <c r="G28" s="215"/>
    </row>
    <row r="29" spans="1:24" x14ac:dyDescent="0.2">
      <c r="A29" s="216" t="s">
        <v>192</v>
      </c>
      <c r="B29" s="216">
        <v>1992</v>
      </c>
      <c r="C29" s="216">
        <v>1993</v>
      </c>
      <c r="D29" s="216">
        <v>1994</v>
      </c>
      <c r="E29" s="216">
        <v>1995</v>
      </c>
      <c r="F29" s="216">
        <v>1996</v>
      </c>
      <c r="G29" s="216">
        <v>1997</v>
      </c>
      <c r="H29" s="216">
        <v>1998</v>
      </c>
      <c r="I29" s="216">
        <v>1999</v>
      </c>
      <c r="J29" s="216">
        <v>2000</v>
      </c>
      <c r="K29" s="216">
        <v>2001</v>
      </c>
      <c r="L29" s="216">
        <v>2002</v>
      </c>
      <c r="M29" s="216">
        <v>2003</v>
      </c>
      <c r="N29" s="216">
        <v>2004</v>
      </c>
      <c r="O29" s="216">
        <v>2005</v>
      </c>
      <c r="P29" s="216">
        <v>2006</v>
      </c>
      <c r="Q29" s="216">
        <v>2007</v>
      </c>
      <c r="R29" s="216">
        <v>2008</v>
      </c>
      <c r="S29" s="216">
        <v>2009</v>
      </c>
      <c r="T29" s="216">
        <v>2010</v>
      </c>
      <c r="U29" s="216">
        <v>2011</v>
      </c>
      <c r="V29" s="216">
        <v>2012</v>
      </c>
      <c r="W29" s="216">
        <v>2013</v>
      </c>
      <c r="X29" s="216">
        <v>2014</v>
      </c>
    </row>
    <row r="30" spans="1:24" x14ac:dyDescent="0.2">
      <c r="A30" s="214"/>
      <c r="B30" s="214"/>
      <c r="C30" s="214"/>
      <c r="D30" s="214"/>
      <c r="E30" s="214"/>
      <c r="F30" s="217"/>
      <c r="G30" s="217"/>
    </row>
    <row r="31" spans="1:24" x14ac:dyDescent="0.2">
      <c r="A31" s="218"/>
      <c r="B31" s="218"/>
      <c r="C31" s="218"/>
      <c r="D31" s="218"/>
      <c r="E31" s="218"/>
      <c r="F31" s="217"/>
      <c r="G31" s="217"/>
      <c r="H31" s="217"/>
      <c r="I31" s="217"/>
    </row>
    <row r="32" spans="1:24" x14ac:dyDescent="0.2">
      <c r="A32" s="218" t="s">
        <v>193</v>
      </c>
      <c r="W32" s="65"/>
      <c r="X32" s="65"/>
    </row>
    <row r="33" spans="1:24" x14ac:dyDescent="0.2">
      <c r="A33" s="218" t="s">
        <v>194</v>
      </c>
      <c r="W33" s="65"/>
      <c r="X33" s="65"/>
    </row>
    <row r="34" spans="1:24" x14ac:dyDescent="0.2">
      <c r="A34" s="218" t="s">
        <v>195</v>
      </c>
    </row>
    <row r="35" spans="1:24" x14ac:dyDescent="0.2">
      <c r="A35" s="218" t="s">
        <v>196</v>
      </c>
    </row>
    <row r="36" spans="1:24" x14ac:dyDescent="0.2">
      <c r="A36" s="218" t="s">
        <v>86</v>
      </c>
    </row>
    <row r="37" spans="1:24" x14ac:dyDescent="0.2">
      <c r="A37" s="218" t="s">
        <v>197</v>
      </c>
    </row>
    <row r="38" spans="1:24" x14ac:dyDescent="0.2">
      <c r="A38" s="218" t="s">
        <v>198</v>
      </c>
    </row>
    <row r="39" spans="1:24" x14ac:dyDescent="0.2">
      <c r="A39" s="218" t="s">
        <v>199</v>
      </c>
    </row>
    <row r="40" spans="1:24" x14ac:dyDescent="0.2">
      <c r="A40" s="218" t="s">
        <v>200</v>
      </c>
    </row>
    <row r="41" spans="1:24" x14ac:dyDescent="0.2">
      <c r="A41" s="218" t="s">
        <v>201</v>
      </c>
    </row>
    <row r="42" spans="1:24" x14ac:dyDescent="0.2">
      <c r="A42" s="218" t="s">
        <v>202</v>
      </c>
    </row>
    <row r="43" spans="1:24" x14ac:dyDescent="0.2">
      <c r="A43" s="218" t="s">
        <v>203</v>
      </c>
    </row>
    <row r="44" spans="1:24" x14ac:dyDescent="0.2">
      <c r="A44" s="218"/>
      <c r="B44" s="218"/>
      <c r="C44" s="218"/>
      <c r="D44" s="218"/>
      <c r="E44" s="218"/>
      <c r="F44" s="265"/>
      <c r="G44" s="212"/>
      <c r="I44" s="65"/>
      <c r="R44" s="219"/>
      <c r="W44" s="65"/>
      <c r="X44" s="65"/>
    </row>
    <row r="45" spans="1:24" ht="15.75" thickBot="1" x14ac:dyDescent="0.3">
      <c r="A45" s="218" t="s">
        <v>9</v>
      </c>
      <c r="B45" s="793" t="s">
        <v>319</v>
      </c>
      <c r="C45" s="793"/>
      <c r="D45" s="793"/>
      <c r="E45" s="793"/>
      <c r="F45" s="793"/>
      <c r="G45" s="793"/>
      <c r="H45" s="793"/>
      <c r="I45" s="793"/>
      <c r="J45" s="793"/>
      <c r="K45" s="793"/>
      <c r="L45" s="794"/>
      <c r="M45" s="397">
        <f>'[7]2002 to 2012'!$K$27</f>
        <v>2379.9104000000002</v>
      </c>
      <c r="N45" s="397">
        <f>'[7]2002 to 2012'!$K$41</f>
        <v>2576.6799999999998</v>
      </c>
      <c r="O45" s="397">
        <f>'[7]2002 to 2012'!$K$55</f>
        <v>2626</v>
      </c>
      <c r="P45" s="397">
        <f>'[7]2002 to 2012'!$K$69</f>
        <v>2644</v>
      </c>
      <c r="Q45" s="397">
        <f>'[7]2002 to 2012'!$K$83</f>
        <v>2899</v>
      </c>
      <c r="R45" s="397">
        <f>'[7]2002 to 2012'!$K$98</f>
        <v>3094.7685294731714</v>
      </c>
      <c r="S45" s="397">
        <f>'[7]2002 to 2012'!$K$112</f>
        <v>2883.032223061407</v>
      </c>
      <c r="T45" s="397">
        <f>'[7]2002 to 2012'!$K$126</f>
        <v>3197.9392474654219</v>
      </c>
      <c r="U45" s="397">
        <f>'[7]2002 to 2012'!$K$140</f>
        <v>3221.49</v>
      </c>
      <c r="V45" s="397">
        <f>'[7]2002 to 2012'!$K$154</f>
        <v>3238</v>
      </c>
      <c r="W45" s="220"/>
      <c r="X45" s="220">
        <f>SUM(X32:X44)</f>
        <v>0</v>
      </c>
    </row>
    <row r="46" spans="1:24" ht="13.5" thickTop="1" x14ac:dyDescent="0.2">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row>
    <row r="47" spans="1:24" x14ac:dyDescent="0.2">
      <c r="A47" s="223" t="s">
        <v>98</v>
      </c>
      <c r="B47" s="223"/>
      <c r="C47" s="223"/>
      <c r="D47" s="223"/>
      <c r="E47" s="223"/>
      <c r="F47" s="217"/>
      <c r="G47" s="217"/>
    </row>
    <row r="48" spans="1:24" x14ac:dyDescent="0.2">
      <c r="A48" s="395"/>
      <c r="B48" s="396"/>
      <c r="C48" s="396"/>
      <c r="D48" s="396"/>
      <c r="E48" s="214"/>
      <c r="F48" s="215"/>
      <c r="G48" s="215"/>
    </row>
    <row r="49" spans="1:24" x14ac:dyDescent="0.2">
      <c r="A49" s="216" t="s">
        <v>192</v>
      </c>
      <c r="B49" s="216">
        <v>1992</v>
      </c>
      <c r="C49" s="216">
        <v>1993</v>
      </c>
      <c r="D49" s="216">
        <v>1994</v>
      </c>
      <c r="E49" s="216">
        <v>1995</v>
      </c>
      <c r="F49" s="216">
        <v>1996</v>
      </c>
      <c r="G49" s="216">
        <v>1997</v>
      </c>
      <c r="H49" s="216">
        <v>1998</v>
      </c>
      <c r="I49" s="216">
        <v>1999</v>
      </c>
      <c r="J49" s="216">
        <v>2000</v>
      </c>
      <c r="K49" s="216">
        <v>2001</v>
      </c>
      <c r="L49" s="216">
        <v>2002</v>
      </c>
      <c r="M49" s="216">
        <v>2003</v>
      </c>
      <c r="N49" s="216">
        <v>2004</v>
      </c>
      <c r="O49" s="216">
        <v>2005</v>
      </c>
      <c r="P49" s="216">
        <v>2006</v>
      </c>
      <c r="Q49" s="216">
        <v>2007</v>
      </c>
      <c r="R49" s="216">
        <v>2008</v>
      </c>
      <c r="S49" s="216">
        <v>2009</v>
      </c>
      <c r="T49" s="216">
        <v>2010</v>
      </c>
      <c r="U49" s="216">
        <v>2011</v>
      </c>
      <c r="V49" s="216">
        <v>2012</v>
      </c>
      <c r="W49" s="216">
        <v>2013</v>
      </c>
      <c r="X49" s="216">
        <v>2014</v>
      </c>
    </row>
    <row r="50" spans="1:24" x14ac:dyDescent="0.2">
      <c r="A50" s="214"/>
      <c r="B50" s="214"/>
      <c r="C50" s="214"/>
      <c r="D50" s="214"/>
      <c r="E50" s="214"/>
      <c r="F50" s="217"/>
      <c r="G50" s="217"/>
    </row>
    <row r="51" spans="1:24" x14ac:dyDescent="0.2">
      <c r="A51" s="218"/>
      <c r="B51" s="218"/>
      <c r="C51" s="218"/>
      <c r="D51" s="218"/>
      <c r="E51" s="218"/>
      <c r="F51" s="217"/>
      <c r="G51" s="217"/>
      <c r="H51" s="217"/>
      <c r="I51" s="217"/>
    </row>
    <row r="52" spans="1:24" x14ac:dyDescent="0.2">
      <c r="A52" s="218" t="s">
        <v>193</v>
      </c>
      <c r="W52" s="65"/>
      <c r="X52" s="65"/>
    </row>
    <row r="53" spans="1:24" x14ac:dyDescent="0.2">
      <c r="A53" s="218" t="s">
        <v>194</v>
      </c>
      <c r="W53" s="65"/>
      <c r="X53" s="65"/>
    </row>
    <row r="54" spans="1:24" x14ac:dyDescent="0.2">
      <c r="A54" s="218" t="s">
        <v>195</v>
      </c>
    </row>
    <row r="55" spans="1:24" x14ac:dyDescent="0.2">
      <c r="A55" s="218" t="s">
        <v>196</v>
      </c>
    </row>
    <row r="56" spans="1:24" x14ac:dyDescent="0.2">
      <c r="A56" s="218" t="s">
        <v>86</v>
      </c>
    </row>
    <row r="57" spans="1:24" x14ac:dyDescent="0.2">
      <c r="A57" s="218" t="s">
        <v>197</v>
      </c>
    </row>
    <row r="58" spans="1:24" x14ac:dyDescent="0.2">
      <c r="A58" s="218" t="s">
        <v>198</v>
      </c>
    </row>
    <row r="59" spans="1:24" x14ac:dyDescent="0.2">
      <c r="A59" s="218" t="s">
        <v>199</v>
      </c>
    </row>
    <row r="60" spans="1:24" x14ac:dyDescent="0.2">
      <c r="A60" s="218" t="s">
        <v>200</v>
      </c>
    </row>
    <row r="61" spans="1:24" x14ac:dyDescent="0.2">
      <c r="A61" s="218" t="s">
        <v>201</v>
      </c>
    </row>
    <row r="62" spans="1:24" x14ac:dyDescent="0.2">
      <c r="A62" s="218" t="s">
        <v>202</v>
      </c>
    </row>
    <row r="63" spans="1:24" x14ac:dyDescent="0.2">
      <c r="A63" s="218" t="s">
        <v>203</v>
      </c>
    </row>
    <row r="64" spans="1:24" x14ac:dyDescent="0.2">
      <c r="A64" s="218"/>
      <c r="B64" s="218"/>
      <c r="C64" s="218"/>
      <c r="D64" s="218"/>
      <c r="E64" s="218"/>
      <c r="F64" s="265"/>
      <c r="G64" s="212"/>
      <c r="I64" s="65"/>
      <c r="R64" s="219"/>
      <c r="W64" s="65"/>
      <c r="X64" s="65"/>
    </row>
    <row r="65" spans="1:24" ht="15.75" thickBot="1" x14ac:dyDescent="0.3">
      <c r="A65" s="218" t="s">
        <v>9</v>
      </c>
      <c r="B65" s="793" t="s">
        <v>319</v>
      </c>
      <c r="C65" s="793"/>
      <c r="D65" s="793"/>
      <c r="E65" s="793"/>
      <c r="F65" s="793"/>
      <c r="G65" s="793"/>
      <c r="H65" s="793"/>
      <c r="I65" s="793"/>
      <c r="J65" s="793"/>
      <c r="K65" s="793"/>
      <c r="L65" s="794"/>
      <c r="M65" s="397">
        <f>'[7]2002 to 2012'!$K$28</f>
        <v>422.24788414519463</v>
      </c>
      <c r="N65" s="397">
        <f>'[7]2002 to 2012'!$K$42</f>
        <v>401.14632311453829</v>
      </c>
      <c r="O65" s="397">
        <f>'[7]2002 to 2012'!$K$56</f>
        <v>337</v>
      </c>
      <c r="P65" s="397">
        <f>'[7]2002 to 2012'!$K$70</f>
        <v>251</v>
      </c>
      <c r="Q65" s="397">
        <f>'[7]2002 to 2012'!$K$84</f>
        <v>257</v>
      </c>
      <c r="R65" s="397">
        <f>'[7]2002 to 2012'!$K$99</f>
        <v>244.58537744657013</v>
      </c>
      <c r="S65" s="397">
        <f>'[7]2002 to 2012'!$K$113</f>
        <v>102.41462255342987</v>
      </c>
      <c r="T65" s="795" t="s">
        <v>320</v>
      </c>
      <c r="U65" s="796"/>
      <c r="V65" s="796"/>
      <c r="W65" s="796"/>
      <c r="X65" s="796"/>
    </row>
    <row r="66" spans="1:24" ht="13.5" thickTop="1" x14ac:dyDescent="0.2">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row>
  </sheetData>
  <mergeCells count="5">
    <mergeCell ref="B25:L25"/>
    <mergeCell ref="B45:L45"/>
    <mergeCell ref="B65:L65"/>
    <mergeCell ref="T65:X65"/>
    <mergeCell ref="B4:L4"/>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29"/>
  <sheetViews>
    <sheetView workbookViewId="0">
      <pane xSplit="1" ySplit="1" topLeftCell="B191" activePane="bottomRight" state="frozen"/>
      <selection pane="topRight" activeCell="B1" sqref="B1"/>
      <selection pane="bottomLeft" activeCell="A2" sqref="A2"/>
      <selection pane="bottomRight" activeCell="I201" sqref="I201"/>
    </sheetView>
  </sheetViews>
  <sheetFormatPr defaultRowHeight="12.75" x14ac:dyDescent="0.2"/>
  <cols>
    <col min="2" max="2" width="12.7109375" bestFit="1" customWidth="1"/>
    <col min="8" max="8" width="10.140625" bestFit="1" customWidth="1"/>
    <col min="10" max="10" width="12.7109375" bestFit="1" customWidth="1"/>
  </cols>
  <sheetData>
    <row r="1" spans="1:10" s="570" customFormat="1" ht="60" x14ac:dyDescent="0.25">
      <c r="A1" s="567"/>
      <c r="B1" s="568" t="s">
        <v>284</v>
      </c>
      <c r="C1" s="568" t="s">
        <v>2</v>
      </c>
      <c r="D1" s="568" t="s">
        <v>3</v>
      </c>
      <c r="E1" s="568" t="s">
        <v>277</v>
      </c>
      <c r="F1" s="568" t="s">
        <v>279</v>
      </c>
      <c r="G1" s="568" t="s">
        <v>215</v>
      </c>
      <c r="H1" s="568" t="s">
        <v>74</v>
      </c>
      <c r="I1" s="569" t="s">
        <v>432</v>
      </c>
      <c r="J1" s="484" t="s">
        <v>10</v>
      </c>
    </row>
    <row r="2" spans="1:10" ht="15" x14ac:dyDescent="0.25">
      <c r="A2" s="3">
        <v>35065</v>
      </c>
      <c r="B2" s="518">
        <f>'Purchased Power Model '!B51</f>
        <v>12502629</v>
      </c>
      <c r="C2" s="518">
        <f>'Purchased Power Model '!C51</f>
        <v>705.05</v>
      </c>
      <c r="D2" s="518">
        <f>'Purchased Power Model '!D51</f>
        <v>0</v>
      </c>
      <c r="E2" s="518">
        <f>'Purchased Power Model '!F51</f>
        <v>31</v>
      </c>
      <c r="F2" s="518">
        <f>'Purchased Power Model '!H51</f>
        <v>0</v>
      </c>
      <c r="G2" s="518">
        <f>'Purchased Power Model '!I51</f>
        <v>0</v>
      </c>
      <c r="H2" s="518">
        <f>'Purchased Power Model '!M51</f>
        <v>0</v>
      </c>
      <c r="I2" s="519">
        <f>'Purchased Power Model '!O51</f>
        <v>94.715305091666934</v>
      </c>
      <c r="J2" s="654">
        <f>'Purchased Power Model '!T51</f>
        <v>12142097.11822897</v>
      </c>
    </row>
    <row r="3" spans="1:10" ht="15" x14ac:dyDescent="0.25">
      <c r="A3" s="3">
        <v>35096</v>
      </c>
      <c r="B3" s="518">
        <f>'Purchased Power Model '!B52</f>
        <v>11504822</v>
      </c>
      <c r="C3" s="518">
        <f>'Purchased Power Model '!C52</f>
        <v>623.70000000000005</v>
      </c>
      <c r="D3" s="518">
        <f>'Purchased Power Model '!D52</f>
        <v>0</v>
      </c>
      <c r="E3" s="518">
        <f>'Purchased Power Model '!F52</f>
        <v>29</v>
      </c>
      <c r="F3" s="518">
        <f>'Purchased Power Model '!H52</f>
        <v>0</v>
      </c>
      <c r="G3" s="518">
        <f>'Purchased Power Model '!I52</f>
        <v>0</v>
      </c>
      <c r="H3" s="518">
        <f>'Purchased Power Model '!M52</f>
        <v>0</v>
      </c>
      <c r="I3" s="519">
        <f>'Purchased Power Model '!O52</f>
        <v>94.800748405985075</v>
      </c>
      <c r="J3" s="654">
        <f>'Purchased Power Model '!T52</f>
        <v>10880868.251096498</v>
      </c>
    </row>
    <row r="4" spans="1:10" ht="15" x14ac:dyDescent="0.25">
      <c r="A4" s="3">
        <v>35125</v>
      </c>
      <c r="B4" s="518">
        <f>'Purchased Power Model '!B53</f>
        <v>11558341</v>
      </c>
      <c r="C4" s="518">
        <f>'Purchased Power Model '!C53</f>
        <v>585.35</v>
      </c>
      <c r="D4" s="518">
        <f>'Purchased Power Model '!D53</f>
        <v>0</v>
      </c>
      <c r="E4" s="518">
        <f>'Purchased Power Model '!F53</f>
        <v>31</v>
      </c>
      <c r="F4" s="518">
        <f>'Purchased Power Model '!H53</f>
        <v>0</v>
      </c>
      <c r="G4" s="518">
        <f>'Purchased Power Model '!I53</f>
        <v>1</v>
      </c>
      <c r="H4" s="518">
        <f>'Purchased Power Model '!M53</f>
        <v>0</v>
      </c>
      <c r="I4" s="519">
        <f>'Purchased Power Model '!O53</f>
        <v>94.886268799292239</v>
      </c>
      <c r="J4" s="654">
        <f>'Purchased Power Model '!T53</f>
        <v>10811245.981477292</v>
      </c>
    </row>
    <row r="5" spans="1:10" ht="15" x14ac:dyDescent="0.25">
      <c r="A5" s="3">
        <v>35156</v>
      </c>
      <c r="B5" s="518">
        <f>'Purchased Power Model '!B54</f>
        <v>10081641</v>
      </c>
      <c r="C5" s="518">
        <f>'Purchased Power Model '!C54</f>
        <v>395.7</v>
      </c>
      <c r="D5" s="518">
        <f>'Purchased Power Model '!D54</f>
        <v>0</v>
      </c>
      <c r="E5" s="518">
        <f>'Purchased Power Model '!F54</f>
        <v>30</v>
      </c>
      <c r="F5" s="518">
        <f>'Purchased Power Model '!H54</f>
        <v>0</v>
      </c>
      <c r="G5" s="518">
        <f>'Purchased Power Model '!I54</f>
        <v>1</v>
      </c>
      <c r="H5" s="518">
        <f>'Purchased Power Model '!M54</f>
        <v>0</v>
      </c>
      <c r="I5" s="519">
        <f>'Purchased Power Model '!O54</f>
        <v>94.971866341121896</v>
      </c>
      <c r="J5" s="654">
        <f>'Purchased Power Model '!T54</f>
        <v>9636776.8770542257</v>
      </c>
    </row>
    <row r="6" spans="1:10" ht="15" x14ac:dyDescent="0.25">
      <c r="A6" s="3">
        <v>35186</v>
      </c>
      <c r="B6" s="518">
        <f>'Purchased Power Model '!B55</f>
        <v>9844919</v>
      </c>
      <c r="C6" s="518">
        <f>'Purchased Power Model '!C55</f>
        <v>240.4</v>
      </c>
      <c r="D6" s="518">
        <f>'Purchased Power Model '!D55</f>
        <v>3.2</v>
      </c>
      <c r="E6" s="518">
        <f>'Purchased Power Model '!F55</f>
        <v>31</v>
      </c>
      <c r="F6" s="518">
        <f>'Purchased Power Model '!H55</f>
        <v>0</v>
      </c>
      <c r="G6" s="518">
        <f>'Purchased Power Model '!I55</f>
        <v>1</v>
      </c>
      <c r="H6" s="518">
        <f>'Purchased Power Model '!M55</f>
        <v>0</v>
      </c>
      <c r="I6" s="519">
        <f>'Purchased Power Model '!O55</f>
        <v>95.057541101070257</v>
      </c>
      <c r="J6" s="654">
        <f>'Purchased Power Model '!T55</f>
        <v>9664653.2550342176</v>
      </c>
    </row>
    <row r="7" spans="1:10" ht="15" x14ac:dyDescent="0.25">
      <c r="A7" s="3">
        <v>35217</v>
      </c>
      <c r="B7" s="518">
        <f>'Purchased Power Model '!B56</f>
        <v>10453919</v>
      </c>
      <c r="C7" s="518">
        <f>'Purchased Power Model '!C56</f>
        <v>37.299999999999997</v>
      </c>
      <c r="D7" s="518">
        <f>'Purchased Power Model '!D56</f>
        <v>21.9</v>
      </c>
      <c r="E7" s="518">
        <f>'Purchased Power Model '!F56</f>
        <v>30</v>
      </c>
      <c r="F7" s="518">
        <f>'Purchased Power Model '!H56</f>
        <v>0</v>
      </c>
      <c r="G7" s="518">
        <f>'Purchased Power Model '!I56</f>
        <v>0</v>
      </c>
      <c r="H7" s="518">
        <f>'Purchased Power Model '!M56</f>
        <v>0</v>
      </c>
      <c r="I7" s="519">
        <f>'Purchased Power Model '!O56</f>
        <v>95.143293148796303</v>
      </c>
      <c r="J7" s="654">
        <f>'Purchased Power Model '!T56</f>
        <v>9963595.097068781</v>
      </c>
    </row>
    <row r="8" spans="1:10" ht="15" x14ac:dyDescent="0.25">
      <c r="A8" s="3">
        <v>35247</v>
      </c>
      <c r="B8" s="518">
        <f>'Purchased Power Model '!B57</f>
        <v>11888649</v>
      </c>
      <c r="C8" s="518">
        <f>'Purchased Power Model '!C57</f>
        <v>2.6</v>
      </c>
      <c r="D8" s="518">
        <f>'Purchased Power Model '!D57</f>
        <v>77.099999999999994</v>
      </c>
      <c r="E8" s="518">
        <f>'Purchased Power Model '!F57</f>
        <v>31</v>
      </c>
      <c r="F8" s="518">
        <f>'Purchased Power Model '!H57</f>
        <v>1</v>
      </c>
      <c r="G8" s="518">
        <f>'Purchased Power Model '!I57</f>
        <v>0</v>
      </c>
      <c r="H8" s="518">
        <f>'Purchased Power Model '!M57</f>
        <v>0</v>
      </c>
      <c r="I8" s="519">
        <f>'Purchased Power Model '!O57</f>
        <v>95.22912255402187</v>
      </c>
      <c r="J8" s="654">
        <f>'Purchased Power Model '!T57</f>
        <v>12743268.226695947</v>
      </c>
    </row>
    <row r="9" spans="1:10" ht="15" x14ac:dyDescent="0.25">
      <c r="A9" s="3">
        <v>35278</v>
      </c>
      <c r="B9" s="518">
        <f>'Purchased Power Model '!B58</f>
        <v>13630712</v>
      </c>
      <c r="C9" s="518">
        <f>'Purchased Power Model '!C58</f>
        <v>0</v>
      </c>
      <c r="D9" s="518">
        <f>'Purchased Power Model '!D58</f>
        <v>145.44999999999999</v>
      </c>
      <c r="E9" s="518">
        <f>'Purchased Power Model '!F58</f>
        <v>31</v>
      </c>
      <c r="F9" s="518">
        <f>'Purchased Power Model '!H58</f>
        <v>1</v>
      </c>
      <c r="G9" s="518">
        <f>'Purchased Power Model '!I58</f>
        <v>0</v>
      </c>
      <c r="H9" s="518">
        <f>'Purchased Power Model '!M58</f>
        <v>0</v>
      </c>
      <c r="I9" s="519">
        <f>'Purchased Power Model '!O58</f>
        <v>95.315029386531663</v>
      </c>
      <c r="J9" s="654">
        <f>'Purchased Power Model '!T58</f>
        <v>14989913.30431515</v>
      </c>
    </row>
    <row r="10" spans="1:10" ht="15" x14ac:dyDescent="0.25">
      <c r="A10" s="3">
        <v>35309</v>
      </c>
      <c r="B10" s="518">
        <f>'Purchased Power Model '!B59</f>
        <v>11568448</v>
      </c>
      <c r="C10" s="518">
        <f>'Purchased Power Model '!C59</f>
        <v>30.9</v>
      </c>
      <c r="D10" s="518">
        <f>'Purchased Power Model '!D59</f>
        <v>44.75</v>
      </c>
      <c r="E10" s="518">
        <f>'Purchased Power Model '!F59</f>
        <v>30</v>
      </c>
      <c r="F10" s="518">
        <f>'Purchased Power Model '!H59</f>
        <v>1</v>
      </c>
      <c r="G10" s="518">
        <f>'Purchased Power Model '!I59</f>
        <v>0</v>
      </c>
      <c r="H10" s="518">
        <f>'Purchased Power Model '!M59</f>
        <v>0</v>
      </c>
      <c r="I10" s="519">
        <f>'Purchased Power Model '!O59</f>
        <v>95.401013716173367</v>
      </c>
      <c r="J10" s="654">
        <f>'Purchased Power Model '!T59</f>
        <v>11316310.025521595</v>
      </c>
    </row>
    <row r="11" spans="1:10" ht="15" x14ac:dyDescent="0.25">
      <c r="A11" s="3">
        <v>35339</v>
      </c>
      <c r="B11" s="518">
        <f>'Purchased Power Model '!B60</f>
        <v>10739347</v>
      </c>
      <c r="C11" s="518">
        <f>'Purchased Power Model '!C60</f>
        <v>142.1</v>
      </c>
      <c r="D11" s="518">
        <f>'Purchased Power Model '!D60</f>
        <v>7.3</v>
      </c>
      <c r="E11" s="518">
        <f>'Purchased Power Model '!F60</f>
        <v>31</v>
      </c>
      <c r="F11" s="518">
        <f>'Purchased Power Model '!H60</f>
        <v>0</v>
      </c>
      <c r="G11" s="518">
        <f>'Purchased Power Model '!I60</f>
        <v>0</v>
      </c>
      <c r="H11" s="518">
        <f>'Purchased Power Model '!M60</f>
        <v>0</v>
      </c>
      <c r="I11" s="519">
        <f>'Purchased Power Model '!O60</f>
        <v>95.487075612857652</v>
      </c>
      <c r="J11" s="654">
        <f>'Purchased Power Model '!T60</f>
        <v>10390368.863165127</v>
      </c>
    </row>
    <row r="12" spans="1:10" ht="15" x14ac:dyDescent="0.25">
      <c r="A12" s="3">
        <v>35370</v>
      </c>
      <c r="B12" s="518">
        <f>'Purchased Power Model '!B61</f>
        <v>11382512</v>
      </c>
      <c r="C12" s="518">
        <f>'Purchased Power Model '!C61</f>
        <v>435.7</v>
      </c>
      <c r="D12" s="518">
        <f>'Purchased Power Model '!D61</f>
        <v>0</v>
      </c>
      <c r="E12" s="518">
        <f>'Purchased Power Model '!F61</f>
        <v>30</v>
      </c>
      <c r="F12" s="518">
        <f>'Purchased Power Model '!H61</f>
        <v>0</v>
      </c>
      <c r="G12" s="518">
        <f>'Purchased Power Model '!I61</f>
        <v>0</v>
      </c>
      <c r="H12" s="518">
        <f>'Purchased Power Model '!M61</f>
        <v>0</v>
      </c>
      <c r="I12" s="519">
        <f>'Purchased Power Model '!O61</f>
        <v>95.573215146558283</v>
      </c>
      <c r="J12" s="654">
        <f>'Purchased Power Model '!T61</f>
        <v>10754570.362577984</v>
      </c>
    </row>
    <row r="13" spans="1:10" ht="15" x14ac:dyDescent="0.25">
      <c r="A13" s="3">
        <v>35400</v>
      </c>
      <c r="B13" s="518">
        <f>'Purchased Power Model '!B62</f>
        <v>11982545</v>
      </c>
      <c r="C13" s="518">
        <f>'Purchased Power Model '!C62</f>
        <v>512.79999999999995</v>
      </c>
      <c r="D13" s="518">
        <f>'Purchased Power Model '!D62</f>
        <v>0</v>
      </c>
      <c r="E13" s="518">
        <f>'Purchased Power Model '!F62</f>
        <v>31</v>
      </c>
      <c r="F13" s="518">
        <f>'Purchased Power Model '!H62</f>
        <v>0</v>
      </c>
      <c r="G13" s="518">
        <f>'Purchased Power Model '!I62</f>
        <v>0</v>
      </c>
      <c r="H13" s="518">
        <f>'Purchased Power Model '!M62</f>
        <v>0</v>
      </c>
      <c r="I13" s="519">
        <f>'Purchased Power Model '!O62</f>
        <v>95.659432387312208</v>
      </c>
      <c r="J13" s="654">
        <f>'Purchased Power Model '!T62</f>
        <v>11532652.662739145</v>
      </c>
    </row>
    <row r="14" spans="1:10" ht="15" x14ac:dyDescent="0.25">
      <c r="A14" s="3">
        <v>35431</v>
      </c>
      <c r="B14" s="518">
        <f>'Purchased Power Model '!B63</f>
        <v>12523563</v>
      </c>
      <c r="C14" s="518">
        <f>'Purchased Power Model '!C63</f>
        <v>663.65</v>
      </c>
      <c r="D14" s="518">
        <f>'Purchased Power Model '!D63</f>
        <v>0</v>
      </c>
      <c r="E14" s="518">
        <f>'Purchased Power Model '!F63</f>
        <v>31</v>
      </c>
      <c r="F14" s="518">
        <f>'Purchased Power Model '!H63</f>
        <v>0</v>
      </c>
      <c r="G14" s="518">
        <f>'Purchased Power Model '!I63</f>
        <v>0</v>
      </c>
      <c r="H14" s="518">
        <f>'Purchased Power Model '!M63</f>
        <v>0</v>
      </c>
      <c r="I14" s="519">
        <f>'Purchased Power Model '!O63</f>
        <v>96.013834907485574</v>
      </c>
      <c r="J14" s="654">
        <f>'Purchased Power Model '!T63</f>
        <v>12124706.112362523</v>
      </c>
    </row>
    <row r="15" spans="1:10" ht="15" x14ac:dyDescent="0.25">
      <c r="A15" s="3">
        <v>35462</v>
      </c>
      <c r="B15" s="518">
        <f>'Purchased Power Model '!B64</f>
        <v>10534404</v>
      </c>
      <c r="C15" s="518">
        <f>'Purchased Power Model '!C64</f>
        <v>521.4</v>
      </c>
      <c r="D15" s="518">
        <f>'Purchased Power Model '!D64</f>
        <v>0</v>
      </c>
      <c r="E15" s="518">
        <f>'Purchased Power Model '!F64</f>
        <v>28</v>
      </c>
      <c r="F15" s="518">
        <f>'Purchased Power Model '!H64</f>
        <v>0</v>
      </c>
      <c r="G15" s="518">
        <f>'Purchased Power Model '!I64</f>
        <v>0</v>
      </c>
      <c r="H15" s="518">
        <f>'Purchased Power Model '!M64</f>
        <v>0</v>
      </c>
      <c r="I15" s="519">
        <f>'Purchased Power Model '!O64</f>
        <v>96.369550430916135</v>
      </c>
      <c r="J15" s="654">
        <f>'Purchased Power Model '!T64</f>
        <v>10182077.69389738</v>
      </c>
    </row>
    <row r="16" spans="1:10" ht="15" x14ac:dyDescent="0.25">
      <c r="A16" s="3">
        <v>35490</v>
      </c>
      <c r="B16" s="518">
        <f>'Purchased Power Model '!B65</f>
        <v>11157735</v>
      </c>
      <c r="C16" s="518">
        <f>'Purchased Power Model '!C65</f>
        <v>536.9</v>
      </c>
      <c r="D16" s="518">
        <f>'Purchased Power Model '!D65</f>
        <v>0</v>
      </c>
      <c r="E16" s="518">
        <f>'Purchased Power Model '!F65</f>
        <v>31</v>
      </c>
      <c r="F16" s="518">
        <f>'Purchased Power Model '!H65</f>
        <v>0</v>
      </c>
      <c r="G16" s="518">
        <f>'Purchased Power Model '!I65</f>
        <v>1</v>
      </c>
      <c r="H16" s="518">
        <f>'Purchased Power Model '!M65</f>
        <v>0</v>
      </c>
      <c r="I16" s="519">
        <f>'Purchased Power Model '!O65</f>
        <v>96.726583822065777</v>
      </c>
      <c r="J16" s="654">
        <f>'Purchased Power Model '!T65</f>
        <v>10824226.453864288</v>
      </c>
    </row>
    <row r="17" spans="1:10" ht="15" x14ac:dyDescent="0.25">
      <c r="A17" s="3">
        <v>35521</v>
      </c>
      <c r="B17" s="518">
        <f>'Purchased Power Model '!B66</f>
        <v>9796251</v>
      </c>
      <c r="C17" s="518">
        <f>'Purchased Power Model '!C66</f>
        <v>368.15</v>
      </c>
      <c r="D17" s="518">
        <f>'Purchased Power Model '!D66</f>
        <v>0</v>
      </c>
      <c r="E17" s="518">
        <f>'Purchased Power Model '!F66</f>
        <v>30</v>
      </c>
      <c r="F17" s="518">
        <f>'Purchased Power Model '!H66</f>
        <v>0</v>
      </c>
      <c r="G17" s="518">
        <f>'Purchased Power Model '!I66</f>
        <v>1</v>
      </c>
      <c r="H17" s="518">
        <f>'Purchased Power Model '!M66</f>
        <v>0</v>
      </c>
      <c r="I17" s="519">
        <f>'Purchased Power Model '!O66</f>
        <v>97.084939963418421</v>
      </c>
      <c r="J17" s="654">
        <f>'Purchased Power Model '!T66</f>
        <v>9755034.7827362325</v>
      </c>
    </row>
    <row r="18" spans="1:10" ht="15" x14ac:dyDescent="0.25">
      <c r="A18" s="3">
        <v>35551</v>
      </c>
      <c r="B18" s="518">
        <f>'Purchased Power Model '!B67</f>
        <v>9682362</v>
      </c>
      <c r="C18" s="518">
        <f>'Purchased Power Model '!C67</f>
        <v>259.3</v>
      </c>
      <c r="D18" s="518">
        <f>'Purchased Power Model '!D67</f>
        <v>0</v>
      </c>
      <c r="E18" s="518">
        <f>'Purchased Power Model '!F67</f>
        <v>31</v>
      </c>
      <c r="F18" s="518">
        <f>'Purchased Power Model '!H67</f>
        <v>0</v>
      </c>
      <c r="G18" s="518">
        <f>'Purchased Power Model '!I67</f>
        <v>1</v>
      </c>
      <c r="H18" s="518">
        <f>'Purchased Power Model '!M67</f>
        <v>0</v>
      </c>
      <c r="I18" s="519">
        <f>'Purchased Power Model '!O67</f>
        <v>97.444623755546786</v>
      </c>
      <c r="J18" s="654">
        <f>'Purchased Power Model '!T67</f>
        <v>9877143.9096473847</v>
      </c>
    </row>
    <row r="19" spans="1:10" ht="15" x14ac:dyDescent="0.25">
      <c r="A19" s="3">
        <v>35582</v>
      </c>
      <c r="B19" s="518">
        <f>'Purchased Power Model '!B68</f>
        <v>11112777</v>
      </c>
      <c r="C19" s="518">
        <f>'Purchased Power Model '!C68</f>
        <v>39.4</v>
      </c>
      <c r="D19" s="518">
        <f>'Purchased Power Model '!D68</f>
        <v>64.400000000000006</v>
      </c>
      <c r="E19" s="518">
        <f>'Purchased Power Model '!F68</f>
        <v>30</v>
      </c>
      <c r="F19" s="518">
        <f>'Purchased Power Model '!H68</f>
        <v>0</v>
      </c>
      <c r="G19" s="518">
        <f>'Purchased Power Model '!I68</f>
        <v>0</v>
      </c>
      <c r="H19" s="518">
        <f>'Purchased Power Model '!M68</f>
        <v>0</v>
      </c>
      <c r="I19" s="519">
        <f>'Purchased Power Model '!O68</f>
        <v>97.805640117179436</v>
      </c>
      <c r="J19" s="654">
        <f>'Purchased Power Model '!T68</f>
        <v>11645439.946070712</v>
      </c>
    </row>
    <row r="20" spans="1:10" ht="15" x14ac:dyDescent="0.25">
      <c r="A20" s="3">
        <v>35612</v>
      </c>
      <c r="B20" s="518">
        <f>'Purchased Power Model '!B69</f>
        <v>12761684</v>
      </c>
      <c r="C20" s="518">
        <f>'Purchased Power Model '!C69</f>
        <v>8</v>
      </c>
      <c r="D20" s="518">
        <f>'Purchased Power Model '!D69</f>
        <v>96.6</v>
      </c>
      <c r="E20" s="518">
        <f>'Purchased Power Model '!F69</f>
        <v>31</v>
      </c>
      <c r="F20" s="518">
        <f>'Purchased Power Model '!H69</f>
        <v>1</v>
      </c>
      <c r="G20" s="518">
        <f>'Purchased Power Model '!I69</f>
        <v>0</v>
      </c>
      <c r="H20" s="518">
        <f>'Purchased Power Model '!M69</f>
        <v>0</v>
      </c>
      <c r="I20" s="519">
        <f>'Purchased Power Model '!O69</f>
        <v>98.167993985267998</v>
      </c>
      <c r="J20" s="654">
        <f>'Purchased Power Model '!T69</f>
        <v>13709785.496064276</v>
      </c>
    </row>
    <row r="21" spans="1:10" ht="15" x14ac:dyDescent="0.25">
      <c r="A21" s="3">
        <v>35643</v>
      </c>
      <c r="B21" s="518">
        <f>'Purchased Power Model '!B70</f>
        <v>12911556</v>
      </c>
      <c r="C21" s="518">
        <f>'Purchased Power Model '!C70</f>
        <v>7.2</v>
      </c>
      <c r="D21" s="518">
        <f>'Purchased Power Model '!D70</f>
        <v>71.3</v>
      </c>
      <c r="E21" s="518">
        <f>'Purchased Power Model '!F70</f>
        <v>31</v>
      </c>
      <c r="F21" s="518">
        <f>'Purchased Power Model '!H70</f>
        <v>1</v>
      </c>
      <c r="G21" s="518">
        <f>'Purchased Power Model '!I70</f>
        <v>0</v>
      </c>
      <c r="H21" s="518">
        <f>'Purchased Power Model '!M70</f>
        <v>0</v>
      </c>
      <c r="I21" s="519">
        <f>'Purchased Power Model '!O70</f>
        <v>98.531690315054689</v>
      </c>
      <c r="J21" s="654">
        <f>'Purchased Power Model '!T70</f>
        <v>12912807.408840403</v>
      </c>
    </row>
    <row r="22" spans="1:10" ht="15" x14ac:dyDescent="0.25">
      <c r="A22" s="3">
        <v>35674</v>
      </c>
      <c r="B22" s="518">
        <f>'Purchased Power Model '!B71</f>
        <v>11166200</v>
      </c>
      <c r="C22" s="518">
        <f>'Purchased Power Model '!C71</f>
        <v>48.7</v>
      </c>
      <c r="D22" s="518">
        <f>'Purchased Power Model '!D71</f>
        <v>18.3</v>
      </c>
      <c r="E22" s="518">
        <f>'Purchased Power Model '!F71</f>
        <v>30</v>
      </c>
      <c r="F22" s="518">
        <f>'Purchased Power Model '!H71</f>
        <v>1</v>
      </c>
      <c r="G22" s="518">
        <f>'Purchased Power Model '!I71</f>
        <v>0</v>
      </c>
      <c r="H22" s="518">
        <f>'Purchased Power Model '!M71</f>
        <v>0</v>
      </c>
      <c r="I22" s="519">
        <f>'Purchased Power Model '!O71</f>
        <v>98.896734080140092</v>
      </c>
      <c r="J22" s="654">
        <f>'Purchased Power Model '!T71</f>
        <v>10875558.364076655</v>
      </c>
    </row>
    <row r="23" spans="1:10" ht="15" x14ac:dyDescent="0.25">
      <c r="A23" s="3">
        <v>35704</v>
      </c>
      <c r="B23" s="518">
        <f>'Purchased Power Model '!B72</f>
        <v>10878920</v>
      </c>
      <c r="C23" s="518">
        <f>'Purchased Power Model '!C72</f>
        <v>222.95</v>
      </c>
      <c r="D23" s="518">
        <f>'Purchased Power Model '!D72</f>
        <v>2.1</v>
      </c>
      <c r="E23" s="518">
        <f>'Purchased Power Model '!F72</f>
        <v>31</v>
      </c>
      <c r="F23" s="518">
        <f>'Purchased Power Model '!H72</f>
        <v>0</v>
      </c>
      <c r="G23" s="518">
        <f>'Purchased Power Model '!I72</f>
        <v>0</v>
      </c>
      <c r="H23" s="518">
        <f>'Purchased Power Model '!M72</f>
        <v>0</v>
      </c>
      <c r="I23" s="519">
        <f>'Purchased Power Model '!O72</f>
        <v>99.26313027255118</v>
      </c>
      <c r="J23" s="654">
        <f>'Purchased Power Model '!T72</f>
        <v>10909498.041062433</v>
      </c>
    </row>
    <row r="24" spans="1:10" ht="15" x14ac:dyDescent="0.25">
      <c r="A24" s="3">
        <v>35735</v>
      </c>
      <c r="B24" s="518">
        <f>'Purchased Power Model '!B73</f>
        <v>11283929</v>
      </c>
      <c r="C24" s="518">
        <f>'Purchased Power Model '!C73</f>
        <v>413.45</v>
      </c>
      <c r="D24" s="518">
        <f>'Purchased Power Model '!D73</f>
        <v>0</v>
      </c>
      <c r="E24" s="518">
        <f>'Purchased Power Model '!F73</f>
        <v>30</v>
      </c>
      <c r="F24" s="518">
        <f>'Purchased Power Model '!H73</f>
        <v>0</v>
      </c>
      <c r="G24" s="518">
        <f>'Purchased Power Model '!I73</f>
        <v>0</v>
      </c>
      <c r="H24" s="518">
        <f>'Purchased Power Model '!M73</f>
        <v>0</v>
      </c>
      <c r="I24" s="519">
        <f>'Purchased Power Model '!O73</f>
        <v>99.630883902809558</v>
      </c>
      <c r="J24" s="654">
        <f>'Purchased Power Model '!T73</f>
        <v>11094479.019355478</v>
      </c>
    </row>
    <row r="25" spans="1:10" ht="15" x14ac:dyDescent="0.25">
      <c r="A25" s="3">
        <v>35765</v>
      </c>
      <c r="B25" s="518">
        <f>'Purchased Power Model '!B74</f>
        <v>12104164</v>
      </c>
      <c r="C25" s="518">
        <f>'Purchased Power Model '!C74</f>
        <v>529.54999999999995</v>
      </c>
      <c r="D25" s="518">
        <f>'Purchased Power Model '!D74</f>
        <v>0</v>
      </c>
      <c r="E25" s="518">
        <f>'Purchased Power Model '!F74</f>
        <v>31</v>
      </c>
      <c r="F25" s="518">
        <f>'Purchased Power Model '!H74</f>
        <v>0</v>
      </c>
      <c r="G25" s="518">
        <f>'Purchased Power Model '!I74</f>
        <v>0</v>
      </c>
      <c r="H25" s="518">
        <f>'Purchased Power Model '!M74</f>
        <v>0</v>
      </c>
      <c r="I25" s="519">
        <f>'Purchased Power Model '!O74</f>
        <v>100</v>
      </c>
      <c r="J25" s="654">
        <f>'Purchased Power Model '!T74</f>
        <v>12045511.016520558</v>
      </c>
    </row>
    <row r="26" spans="1:10" ht="15" x14ac:dyDescent="0.25">
      <c r="A26" s="3">
        <v>35796</v>
      </c>
      <c r="B26" s="518">
        <f>'Purchased Power Model '!B75</f>
        <v>12025224</v>
      </c>
      <c r="C26" s="518">
        <f>'Purchased Power Model '!C75</f>
        <v>563.04999999999995</v>
      </c>
      <c r="D26" s="518">
        <f>'Purchased Power Model '!D75</f>
        <v>0</v>
      </c>
      <c r="E26" s="518">
        <f>'Purchased Power Model '!F75</f>
        <v>31</v>
      </c>
      <c r="F26" s="518">
        <f>'Purchased Power Model '!H75</f>
        <v>0</v>
      </c>
      <c r="G26" s="518">
        <f>'Purchased Power Model '!I75</f>
        <v>0</v>
      </c>
      <c r="H26" s="518">
        <f>'Purchased Power Model '!M75</f>
        <v>0</v>
      </c>
      <c r="I26" s="519">
        <f>'Purchased Power Model '!O75</f>
        <v>100.39254461560812</v>
      </c>
      <c r="J26" s="654">
        <f>'Purchased Power Model '!T75</f>
        <v>12209615.475866357</v>
      </c>
    </row>
    <row r="27" spans="1:10" ht="15" x14ac:dyDescent="0.25">
      <c r="A27" s="3">
        <v>35827</v>
      </c>
      <c r="B27" s="518">
        <f>'Purchased Power Model '!B76</f>
        <v>10422047</v>
      </c>
      <c r="C27" s="518">
        <f>'Purchased Power Model '!C76</f>
        <v>501.6</v>
      </c>
      <c r="D27" s="518">
        <f>'Purchased Power Model '!D76</f>
        <v>0</v>
      </c>
      <c r="E27" s="518">
        <f>'Purchased Power Model '!F76</f>
        <v>28</v>
      </c>
      <c r="F27" s="518">
        <f>'Purchased Power Model '!H76</f>
        <v>0</v>
      </c>
      <c r="G27" s="518">
        <f>'Purchased Power Model '!I76</f>
        <v>0</v>
      </c>
      <c r="H27" s="518">
        <f>'Purchased Power Model '!M76</f>
        <v>0</v>
      </c>
      <c r="I27" s="519">
        <f>'Purchased Power Model '!O76</f>
        <v>100.78663014396867</v>
      </c>
      <c r="J27" s="654">
        <f>'Purchased Power Model '!T76</f>
        <v>10568365.070673153</v>
      </c>
    </row>
    <row r="28" spans="1:10" ht="15" x14ac:dyDescent="0.25">
      <c r="A28" s="3">
        <v>35855</v>
      </c>
      <c r="B28" s="518">
        <f>'Purchased Power Model '!B77</f>
        <v>11207633</v>
      </c>
      <c r="C28" s="518">
        <f>'Purchased Power Model '!C77</f>
        <v>483.8</v>
      </c>
      <c r="D28" s="518">
        <f>'Purchased Power Model '!D77</f>
        <v>0</v>
      </c>
      <c r="E28" s="518">
        <f>'Purchased Power Model '!F77</f>
        <v>31</v>
      </c>
      <c r="F28" s="518">
        <f>'Purchased Power Model '!H77</f>
        <v>0</v>
      </c>
      <c r="G28" s="518">
        <f>'Purchased Power Model '!I77</f>
        <v>1</v>
      </c>
      <c r="H28" s="518">
        <f>'Purchased Power Model '!M77</f>
        <v>0</v>
      </c>
      <c r="I28" s="519">
        <f>'Purchased Power Model '!O77</f>
        <v>101.18226263385168</v>
      </c>
      <c r="J28" s="654">
        <f>'Purchased Power Model '!T77</f>
        <v>11091963.562195631</v>
      </c>
    </row>
    <row r="29" spans="1:10" ht="15" x14ac:dyDescent="0.25">
      <c r="A29" s="3">
        <v>35886</v>
      </c>
      <c r="B29" s="518">
        <f>'Purchased Power Model '!B78</f>
        <v>9741038</v>
      </c>
      <c r="C29" s="518">
        <f>'Purchased Power Model '!C78</f>
        <v>285.39999999999992</v>
      </c>
      <c r="D29" s="518">
        <f>'Purchased Power Model '!D78</f>
        <v>0</v>
      </c>
      <c r="E29" s="518">
        <f>'Purchased Power Model '!F78</f>
        <v>30</v>
      </c>
      <c r="F29" s="518">
        <f>'Purchased Power Model '!H78</f>
        <v>0</v>
      </c>
      <c r="G29" s="518">
        <f>'Purchased Power Model '!I78</f>
        <v>1</v>
      </c>
      <c r="H29" s="518">
        <f>'Purchased Power Model '!M78</f>
        <v>0</v>
      </c>
      <c r="I29" s="519">
        <f>'Purchased Power Model '!O78</f>
        <v>101.57944815777132</v>
      </c>
      <c r="J29" s="654">
        <f>'Purchased Power Model '!T78</f>
        <v>9917679.6114060692</v>
      </c>
    </row>
    <row r="30" spans="1:10" ht="15" x14ac:dyDescent="0.25">
      <c r="A30" s="3">
        <v>35916</v>
      </c>
      <c r="B30" s="518">
        <f>'Purchased Power Model '!B79</f>
        <v>10680353</v>
      </c>
      <c r="C30" s="518">
        <f>'Purchased Power Model '!C79</f>
        <v>107.59999999999998</v>
      </c>
      <c r="D30" s="518">
        <f>'Purchased Power Model '!D79</f>
        <v>16.799999999999997</v>
      </c>
      <c r="E30" s="518">
        <f>'Purchased Power Model '!F79</f>
        <v>31</v>
      </c>
      <c r="F30" s="518">
        <f>'Purchased Power Model '!H79</f>
        <v>0</v>
      </c>
      <c r="G30" s="518">
        <f>'Purchased Power Model '!I79</f>
        <v>1</v>
      </c>
      <c r="H30" s="518">
        <f>'Purchased Power Model '!M79</f>
        <v>0</v>
      </c>
      <c r="I30" s="519">
        <f>'Purchased Power Model '!O79</f>
        <v>101.97819281207909</v>
      </c>
      <c r="J30" s="654">
        <f>'Purchased Power Model '!T79</f>
        <v>10342442.808286294</v>
      </c>
    </row>
    <row r="31" spans="1:10" ht="15" x14ac:dyDescent="0.25">
      <c r="A31" s="3">
        <v>35947</v>
      </c>
      <c r="B31" s="518">
        <f>'Purchased Power Model '!B80</f>
        <v>12119728</v>
      </c>
      <c r="C31" s="518">
        <f>'Purchased Power Model '!C80</f>
        <v>44.999999999999993</v>
      </c>
      <c r="D31" s="518">
        <f>'Purchased Power Model '!D80</f>
        <v>52.999999999999986</v>
      </c>
      <c r="E31" s="518">
        <f>'Purchased Power Model '!F80</f>
        <v>30</v>
      </c>
      <c r="F31" s="518">
        <f>'Purchased Power Model '!H80</f>
        <v>0</v>
      </c>
      <c r="G31" s="518">
        <f>'Purchased Power Model '!I80</f>
        <v>0</v>
      </c>
      <c r="H31" s="518">
        <f>'Purchased Power Model '!M80</f>
        <v>0</v>
      </c>
      <c r="I31" s="519">
        <f>'Purchased Power Model '!O80</f>
        <v>102.37850271705736</v>
      </c>
      <c r="J31" s="654">
        <f>'Purchased Power Model '!T80</f>
        <v>11766586.081813667</v>
      </c>
    </row>
    <row r="32" spans="1:10" ht="15" x14ac:dyDescent="0.25">
      <c r="A32" s="3">
        <v>35977</v>
      </c>
      <c r="B32" s="518">
        <f>'Purchased Power Model '!B81</f>
        <v>14386013</v>
      </c>
      <c r="C32" s="518">
        <f>'Purchased Power Model '!C81</f>
        <v>0</v>
      </c>
      <c r="D32" s="518">
        <f>'Purchased Power Model '!D81</f>
        <v>141.85</v>
      </c>
      <c r="E32" s="518">
        <f>'Purchased Power Model '!F81</f>
        <v>31</v>
      </c>
      <c r="F32" s="518">
        <f>'Purchased Power Model '!H81</f>
        <v>1</v>
      </c>
      <c r="G32" s="518">
        <f>'Purchased Power Model '!I81</f>
        <v>0</v>
      </c>
      <c r="H32" s="518">
        <f>'Purchased Power Model '!M81</f>
        <v>0</v>
      </c>
      <c r="I32" s="519">
        <f>'Purchased Power Model '!O81</f>
        <v>102.78038401701338</v>
      </c>
      <c r="J32" s="654">
        <f>'Purchased Power Model '!T81</f>
        <v>15647584.206621202</v>
      </c>
    </row>
    <row r="33" spans="1:10" ht="15" x14ac:dyDescent="0.25">
      <c r="A33" s="3">
        <v>36008</v>
      </c>
      <c r="B33" s="518">
        <f>'Purchased Power Model '!B82</f>
        <v>15439866</v>
      </c>
      <c r="C33" s="518">
        <f>'Purchased Power Model '!C82</f>
        <v>0</v>
      </c>
      <c r="D33" s="518">
        <f>'Purchased Power Model '!D82</f>
        <v>139.69999999999996</v>
      </c>
      <c r="E33" s="518">
        <f>'Purchased Power Model '!F82</f>
        <v>31</v>
      </c>
      <c r="F33" s="518">
        <f>'Purchased Power Model '!H82</f>
        <v>1</v>
      </c>
      <c r="G33" s="518">
        <f>'Purchased Power Model '!I82</f>
        <v>0</v>
      </c>
      <c r="H33" s="518">
        <f>'Purchased Power Model '!M82</f>
        <v>0</v>
      </c>
      <c r="I33" s="519">
        <f>'Purchased Power Model '!O82</f>
        <v>103.1838428803735</v>
      </c>
      <c r="J33" s="654">
        <f>'Purchased Power Model '!T82</f>
        <v>15618834.401679887</v>
      </c>
    </row>
    <row r="34" spans="1:10" ht="15" x14ac:dyDescent="0.25">
      <c r="A34" s="3">
        <v>36039</v>
      </c>
      <c r="B34" s="518">
        <f>'Purchased Power Model '!B83</f>
        <v>12625438</v>
      </c>
      <c r="C34" s="518">
        <f>'Purchased Power Model '!C83</f>
        <v>14.600000000000001</v>
      </c>
      <c r="D34" s="518">
        <f>'Purchased Power Model '!D83</f>
        <v>64.199999999999989</v>
      </c>
      <c r="E34" s="518">
        <f>'Purchased Power Model '!F83</f>
        <v>30</v>
      </c>
      <c r="F34" s="518">
        <f>'Purchased Power Model '!H83</f>
        <v>1</v>
      </c>
      <c r="G34" s="518">
        <f>'Purchased Power Model '!I83</f>
        <v>0</v>
      </c>
      <c r="H34" s="518">
        <f>'Purchased Power Model '!M83</f>
        <v>0</v>
      </c>
      <c r="I34" s="519">
        <f>'Purchased Power Model '!O83</f>
        <v>103.58888549977794</v>
      </c>
      <c r="J34" s="654">
        <f>'Purchased Power Model '!T83</f>
        <v>12746957.131649498</v>
      </c>
    </row>
    <row r="35" spans="1:10" ht="15" x14ac:dyDescent="0.25">
      <c r="A35" s="3">
        <v>36069</v>
      </c>
      <c r="B35" s="518">
        <f>'Purchased Power Model '!B84</f>
        <v>11287268</v>
      </c>
      <c r="C35" s="518">
        <f>'Purchased Power Model '!C84</f>
        <v>157</v>
      </c>
      <c r="D35" s="518">
        <f>'Purchased Power Model '!D84</f>
        <v>0.3</v>
      </c>
      <c r="E35" s="518">
        <f>'Purchased Power Model '!F84</f>
        <v>31</v>
      </c>
      <c r="F35" s="518">
        <f>'Purchased Power Model '!H84</f>
        <v>0</v>
      </c>
      <c r="G35" s="518">
        <f>'Purchased Power Model '!I84</f>
        <v>0</v>
      </c>
      <c r="H35" s="518">
        <f>'Purchased Power Model '!M84</f>
        <v>0</v>
      </c>
      <c r="I35" s="519">
        <f>'Purchased Power Model '!O84</f>
        <v>103.99551809217577</v>
      </c>
      <c r="J35" s="654">
        <f>'Purchased Power Model '!T84</f>
        <v>11099521.949966758</v>
      </c>
    </row>
    <row r="36" spans="1:10" ht="15" x14ac:dyDescent="0.25">
      <c r="A36" s="3">
        <v>36100</v>
      </c>
      <c r="B36" s="518">
        <f>'Purchased Power Model '!B85</f>
        <v>11223313</v>
      </c>
      <c r="C36" s="518">
        <f>'Purchased Power Model '!C85</f>
        <v>340.5</v>
      </c>
      <c r="D36" s="518">
        <f>'Purchased Power Model '!D85</f>
        <v>0</v>
      </c>
      <c r="E36" s="518">
        <f>'Purchased Power Model '!F85</f>
        <v>30</v>
      </c>
      <c r="F36" s="518">
        <f>'Purchased Power Model '!H85</f>
        <v>0</v>
      </c>
      <c r="G36" s="518">
        <f>'Purchased Power Model '!I85</f>
        <v>0</v>
      </c>
      <c r="H36" s="518">
        <f>'Purchased Power Model '!M85</f>
        <v>0</v>
      </c>
      <c r="I36" s="519">
        <f>'Purchased Power Model '!O85</f>
        <v>104.40374689892037</v>
      </c>
      <c r="J36" s="654">
        <f>'Purchased Power Model '!T85</f>
        <v>11322128.779997634</v>
      </c>
    </row>
    <row r="37" spans="1:10" ht="15" x14ac:dyDescent="0.25">
      <c r="A37" s="3">
        <v>36130</v>
      </c>
      <c r="B37" s="518">
        <f>'Purchased Power Model '!B86</f>
        <v>12223679</v>
      </c>
      <c r="C37" s="518">
        <f>'Purchased Power Model '!C86</f>
        <v>466.2</v>
      </c>
      <c r="D37" s="518">
        <f>'Purchased Power Model '!D86</f>
        <v>0</v>
      </c>
      <c r="E37" s="518">
        <f>'Purchased Power Model '!F86</f>
        <v>31</v>
      </c>
      <c r="F37" s="518">
        <f>'Purchased Power Model '!H86</f>
        <v>0</v>
      </c>
      <c r="G37" s="518">
        <f>'Purchased Power Model '!I86</f>
        <v>0</v>
      </c>
      <c r="H37" s="518">
        <f>'Purchased Power Model '!M86</f>
        <v>0</v>
      </c>
      <c r="I37" s="519">
        <f>'Purchased Power Model '!O86</f>
        <v>104.81357818586534</v>
      </c>
      <c r="J37" s="654">
        <f>'Purchased Power Model '!T86</f>
        <v>12312726.5791052</v>
      </c>
    </row>
    <row r="38" spans="1:10" ht="15" x14ac:dyDescent="0.25">
      <c r="A38" s="3">
        <v>36161</v>
      </c>
      <c r="B38" s="518">
        <f>'Purchased Power Model '!B87</f>
        <v>13208170</v>
      </c>
      <c r="C38" s="518">
        <f>'Purchased Power Model '!C87</f>
        <v>671.9</v>
      </c>
      <c r="D38" s="518">
        <f>'Purchased Power Model '!D87</f>
        <v>0</v>
      </c>
      <c r="E38" s="518">
        <f>'Purchased Power Model '!F87</f>
        <v>31</v>
      </c>
      <c r="F38" s="518">
        <f>'Purchased Power Model '!H87</f>
        <v>0</v>
      </c>
      <c r="G38" s="518">
        <f>'Purchased Power Model '!I87</f>
        <v>0</v>
      </c>
      <c r="H38" s="518">
        <f>'Purchased Power Model '!M87</f>
        <v>0</v>
      </c>
      <c r="I38" s="519">
        <f>'Purchased Power Model '!O87</f>
        <v>105.44819844915847</v>
      </c>
      <c r="J38" s="654">
        <f>'Purchased Power Model '!T87</f>
        <v>13135787.923551766</v>
      </c>
    </row>
    <row r="39" spans="1:10" ht="15" x14ac:dyDescent="0.25">
      <c r="A39" s="3">
        <v>36192</v>
      </c>
      <c r="B39" s="518">
        <f>'Purchased Power Model '!B88</f>
        <v>11030833</v>
      </c>
      <c r="C39" s="518">
        <f>'Purchased Power Model '!C88</f>
        <v>502.7</v>
      </c>
      <c r="D39" s="518">
        <f>'Purchased Power Model '!D88</f>
        <v>0</v>
      </c>
      <c r="E39" s="518">
        <f>'Purchased Power Model '!F88</f>
        <v>28</v>
      </c>
      <c r="F39" s="518">
        <f>'Purchased Power Model '!H88</f>
        <v>0</v>
      </c>
      <c r="G39" s="518">
        <f>'Purchased Power Model '!I88</f>
        <v>0</v>
      </c>
      <c r="H39" s="518">
        <f>'Purchased Power Model '!M88</f>
        <v>0</v>
      </c>
      <c r="I39" s="519">
        <f>'Purchased Power Model '!O88</f>
        <v>106.08666118100913</v>
      </c>
      <c r="J39" s="654">
        <f>'Purchased Power Model '!T88</f>
        <v>11123360.390214674</v>
      </c>
    </row>
    <row r="40" spans="1:10" ht="15" x14ac:dyDescent="0.25">
      <c r="A40" s="3">
        <v>36220</v>
      </c>
      <c r="B40" s="518">
        <f>'Purchased Power Model '!B89</f>
        <v>11836338</v>
      </c>
      <c r="C40" s="518">
        <f>'Purchased Power Model '!C89</f>
        <v>517.70000000000005</v>
      </c>
      <c r="D40" s="518">
        <f>'Purchased Power Model '!D89</f>
        <v>0</v>
      </c>
      <c r="E40" s="518">
        <f>'Purchased Power Model '!F89</f>
        <v>31</v>
      </c>
      <c r="F40" s="518">
        <f>'Purchased Power Model '!H89</f>
        <v>0</v>
      </c>
      <c r="G40" s="518">
        <f>'Purchased Power Model '!I89</f>
        <v>1</v>
      </c>
      <c r="H40" s="518">
        <f>'Purchased Power Model '!M89</f>
        <v>0</v>
      </c>
      <c r="I40" s="519">
        <f>'Purchased Power Model '!O89</f>
        <v>106.72898964661303</v>
      </c>
      <c r="J40" s="654">
        <f>'Purchased Power Model '!T89</f>
        <v>11793325.748509951</v>
      </c>
    </row>
    <row r="41" spans="1:10" ht="15" x14ac:dyDescent="0.25">
      <c r="A41" s="3">
        <v>36251</v>
      </c>
      <c r="B41" s="518">
        <f>'Purchased Power Model '!B90</f>
        <v>10336685</v>
      </c>
      <c r="C41" s="518">
        <f>'Purchased Power Model '!C90</f>
        <v>314.89999999999998</v>
      </c>
      <c r="D41" s="518">
        <f>'Purchased Power Model '!D90</f>
        <v>0</v>
      </c>
      <c r="E41" s="518">
        <f>'Purchased Power Model '!F90</f>
        <v>30</v>
      </c>
      <c r="F41" s="518">
        <f>'Purchased Power Model '!H90</f>
        <v>0</v>
      </c>
      <c r="G41" s="518">
        <f>'Purchased Power Model '!I90</f>
        <v>1</v>
      </c>
      <c r="H41" s="518">
        <f>'Purchased Power Model '!M90</f>
        <v>0</v>
      </c>
      <c r="I41" s="519">
        <f>'Purchased Power Model '!O90</f>
        <v>107.37520725203085</v>
      </c>
      <c r="J41" s="654">
        <f>'Purchased Power Model '!T90</f>
        <v>10628734.609093396</v>
      </c>
    </row>
    <row r="42" spans="1:10" ht="15" x14ac:dyDescent="0.25">
      <c r="A42" s="3">
        <v>36281</v>
      </c>
      <c r="B42" s="518">
        <f>'Purchased Power Model '!B91</f>
        <v>10811899</v>
      </c>
      <c r="C42" s="518">
        <f>'Purchased Power Model '!C91</f>
        <v>137.30000000000001</v>
      </c>
      <c r="D42" s="518">
        <f>'Purchased Power Model '!D91</f>
        <v>14.1</v>
      </c>
      <c r="E42" s="518">
        <f>'Purchased Power Model '!F91</f>
        <v>31</v>
      </c>
      <c r="F42" s="518">
        <f>'Purchased Power Model '!H91</f>
        <v>0</v>
      </c>
      <c r="G42" s="518">
        <f>'Purchased Power Model '!I91</f>
        <v>1</v>
      </c>
      <c r="H42" s="518">
        <f>'Purchased Power Model '!M91</f>
        <v>0</v>
      </c>
      <c r="I42" s="519">
        <f>'Purchased Power Model '!O91</f>
        <v>108.02533754504118</v>
      </c>
      <c r="J42" s="654">
        <f>'Purchased Power Model '!T91</f>
        <v>10991592.370392965</v>
      </c>
    </row>
    <row r="43" spans="1:10" ht="15" x14ac:dyDescent="0.25">
      <c r="A43" s="3">
        <v>36312</v>
      </c>
      <c r="B43" s="518">
        <f>'Purchased Power Model '!B92</f>
        <v>13309510</v>
      </c>
      <c r="C43" s="518">
        <f>'Purchased Power Model '!C92</f>
        <v>17.7</v>
      </c>
      <c r="D43" s="518">
        <f>'Purchased Power Model '!D92</f>
        <v>72.599999999999994</v>
      </c>
      <c r="E43" s="518">
        <f>'Purchased Power Model '!F92</f>
        <v>30</v>
      </c>
      <c r="F43" s="518">
        <f>'Purchased Power Model '!H92</f>
        <v>0</v>
      </c>
      <c r="G43" s="518">
        <f>'Purchased Power Model '!I92</f>
        <v>0</v>
      </c>
      <c r="H43" s="518">
        <f>'Purchased Power Model '!M92</f>
        <v>0</v>
      </c>
      <c r="I43" s="519">
        <f>'Purchased Power Model '!O92</f>
        <v>108.6794042159986</v>
      </c>
      <c r="J43" s="654">
        <f>'Purchased Power Model '!T92</f>
        <v>12965525.29046037</v>
      </c>
    </row>
    <row r="44" spans="1:10" ht="15" x14ac:dyDescent="0.25">
      <c r="A44" s="3">
        <v>36342</v>
      </c>
      <c r="B44" s="518">
        <f>'Purchased Power Model '!B93</f>
        <v>16692168</v>
      </c>
      <c r="C44" s="518">
        <f>'Purchased Power Model '!C93</f>
        <v>0</v>
      </c>
      <c r="D44" s="518">
        <f>'Purchased Power Model '!D93</f>
        <v>194.4</v>
      </c>
      <c r="E44" s="518">
        <f>'Purchased Power Model '!F93</f>
        <v>31</v>
      </c>
      <c r="F44" s="518">
        <f>'Purchased Power Model '!H93</f>
        <v>1</v>
      </c>
      <c r="G44" s="518">
        <f>'Purchased Power Model '!I93</f>
        <v>0</v>
      </c>
      <c r="H44" s="518">
        <f>'Purchased Power Model '!M93</f>
        <v>0</v>
      </c>
      <c r="I44" s="519">
        <f>'Purchased Power Model '!O93</f>
        <v>109.33743109869688</v>
      </c>
      <c r="J44" s="654">
        <f>'Purchased Power Model '!T93</f>
        <v>18056994.827055179</v>
      </c>
    </row>
    <row r="45" spans="1:10" ht="15" x14ac:dyDescent="0.25">
      <c r="A45" s="3">
        <v>36373</v>
      </c>
      <c r="B45" s="518">
        <f>'Purchased Power Model '!B94</f>
        <v>14865568</v>
      </c>
      <c r="C45" s="518">
        <f>'Purchased Power Model '!C94</f>
        <v>1.6</v>
      </c>
      <c r="D45" s="518">
        <f>'Purchased Power Model '!D94</f>
        <v>90.35</v>
      </c>
      <c r="E45" s="518">
        <f>'Purchased Power Model '!F94</f>
        <v>31</v>
      </c>
      <c r="F45" s="518">
        <f>'Purchased Power Model '!H94</f>
        <v>1</v>
      </c>
      <c r="G45" s="518">
        <f>'Purchased Power Model '!I94</f>
        <v>0</v>
      </c>
      <c r="H45" s="518">
        <f>'Purchased Power Model '!M94</f>
        <v>0</v>
      </c>
      <c r="I45" s="519">
        <f>'Purchased Power Model '!O94</f>
        <v>109.99944217123755</v>
      </c>
      <c r="J45" s="654">
        <f>'Purchased Power Model '!T94</f>
        <v>14710633.676465211</v>
      </c>
    </row>
    <row r="46" spans="1:10" ht="15" x14ac:dyDescent="0.25">
      <c r="A46" s="3">
        <v>36404</v>
      </c>
      <c r="B46" s="518">
        <f>'Purchased Power Model '!B95</f>
        <v>13426087</v>
      </c>
      <c r="C46" s="518">
        <f>'Purchased Power Model '!C95</f>
        <v>25.2</v>
      </c>
      <c r="D46" s="518">
        <f>'Purchased Power Model '!D95</f>
        <v>59.6</v>
      </c>
      <c r="E46" s="518">
        <f>'Purchased Power Model '!F95</f>
        <v>30</v>
      </c>
      <c r="F46" s="518">
        <f>'Purchased Power Model '!H95</f>
        <v>1</v>
      </c>
      <c r="G46" s="518">
        <f>'Purchased Power Model '!I95</f>
        <v>0</v>
      </c>
      <c r="H46" s="518">
        <f>'Purchased Power Model '!M95</f>
        <v>0</v>
      </c>
      <c r="I46" s="519">
        <f>'Purchased Power Model '!O95</f>
        <v>110.66546155690358</v>
      </c>
      <c r="J46" s="654">
        <f>'Purchased Power Model '!T95</f>
        <v>13370348.764888864</v>
      </c>
    </row>
    <row r="47" spans="1:10" ht="15" x14ac:dyDescent="0.25">
      <c r="A47" s="3">
        <v>36434</v>
      </c>
      <c r="B47" s="518">
        <f>'Purchased Power Model '!B96</f>
        <v>11599574</v>
      </c>
      <c r="C47" s="518">
        <f>'Purchased Power Model '!C96</f>
        <v>203.75</v>
      </c>
      <c r="D47" s="518">
        <f>'Purchased Power Model '!D96</f>
        <v>1</v>
      </c>
      <c r="E47" s="518">
        <f>'Purchased Power Model '!F96</f>
        <v>31</v>
      </c>
      <c r="F47" s="518">
        <f>'Purchased Power Model '!H96</f>
        <v>0</v>
      </c>
      <c r="G47" s="518">
        <f>'Purchased Power Model '!I96</f>
        <v>0</v>
      </c>
      <c r="H47" s="518">
        <f>'Purchased Power Model '!M96</f>
        <v>0</v>
      </c>
      <c r="I47" s="519">
        <f>'Purchased Power Model '!O96</f>
        <v>111.33551352503846</v>
      </c>
      <c r="J47" s="654">
        <f>'Purchased Power Model '!T96</f>
        <v>12057607.8232424</v>
      </c>
    </row>
    <row r="48" spans="1:10" ht="15" x14ac:dyDescent="0.25">
      <c r="A48" s="3">
        <v>36465</v>
      </c>
      <c r="B48" s="518">
        <f>'Purchased Power Model '!B97</f>
        <v>11841006</v>
      </c>
      <c r="C48" s="518">
        <f>'Purchased Power Model '!C97</f>
        <v>333.7</v>
      </c>
      <c r="D48" s="518">
        <f>'Purchased Power Model '!D97</f>
        <v>0</v>
      </c>
      <c r="E48" s="518">
        <f>'Purchased Power Model '!F97</f>
        <v>30</v>
      </c>
      <c r="F48" s="518">
        <f>'Purchased Power Model '!H97</f>
        <v>0</v>
      </c>
      <c r="G48" s="518">
        <f>'Purchased Power Model '!I97</f>
        <v>0</v>
      </c>
      <c r="H48" s="518">
        <f>'Purchased Power Model '!M97</f>
        <v>0</v>
      </c>
      <c r="I48" s="519">
        <f>'Purchased Power Model '!O97</f>
        <v>112.00962249193054</v>
      </c>
      <c r="J48" s="654">
        <f>'Purchased Power Model '!T97</f>
        <v>12087743.890547099</v>
      </c>
    </row>
    <row r="49" spans="1:10" ht="15" x14ac:dyDescent="0.25">
      <c r="A49" s="3">
        <v>36495</v>
      </c>
      <c r="B49" s="518">
        <f>'Purchased Power Model '!B98</f>
        <v>13353197</v>
      </c>
      <c r="C49" s="518">
        <f>'Purchased Power Model '!C98</f>
        <v>516</v>
      </c>
      <c r="D49" s="518">
        <f>'Purchased Power Model '!D98</f>
        <v>0</v>
      </c>
      <c r="E49" s="518">
        <f>'Purchased Power Model '!F98</f>
        <v>31</v>
      </c>
      <c r="F49" s="518">
        <f>'Purchased Power Model '!H98</f>
        <v>0</v>
      </c>
      <c r="G49" s="518">
        <f>'Purchased Power Model '!I98</f>
        <v>0</v>
      </c>
      <c r="H49" s="518">
        <f>'Purchased Power Model '!M98</f>
        <v>0</v>
      </c>
      <c r="I49" s="519">
        <f>'Purchased Power Model '!O98</f>
        <v>112.68781302170287</v>
      </c>
      <c r="J49" s="654">
        <f>'Purchased Power Model '!T98</f>
        <v>13314557.857482834</v>
      </c>
    </row>
    <row r="50" spans="1:10" ht="15" x14ac:dyDescent="0.25">
      <c r="A50" s="3">
        <v>36526</v>
      </c>
      <c r="B50" s="518">
        <f>'Purchased Power Model '!B99</f>
        <v>13530386</v>
      </c>
      <c r="C50" s="518">
        <f>'Purchased Power Model '!C99</f>
        <v>662.5</v>
      </c>
      <c r="D50" s="518">
        <f>'Purchased Power Model '!D99</f>
        <v>0</v>
      </c>
      <c r="E50" s="518">
        <f>'Purchased Power Model '!F99</f>
        <v>31</v>
      </c>
      <c r="F50" s="518">
        <f>'Purchased Power Model '!H99</f>
        <v>0</v>
      </c>
      <c r="G50" s="518">
        <f>'Purchased Power Model '!I99</f>
        <v>0</v>
      </c>
      <c r="H50" s="518">
        <f>'Purchased Power Model '!M99</f>
        <v>0</v>
      </c>
      <c r="I50" s="519">
        <f>'Purchased Power Model '!O99</f>
        <v>113.20550742744629</v>
      </c>
      <c r="J50" s="654">
        <f>'Purchased Power Model '!T99</f>
        <v>13907575.316092674</v>
      </c>
    </row>
    <row r="51" spans="1:10" ht="15" x14ac:dyDescent="0.25">
      <c r="A51" s="3">
        <v>36557</v>
      </c>
      <c r="B51" s="518">
        <f>'Purchased Power Model '!B100</f>
        <v>12128756</v>
      </c>
      <c r="C51" s="518">
        <f>'Purchased Power Model '!C100</f>
        <v>548.1</v>
      </c>
      <c r="D51" s="518">
        <f>'Purchased Power Model '!D100</f>
        <v>0</v>
      </c>
      <c r="E51" s="518">
        <f>'Purchased Power Model '!F100</f>
        <v>29</v>
      </c>
      <c r="F51" s="518">
        <f>'Purchased Power Model '!H100</f>
        <v>0</v>
      </c>
      <c r="G51" s="518">
        <f>'Purchased Power Model '!I100</f>
        <v>0</v>
      </c>
      <c r="H51" s="518">
        <f>'Purchased Power Model '!M100</f>
        <v>0</v>
      </c>
      <c r="I51" s="519">
        <f>'Purchased Power Model '!O100</f>
        <v>113.72558015157706</v>
      </c>
      <c r="J51" s="654">
        <f>'Purchased Power Model '!T100</f>
        <v>12569884.305085802</v>
      </c>
    </row>
    <row r="52" spans="1:10" ht="15" x14ac:dyDescent="0.25">
      <c r="A52" s="3">
        <v>36586</v>
      </c>
      <c r="B52" s="518">
        <f>'Purchased Power Model '!B101</f>
        <v>11769707</v>
      </c>
      <c r="C52" s="518">
        <f>'Purchased Power Model '!C101</f>
        <v>426.9</v>
      </c>
      <c r="D52" s="518">
        <f>'Purchased Power Model '!D101</f>
        <v>0</v>
      </c>
      <c r="E52" s="518">
        <f>'Purchased Power Model '!F101</f>
        <v>31</v>
      </c>
      <c r="F52" s="518">
        <f>'Purchased Power Model '!H101</f>
        <v>0</v>
      </c>
      <c r="G52" s="518">
        <f>'Purchased Power Model '!I101</f>
        <v>1</v>
      </c>
      <c r="H52" s="518">
        <f>'Purchased Power Model '!M101</f>
        <v>0</v>
      </c>
      <c r="I52" s="519">
        <f>'Purchased Power Model '!O101</f>
        <v>114.24804212022897</v>
      </c>
      <c r="J52" s="654">
        <f>'Purchased Power Model '!T101</f>
        <v>12240748.269437397</v>
      </c>
    </row>
    <row r="53" spans="1:10" ht="15" x14ac:dyDescent="0.25">
      <c r="A53" s="3">
        <v>36617</v>
      </c>
      <c r="B53" s="518">
        <f>'Purchased Power Model '!B102</f>
        <v>11213639</v>
      </c>
      <c r="C53" s="518">
        <f>'Purchased Power Model '!C102</f>
        <v>344.55</v>
      </c>
      <c r="D53" s="518">
        <f>'Purchased Power Model '!D102</f>
        <v>0</v>
      </c>
      <c r="E53" s="518">
        <f>'Purchased Power Model '!F102</f>
        <v>30</v>
      </c>
      <c r="F53" s="518">
        <f>'Purchased Power Model '!H102</f>
        <v>0</v>
      </c>
      <c r="G53" s="518">
        <f>'Purchased Power Model '!I102</f>
        <v>1</v>
      </c>
      <c r="H53" s="518">
        <f>'Purchased Power Model '!M102</f>
        <v>0</v>
      </c>
      <c r="I53" s="519">
        <f>'Purchased Power Model '!O102</f>
        <v>114.77290430973115</v>
      </c>
      <c r="J53" s="654">
        <f>'Purchased Power Model '!T102</f>
        <v>11506865.704011796</v>
      </c>
    </row>
    <row r="54" spans="1:10" ht="15" x14ac:dyDescent="0.25">
      <c r="A54" s="3">
        <v>36647</v>
      </c>
      <c r="B54" s="518">
        <f>'Purchased Power Model '!B103</f>
        <v>11458319</v>
      </c>
      <c r="C54" s="518">
        <f>'Purchased Power Model '!C103</f>
        <v>149.19999999999999</v>
      </c>
      <c r="D54" s="518">
        <f>'Purchased Power Model '!D103</f>
        <v>10.199999999999999</v>
      </c>
      <c r="E54" s="518">
        <f>'Purchased Power Model '!F103</f>
        <v>31</v>
      </c>
      <c r="F54" s="518">
        <f>'Purchased Power Model '!H103</f>
        <v>0</v>
      </c>
      <c r="G54" s="518">
        <f>'Purchased Power Model '!I103</f>
        <v>1</v>
      </c>
      <c r="H54" s="518">
        <f>'Purchased Power Model '!M103</f>
        <v>0</v>
      </c>
      <c r="I54" s="519">
        <f>'Purchased Power Model '!O103</f>
        <v>115.30017774683859</v>
      </c>
      <c r="J54" s="654">
        <f>'Purchased Power Model '!T103</f>
        <v>11663393.957298247</v>
      </c>
    </row>
    <row r="55" spans="1:10" ht="15" x14ac:dyDescent="0.25">
      <c r="A55" s="3">
        <v>36678</v>
      </c>
      <c r="B55" s="518">
        <f>'Purchased Power Model '!B104</f>
        <v>12646169</v>
      </c>
      <c r="C55" s="518">
        <f>'Purchased Power Model '!C104</f>
        <v>44.8</v>
      </c>
      <c r="D55" s="518">
        <f>'Purchased Power Model '!D104</f>
        <v>33.1</v>
      </c>
      <c r="E55" s="518">
        <f>'Purchased Power Model '!F104</f>
        <v>30</v>
      </c>
      <c r="F55" s="518">
        <f>'Purchased Power Model '!H104</f>
        <v>0</v>
      </c>
      <c r="G55" s="518">
        <f>'Purchased Power Model '!I104</f>
        <v>0</v>
      </c>
      <c r="H55" s="518">
        <f>'Purchased Power Model '!M104</f>
        <v>0</v>
      </c>
      <c r="I55" s="519">
        <f>'Purchased Power Model '!O104</f>
        <v>115.82987350896386</v>
      </c>
      <c r="J55" s="654">
        <f>'Purchased Power Model '!T104</f>
        <v>12509847.99468888</v>
      </c>
    </row>
    <row r="56" spans="1:10" ht="15" x14ac:dyDescent="0.25">
      <c r="A56" s="3">
        <v>36708</v>
      </c>
      <c r="B56" s="518">
        <f>'Purchased Power Model '!B105</f>
        <v>14174031</v>
      </c>
      <c r="C56" s="518">
        <f>'Purchased Power Model '!C105</f>
        <v>0.2</v>
      </c>
      <c r="D56" s="518">
        <f>'Purchased Power Model '!D105</f>
        <v>83.7</v>
      </c>
      <c r="E56" s="518">
        <f>'Purchased Power Model '!F105</f>
        <v>31</v>
      </c>
      <c r="F56" s="518">
        <f>'Purchased Power Model '!H105</f>
        <v>1</v>
      </c>
      <c r="G56" s="518">
        <f>'Purchased Power Model '!I105</f>
        <v>0</v>
      </c>
      <c r="H56" s="518">
        <f>'Purchased Power Model '!M105</f>
        <v>0</v>
      </c>
      <c r="I56" s="519">
        <f>'Purchased Power Model '!O105</f>
        <v>116.36200272440982</v>
      </c>
      <c r="J56" s="654">
        <f>'Purchased Power Model '!T105</f>
        <v>15148233.423175398</v>
      </c>
    </row>
    <row r="57" spans="1:10" ht="15" x14ac:dyDescent="0.25">
      <c r="A57" s="3">
        <v>36739</v>
      </c>
      <c r="B57" s="518">
        <f>'Purchased Power Model '!B106</f>
        <v>16101013</v>
      </c>
      <c r="C57" s="518">
        <f>'Purchased Power Model '!C106</f>
        <v>2.8</v>
      </c>
      <c r="D57" s="518">
        <f>'Purchased Power Model '!D106</f>
        <v>109.1</v>
      </c>
      <c r="E57" s="518">
        <f>'Purchased Power Model '!F106</f>
        <v>31</v>
      </c>
      <c r="F57" s="518">
        <f>'Purchased Power Model '!H106</f>
        <v>1</v>
      </c>
      <c r="G57" s="518">
        <f>'Purchased Power Model '!I106</f>
        <v>0</v>
      </c>
      <c r="H57" s="518">
        <f>'Purchased Power Model '!M106</f>
        <v>0</v>
      </c>
      <c r="I57" s="519">
        <f>'Purchased Power Model '!O106</f>
        <v>116.89657657260338</v>
      </c>
      <c r="J57" s="654">
        <f>'Purchased Power Model '!T106</f>
        <v>16048501.049918788</v>
      </c>
    </row>
    <row r="58" spans="1:10" ht="15" x14ac:dyDescent="0.25">
      <c r="A58" s="3">
        <v>36770</v>
      </c>
      <c r="B58" s="518">
        <f>'Purchased Power Model '!B107</f>
        <v>13854501</v>
      </c>
      <c r="C58" s="518">
        <f>'Purchased Power Model '!C107</f>
        <v>60.3</v>
      </c>
      <c r="D58" s="518">
        <f>'Purchased Power Model '!D107</f>
        <v>50.3</v>
      </c>
      <c r="E58" s="518">
        <f>'Purchased Power Model '!F107</f>
        <v>30</v>
      </c>
      <c r="F58" s="518">
        <f>'Purchased Power Model '!H107</f>
        <v>1</v>
      </c>
      <c r="G58" s="518">
        <f>'Purchased Power Model '!I107</f>
        <v>0</v>
      </c>
      <c r="H58" s="518">
        <f>'Purchased Power Model '!M107</f>
        <v>0</v>
      </c>
      <c r="I58" s="519">
        <f>'Purchased Power Model '!O107</f>
        <v>117.43360628433041</v>
      </c>
      <c r="J58" s="654">
        <f>'Purchased Power Model '!T107</f>
        <v>13897320.605583403</v>
      </c>
    </row>
    <row r="59" spans="1:10" ht="15" x14ac:dyDescent="0.25">
      <c r="A59" s="3">
        <v>36800</v>
      </c>
      <c r="B59" s="518">
        <f>'Purchased Power Model '!B108</f>
        <v>12543952</v>
      </c>
      <c r="C59" s="518">
        <f>'Purchased Power Model '!C108</f>
        <v>184.7</v>
      </c>
      <c r="D59" s="518">
        <f>'Purchased Power Model '!D108</f>
        <v>2.2000000000000002</v>
      </c>
      <c r="E59" s="518">
        <f>'Purchased Power Model '!F108</f>
        <v>31</v>
      </c>
      <c r="F59" s="518">
        <f>'Purchased Power Model '!H108</f>
        <v>0</v>
      </c>
      <c r="G59" s="518">
        <f>'Purchased Power Model '!I108</f>
        <v>0</v>
      </c>
      <c r="H59" s="518">
        <f>'Purchased Power Model '!M108</f>
        <v>0</v>
      </c>
      <c r="I59" s="519">
        <f>'Purchased Power Model '!O108</f>
        <v>117.97310314197166</v>
      </c>
      <c r="J59" s="654">
        <f>'Purchased Power Model '!T108</f>
        <v>12716936.059814543</v>
      </c>
    </row>
    <row r="60" spans="1:10" ht="15" x14ac:dyDescent="0.25">
      <c r="A60" s="3">
        <v>36831</v>
      </c>
      <c r="B60" s="518">
        <f>'Purchased Power Model '!B109</f>
        <v>12658677</v>
      </c>
      <c r="C60" s="518">
        <f>'Purchased Power Model '!C109</f>
        <v>376.6</v>
      </c>
      <c r="D60" s="518">
        <f>'Purchased Power Model '!D109</f>
        <v>0</v>
      </c>
      <c r="E60" s="518">
        <f>'Purchased Power Model '!F109</f>
        <v>30</v>
      </c>
      <c r="F60" s="518">
        <f>'Purchased Power Model '!H109</f>
        <v>0</v>
      </c>
      <c r="G60" s="518">
        <f>'Purchased Power Model '!I109</f>
        <v>0</v>
      </c>
      <c r="H60" s="518">
        <f>'Purchased Power Model '!M109</f>
        <v>0</v>
      </c>
      <c r="I60" s="519">
        <f>'Purchased Power Model '!O109</f>
        <v>118.51507847973981</v>
      </c>
      <c r="J60" s="654">
        <f>'Purchased Power Model '!T109</f>
        <v>12921892.542732418</v>
      </c>
    </row>
    <row r="61" spans="1:10" ht="15" x14ac:dyDescent="0.25">
      <c r="A61" s="3">
        <v>36861</v>
      </c>
      <c r="B61" s="518">
        <f>'Purchased Power Model '!B110</f>
        <v>14588347</v>
      </c>
      <c r="C61" s="518">
        <f>'Purchased Power Model '!C110</f>
        <v>679.5</v>
      </c>
      <c r="D61" s="518">
        <f>'Purchased Power Model '!D110</f>
        <v>0</v>
      </c>
      <c r="E61" s="518">
        <f>'Purchased Power Model '!F110</f>
        <v>31</v>
      </c>
      <c r="F61" s="518">
        <f>'Purchased Power Model '!H110</f>
        <v>0</v>
      </c>
      <c r="G61" s="518">
        <f>'Purchased Power Model '!I110</f>
        <v>0</v>
      </c>
      <c r="H61" s="518">
        <f>'Purchased Power Model '!M110</f>
        <v>0</v>
      </c>
      <c r="I61" s="519">
        <f>'Purchased Power Model '!O110</f>
        <v>119.05954368391765</v>
      </c>
      <c r="J61" s="654">
        <f>'Purchased Power Model '!T110</f>
        <v>14578681.296030628</v>
      </c>
    </row>
    <row r="62" spans="1:10" ht="15" x14ac:dyDescent="0.25">
      <c r="A62" s="3">
        <v>36892</v>
      </c>
      <c r="B62" s="518">
        <f>'Purchased Power Model '!B111</f>
        <v>13755848</v>
      </c>
      <c r="C62" s="518">
        <f>'Purchased Power Model '!C111</f>
        <v>621.5</v>
      </c>
      <c r="D62" s="518">
        <f>'Purchased Power Model '!D111</f>
        <v>0</v>
      </c>
      <c r="E62" s="518">
        <f>'Purchased Power Model '!F111</f>
        <v>31</v>
      </c>
      <c r="F62" s="518">
        <f>'Purchased Power Model '!H111</f>
        <v>0</v>
      </c>
      <c r="G62" s="518">
        <f>'Purchased Power Model '!I111</f>
        <v>0</v>
      </c>
      <c r="H62" s="518">
        <f>'Purchased Power Model '!M111</f>
        <v>0</v>
      </c>
      <c r="I62" s="519">
        <f>'Purchased Power Model '!O111</f>
        <v>119.23206305749976</v>
      </c>
      <c r="J62" s="654">
        <f>'Purchased Power Model '!T111</f>
        <v>14383142.378930997</v>
      </c>
    </row>
    <row r="63" spans="1:10" ht="15" x14ac:dyDescent="0.25">
      <c r="A63" s="3">
        <v>36925</v>
      </c>
      <c r="B63" s="518">
        <f>'Purchased Power Model '!B112</f>
        <v>12202985</v>
      </c>
      <c r="C63" s="518">
        <f>'Purchased Power Model '!C112</f>
        <v>533.75</v>
      </c>
      <c r="D63" s="518">
        <f>'Purchased Power Model '!D112</f>
        <v>0</v>
      </c>
      <c r="E63" s="518">
        <f>'Purchased Power Model '!F112</f>
        <v>28</v>
      </c>
      <c r="F63" s="518">
        <f>'Purchased Power Model '!H112</f>
        <v>0</v>
      </c>
      <c r="G63" s="518">
        <f>'Purchased Power Model '!I112</f>
        <v>0</v>
      </c>
      <c r="H63" s="518">
        <f>'Purchased Power Model '!M112</f>
        <v>0</v>
      </c>
      <c r="I63" s="519">
        <f>'Purchased Power Model '!O112</f>
        <v>119.40483241468957</v>
      </c>
      <c r="J63" s="654">
        <f>'Purchased Power Model '!T112</f>
        <v>12622087.029648339</v>
      </c>
    </row>
    <row r="64" spans="1:10" ht="15" x14ac:dyDescent="0.25">
      <c r="A64" s="3">
        <v>36958</v>
      </c>
      <c r="B64" s="518">
        <f>'Purchased Power Model '!B113</f>
        <v>13113484</v>
      </c>
      <c r="C64" s="518">
        <f>'Purchased Power Model '!C113</f>
        <v>543.04999999999995</v>
      </c>
      <c r="D64" s="518">
        <f>'Purchased Power Model '!D113</f>
        <v>0</v>
      </c>
      <c r="E64" s="518">
        <f>'Purchased Power Model '!F113</f>
        <v>31</v>
      </c>
      <c r="F64" s="518">
        <f>'Purchased Power Model '!H113</f>
        <v>0</v>
      </c>
      <c r="G64" s="518">
        <f>'Purchased Power Model '!I113</f>
        <v>1</v>
      </c>
      <c r="H64" s="518">
        <f>'Purchased Power Model '!M113</f>
        <v>0</v>
      </c>
      <c r="I64" s="519">
        <f>'Purchased Power Model '!O113</f>
        <v>119.57785211771773</v>
      </c>
      <c r="J64" s="654">
        <f>'Purchased Power Model '!T113</f>
        <v>13222287.789589196</v>
      </c>
    </row>
    <row r="65" spans="1:10" ht="15" x14ac:dyDescent="0.25">
      <c r="A65" s="3">
        <v>36991</v>
      </c>
      <c r="B65" s="518">
        <f>'Purchased Power Model '!B114</f>
        <v>11332498</v>
      </c>
      <c r="C65" s="518">
        <f>'Purchased Power Model '!C114</f>
        <v>322.5</v>
      </c>
      <c r="D65" s="518">
        <f>'Purchased Power Model '!D114</f>
        <v>0</v>
      </c>
      <c r="E65" s="518">
        <f>'Purchased Power Model '!F114</f>
        <v>30</v>
      </c>
      <c r="F65" s="518">
        <f>'Purchased Power Model '!H114</f>
        <v>0</v>
      </c>
      <c r="G65" s="518">
        <f>'Purchased Power Model '!I114</f>
        <v>1</v>
      </c>
      <c r="H65" s="518">
        <f>'Purchased Power Model '!M114</f>
        <v>0</v>
      </c>
      <c r="I65" s="519">
        <f>'Purchased Power Model '!O114</f>
        <v>119.75112252933975</v>
      </c>
      <c r="J65" s="654">
        <f>'Purchased Power Model '!T114</f>
        <v>11943203.061912332</v>
      </c>
    </row>
    <row r="66" spans="1:10" ht="15" x14ac:dyDescent="0.25">
      <c r="A66" s="3">
        <v>37024</v>
      </c>
      <c r="B66" s="518">
        <f>'Purchased Power Model '!B115</f>
        <v>11763961</v>
      </c>
      <c r="C66" s="518">
        <f>'Purchased Power Model '!C115</f>
        <v>129.4</v>
      </c>
      <c r="D66" s="518">
        <f>'Purchased Power Model '!D115</f>
        <v>2.2000000000000002</v>
      </c>
      <c r="E66" s="518">
        <f>'Purchased Power Model '!F115</f>
        <v>31</v>
      </c>
      <c r="F66" s="518">
        <f>'Purchased Power Model '!H115</f>
        <v>0</v>
      </c>
      <c r="G66" s="518">
        <f>'Purchased Power Model '!I115</f>
        <v>1</v>
      </c>
      <c r="H66" s="518">
        <f>'Purchased Power Model '!M115</f>
        <v>0</v>
      </c>
      <c r="I66" s="519">
        <f>'Purchased Power Model '!O115</f>
        <v>119.92464401283681</v>
      </c>
      <c r="J66" s="654">
        <f>'Purchased Power Model '!T115</f>
        <v>11808206.943612501</v>
      </c>
    </row>
    <row r="67" spans="1:10" ht="15" x14ac:dyDescent="0.25">
      <c r="A67" s="3">
        <v>37057</v>
      </c>
      <c r="B67" s="518">
        <f>'Purchased Power Model '!B116</f>
        <v>14136292</v>
      </c>
      <c r="C67" s="518">
        <f>'Purchased Power Model '!C116</f>
        <v>27.7</v>
      </c>
      <c r="D67" s="518">
        <f>'Purchased Power Model '!D116</f>
        <v>61</v>
      </c>
      <c r="E67" s="518">
        <f>'Purchased Power Model '!F116</f>
        <v>30</v>
      </c>
      <c r="F67" s="518">
        <f>'Purchased Power Model '!H116</f>
        <v>0</v>
      </c>
      <c r="G67" s="518">
        <f>'Purchased Power Model '!I116</f>
        <v>0</v>
      </c>
      <c r="H67" s="518">
        <f>'Purchased Power Model '!M116</f>
        <v>0</v>
      </c>
      <c r="I67" s="519">
        <f>'Purchased Power Model '!O116</f>
        <v>120.09841693201646</v>
      </c>
      <c r="J67" s="654">
        <f>'Purchased Power Model '!T116</f>
        <v>13807958.336363582</v>
      </c>
    </row>
    <row r="68" spans="1:10" ht="15" x14ac:dyDescent="0.25">
      <c r="A68" s="3">
        <v>37090</v>
      </c>
      <c r="B68" s="518">
        <f>'Purchased Power Model '!B117</f>
        <v>16055092</v>
      </c>
      <c r="C68" s="518">
        <f>'Purchased Power Model '!C117</f>
        <v>1.8</v>
      </c>
      <c r="D68" s="518">
        <f>'Purchased Power Model '!D117</f>
        <v>89.6</v>
      </c>
      <c r="E68" s="518">
        <f>'Purchased Power Model '!F117</f>
        <v>31</v>
      </c>
      <c r="F68" s="518">
        <f>'Purchased Power Model '!H117</f>
        <v>1</v>
      </c>
      <c r="G68" s="518">
        <f>'Purchased Power Model '!I117</f>
        <v>0</v>
      </c>
      <c r="H68" s="518">
        <f>'Purchased Power Model '!M117</f>
        <v>0</v>
      </c>
      <c r="I68" s="519">
        <f>'Purchased Power Model '!O117</f>
        <v>120.27244165121344</v>
      </c>
      <c r="J68" s="654">
        <f>'Purchased Power Model '!T117</f>
        <v>15754605.210407875</v>
      </c>
    </row>
    <row r="69" spans="1:10" ht="15" x14ac:dyDescent="0.25">
      <c r="A69" s="3">
        <v>37123</v>
      </c>
      <c r="B69" s="518">
        <f>'Purchased Power Model '!B118</f>
        <v>18933691</v>
      </c>
      <c r="C69" s="518">
        <f>'Purchased Power Model '!C118</f>
        <v>0</v>
      </c>
      <c r="D69" s="518">
        <f>'Purchased Power Model '!D118</f>
        <v>170.1</v>
      </c>
      <c r="E69" s="518">
        <f>'Purchased Power Model '!F118</f>
        <v>31</v>
      </c>
      <c r="F69" s="518">
        <f>'Purchased Power Model '!H118</f>
        <v>1</v>
      </c>
      <c r="G69" s="518">
        <f>'Purchased Power Model '!I118</f>
        <v>0</v>
      </c>
      <c r="H69" s="518">
        <f>'Purchased Power Model '!M118</f>
        <v>0</v>
      </c>
      <c r="I69" s="519">
        <f>'Purchased Power Model '!O118</f>
        <v>120.4467185352904</v>
      </c>
      <c r="J69" s="654">
        <f>'Purchased Power Model '!T118</f>
        <v>18412861.637407959</v>
      </c>
    </row>
    <row r="70" spans="1:10" ht="15" x14ac:dyDescent="0.25">
      <c r="A70" s="3">
        <v>37156</v>
      </c>
      <c r="B70" s="518">
        <f>'Purchased Power Model '!B119</f>
        <v>14596638</v>
      </c>
      <c r="C70" s="518">
        <f>'Purchased Power Model '!C119</f>
        <v>43.6</v>
      </c>
      <c r="D70" s="518">
        <f>'Purchased Power Model '!D119</f>
        <v>45.2</v>
      </c>
      <c r="E70" s="518">
        <f>'Purchased Power Model '!F119</f>
        <v>30</v>
      </c>
      <c r="F70" s="518">
        <f>'Purchased Power Model '!H119</f>
        <v>1</v>
      </c>
      <c r="G70" s="518">
        <f>'Purchased Power Model '!I119</f>
        <v>0</v>
      </c>
      <c r="H70" s="518">
        <f>'Purchased Power Model '!M119</f>
        <v>0</v>
      </c>
      <c r="I70" s="519">
        <f>'Purchased Power Model '!O119</f>
        <v>120.62124794963869</v>
      </c>
      <c r="J70" s="654">
        <f>'Purchased Power Model '!T119</f>
        <v>13999532.419389959</v>
      </c>
    </row>
    <row r="71" spans="1:10" ht="15" x14ac:dyDescent="0.25">
      <c r="A71" s="3">
        <v>37189</v>
      </c>
      <c r="B71" s="518">
        <f>'Purchased Power Model '!B120</f>
        <v>13331992</v>
      </c>
      <c r="C71" s="518">
        <f>'Purchased Power Model '!C120</f>
        <v>184.9</v>
      </c>
      <c r="D71" s="518">
        <f>'Purchased Power Model '!D120</f>
        <v>3.8</v>
      </c>
      <c r="E71" s="518">
        <f>'Purchased Power Model '!F120</f>
        <v>31</v>
      </c>
      <c r="F71" s="518">
        <f>'Purchased Power Model '!H120</f>
        <v>0</v>
      </c>
      <c r="G71" s="518">
        <f>'Purchased Power Model '!I120</f>
        <v>0</v>
      </c>
      <c r="H71" s="518">
        <f>'Purchased Power Model '!M120</f>
        <v>0</v>
      </c>
      <c r="I71" s="519">
        <f>'Purchased Power Model '!O120</f>
        <v>120.79603026017911</v>
      </c>
      <c r="J71" s="654">
        <f>'Purchased Power Model '!T120</f>
        <v>13063726.471116669</v>
      </c>
    </row>
    <row r="72" spans="1:10" ht="15" x14ac:dyDescent="0.25">
      <c r="A72" s="3">
        <v>37222</v>
      </c>
      <c r="B72" s="518">
        <f>'Purchased Power Model '!B121</f>
        <v>12715774</v>
      </c>
      <c r="C72" s="518">
        <f>'Purchased Power Model '!C121</f>
        <v>290.39999999999998</v>
      </c>
      <c r="D72" s="518">
        <f>'Purchased Power Model '!D121</f>
        <v>0</v>
      </c>
      <c r="E72" s="518">
        <f>'Purchased Power Model '!F121</f>
        <v>30</v>
      </c>
      <c r="F72" s="518">
        <f>'Purchased Power Model '!H121</f>
        <v>0</v>
      </c>
      <c r="G72" s="518">
        <f>'Purchased Power Model '!I121</f>
        <v>0</v>
      </c>
      <c r="H72" s="518">
        <f>'Purchased Power Model '!M121</f>
        <v>0</v>
      </c>
      <c r="I72" s="519">
        <f>'Purchased Power Model '!O121</f>
        <v>120.9710658333627</v>
      </c>
      <c r="J72" s="654">
        <f>'Purchased Power Model '!T121</f>
        <v>12859931.932139343</v>
      </c>
    </row>
    <row r="73" spans="1:10" ht="15" x14ac:dyDescent="0.25">
      <c r="A73" s="310">
        <v>37255</v>
      </c>
      <c r="B73" s="518">
        <f>'Purchased Power Model '!B122</f>
        <v>13993294</v>
      </c>
      <c r="C73" s="518">
        <f>'Purchased Power Model '!C122</f>
        <v>455</v>
      </c>
      <c r="D73" s="518">
        <f>'Purchased Power Model '!D122</f>
        <v>0</v>
      </c>
      <c r="E73" s="518">
        <f>'Purchased Power Model '!F122</f>
        <v>31</v>
      </c>
      <c r="F73" s="518">
        <f>'Purchased Power Model '!H122</f>
        <v>0</v>
      </c>
      <c r="G73" s="518">
        <f>'Purchased Power Model '!I122</f>
        <v>0</v>
      </c>
      <c r="H73" s="518">
        <f>'Purchased Power Model '!M122</f>
        <v>0</v>
      </c>
      <c r="I73" s="519">
        <f>'Purchased Power Model '!O122</f>
        <v>121.1463550361714</v>
      </c>
      <c r="J73" s="654">
        <f>'Purchased Power Model '!T122</f>
        <v>13969322.558859957</v>
      </c>
    </row>
    <row r="74" spans="1:10" ht="15" x14ac:dyDescent="0.25">
      <c r="A74" s="3">
        <v>37275</v>
      </c>
      <c r="B74" s="518">
        <f>'Purchased Power Model '!B123</f>
        <v>14148180</v>
      </c>
      <c r="C74" s="518">
        <f>'Purchased Power Model '!C123</f>
        <v>528.04999999999995</v>
      </c>
      <c r="D74" s="518">
        <f>'Purchased Power Model '!D123</f>
        <v>0</v>
      </c>
      <c r="E74" s="518">
        <f>'Purchased Power Model '!F123</f>
        <v>31</v>
      </c>
      <c r="F74" s="518">
        <f>'Purchased Power Model '!H123</f>
        <v>0</v>
      </c>
      <c r="G74" s="518">
        <f>'Purchased Power Model '!I123</f>
        <v>0</v>
      </c>
      <c r="H74" s="518">
        <f>'Purchased Power Model '!M123</f>
        <v>0</v>
      </c>
      <c r="I74" s="519">
        <f>'Purchased Power Model '!O123</f>
        <v>121.50450639216388</v>
      </c>
      <c r="J74" s="654">
        <f>'Purchased Power Model '!T123</f>
        <v>14275418.001328366</v>
      </c>
    </row>
    <row r="75" spans="1:10" ht="15" x14ac:dyDescent="0.25">
      <c r="A75" s="3">
        <v>37308</v>
      </c>
      <c r="B75" s="518">
        <f>'Purchased Power Model '!B124</f>
        <v>12641587</v>
      </c>
      <c r="C75" s="518">
        <f>'Purchased Power Model '!C124</f>
        <v>492.3</v>
      </c>
      <c r="D75" s="518">
        <f>'Purchased Power Model '!D124</f>
        <v>0</v>
      </c>
      <c r="E75" s="518">
        <f>'Purchased Power Model '!F124</f>
        <v>28</v>
      </c>
      <c r="F75" s="518">
        <f>'Purchased Power Model '!H124</f>
        <v>0</v>
      </c>
      <c r="G75" s="518">
        <f>'Purchased Power Model '!I124</f>
        <v>0</v>
      </c>
      <c r="H75" s="518">
        <f>'Purchased Power Model '!M124</f>
        <v>0</v>
      </c>
      <c r="I75" s="519">
        <f>'Purchased Power Model '!O124</f>
        <v>121.86371656989111</v>
      </c>
      <c r="J75" s="654">
        <f>'Purchased Power Model '!T124</f>
        <v>12725132.684802063</v>
      </c>
    </row>
    <row r="76" spans="1:10" ht="15" x14ac:dyDescent="0.25">
      <c r="A76" s="3">
        <v>37341</v>
      </c>
      <c r="B76" s="518">
        <f>'Purchased Power Model '!B125</f>
        <v>13657015</v>
      </c>
      <c r="C76" s="518">
        <f>'Purchased Power Model '!C125</f>
        <v>513.5</v>
      </c>
      <c r="D76" s="518">
        <f>'Purchased Power Model '!D125</f>
        <v>0</v>
      </c>
      <c r="E76" s="518">
        <f>'Purchased Power Model '!F125</f>
        <v>31</v>
      </c>
      <c r="F76" s="518">
        <f>'Purchased Power Model '!H125</f>
        <v>0</v>
      </c>
      <c r="G76" s="518">
        <f>'Purchased Power Model '!I125</f>
        <v>1</v>
      </c>
      <c r="H76" s="518">
        <f>'Purchased Power Model '!M125</f>
        <v>0</v>
      </c>
      <c r="I76" s="519">
        <f>'Purchased Power Model '!O125</f>
        <v>122.22398869960362</v>
      </c>
      <c r="J76" s="654">
        <f>'Purchased Power Model '!T125</f>
        <v>13388597.318832066</v>
      </c>
    </row>
    <row r="77" spans="1:10" ht="15" x14ac:dyDescent="0.25">
      <c r="A77" s="3">
        <v>37374</v>
      </c>
      <c r="B77" s="518">
        <f>'Purchased Power Model '!B126</f>
        <v>12616129</v>
      </c>
      <c r="C77" s="518">
        <f>'Purchased Power Model '!C126</f>
        <v>314.89999999999998</v>
      </c>
      <c r="D77" s="518">
        <f>'Purchased Power Model '!D126</f>
        <v>0</v>
      </c>
      <c r="E77" s="518">
        <f>'Purchased Power Model '!F126</f>
        <v>30</v>
      </c>
      <c r="F77" s="518">
        <f>'Purchased Power Model '!H126</f>
        <v>0</v>
      </c>
      <c r="G77" s="518">
        <f>'Purchased Power Model '!I126</f>
        <v>1</v>
      </c>
      <c r="H77" s="518">
        <f>'Purchased Power Model '!M126</f>
        <v>0</v>
      </c>
      <c r="I77" s="519">
        <f>'Purchased Power Model '!O126</f>
        <v>122.58532592080604</v>
      </c>
      <c r="J77" s="654">
        <f>'Purchased Power Model '!T126</f>
        <v>12209850.767298583</v>
      </c>
    </row>
    <row r="78" spans="1:10" ht="15" x14ac:dyDescent="0.25">
      <c r="A78" s="3">
        <v>37407</v>
      </c>
      <c r="B78" s="518">
        <f>'Purchased Power Model '!B127</f>
        <v>12946863</v>
      </c>
      <c r="C78" s="518">
        <f>'Purchased Power Model '!C127</f>
        <v>224.5</v>
      </c>
      <c r="D78" s="518">
        <f>'Purchased Power Model '!D127</f>
        <v>2.4</v>
      </c>
      <c r="E78" s="518">
        <f>'Purchased Power Model '!F127</f>
        <v>31</v>
      </c>
      <c r="F78" s="518">
        <f>'Purchased Power Model '!H127</f>
        <v>0</v>
      </c>
      <c r="G78" s="518">
        <f>'Purchased Power Model '!I127</f>
        <v>1</v>
      </c>
      <c r="H78" s="518">
        <f>'Purchased Power Model '!M127</f>
        <v>0</v>
      </c>
      <c r="I78" s="519">
        <f>'Purchased Power Model '!O127</f>
        <v>122.9477313822845</v>
      </c>
      <c r="J78" s="654">
        <f>'Purchased Power Model '!T127</f>
        <v>12479058.94677496</v>
      </c>
    </row>
    <row r="79" spans="1:10" ht="15" x14ac:dyDescent="0.25">
      <c r="A79" s="3">
        <v>37408</v>
      </c>
      <c r="B79" s="518">
        <f>'Purchased Power Model '!B128</f>
        <v>14674061</v>
      </c>
      <c r="C79" s="518">
        <f>'Purchased Power Model '!C128</f>
        <v>39.299999999999997</v>
      </c>
      <c r="D79" s="518">
        <f>'Purchased Power Model '!D128</f>
        <v>54.8</v>
      </c>
      <c r="E79" s="518">
        <f>'Purchased Power Model '!F128</f>
        <v>30</v>
      </c>
      <c r="F79" s="518">
        <f>'Purchased Power Model '!H128</f>
        <v>0</v>
      </c>
      <c r="G79" s="518">
        <f>'Purchased Power Model '!I128</f>
        <v>0</v>
      </c>
      <c r="H79" s="518">
        <f>'Purchased Power Model '!M128</f>
        <v>0</v>
      </c>
      <c r="I79" s="519">
        <f>'Purchased Power Model '!O128</f>
        <v>123.31120824213403</v>
      </c>
      <c r="J79" s="654">
        <f>'Purchased Power Model '!T128</f>
        <v>13980777.417453183</v>
      </c>
    </row>
    <row r="80" spans="1:10" ht="15" x14ac:dyDescent="0.25">
      <c r="A80" s="3">
        <v>37440</v>
      </c>
      <c r="B80" s="518">
        <f>'Purchased Power Model '!B129</f>
        <v>18274752</v>
      </c>
      <c r="C80" s="518">
        <f>'Purchased Power Model '!C129</f>
        <v>0</v>
      </c>
      <c r="D80" s="518">
        <f>'Purchased Power Model '!D129</f>
        <v>191.6</v>
      </c>
      <c r="E80" s="518">
        <f>'Purchased Power Model '!F129</f>
        <v>31</v>
      </c>
      <c r="F80" s="518">
        <f>'Purchased Power Model '!H129</f>
        <v>1</v>
      </c>
      <c r="G80" s="518">
        <f>'Purchased Power Model '!I129</f>
        <v>0</v>
      </c>
      <c r="H80" s="518">
        <f>'Purchased Power Model '!M129</f>
        <v>0</v>
      </c>
      <c r="I80" s="519">
        <f>'Purchased Power Model '!O129</f>
        <v>123.67575966778612</v>
      </c>
      <c r="J80" s="654">
        <f>'Purchased Power Model '!T129</f>
        <v>19455425.61631795</v>
      </c>
    </row>
    <row r="81" spans="1:10" ht="15" x14ac:dyDescent="0.25">
      <c r="A81" s="3">
        <v>37473</v>
      </c>
      <c r="B81" s="518">
        <f>'Purchased Power Model '!B130</f>
        <v>19081340.899999999</v>
      </c>
      <c r="C81" s="518">
        <f>'Purchased Power Model '!C130</f>
        <v>0</v>
      </c>
      <c r="D81" s="518">
        <f>'Purchased Power Model '!D130</f>
        <v>155</v>
      </c>
      <c r="E81" s="518">
        <f>'Purchased Power Model '!F130</f>
        <v>31</v>
      </c>
      <c r="F81" s="518">
        <f>'Purchased Power Model '!H130</f>
        <v>1</v>
      </c>
      <c r="G81" s="518">
        <f>'Purchased Power Model '!I130</f>
        <v>0</v>
      </c>
      <c r="H81" s="518">
        <f>'Purchased Power Model '!M130</f>
        <v>0</v>
      </c>
      <c r="I81" s="519">
        <f>'Purchased Power Model '!O130</f>
        <v>124.04138883603632</v>
      </c>
      <c r="J81" s="654">
        <f>'Purchased Power Model '!T130</f>
        <v>18290059.417237207</v>
      </c>
    </row>
    <row r="82" spans="1:10" ht="15" x14ac:dyDescent="0.25">
      <c r="A82" s="3">
        <v>37506</v>
      </c>
      <c r="B82" s="518">
        <f>'Purchased Power Model '!B131</f>
        <v>16407410</v>
      </c>
      <c r="C82" s="518">
        <f>'Purchased Power Model '!C131</f>
        <v>9.4</v>
      </c>
      <c r="D82" s="518">
        <f>'Purchased Power Model '!D131</f>
        <v>98.85</v>
      </c>
      <c r="E82" s="518">
        <f>'Purchased Power Model '!F131</f>
        <v>30</v>
      </c>
      <c r="F82" s="518">
        <f>'Purchased Power Model '!H131</f>
        <v>1</v>
      </c>
      <c r="G82" s="518">
        <f>'Purchased Power Model '!I131</f>
        <v>0</v>
      </c>
      <c r="H82" s="518">
        <f>'Purchased Power Model '!M131</f>
        <v>0</v>
      </c>
      <c r="I82" s="519">
        <f>'Purchased Power Model '!O131</f>
        <v>124.40809893307186</v>
      </c>
      <c r="J82" s="654">
        <f>'Purchased Power Model '!T131</f>
        <v>16031268.489724889</v>
      </c>
    </row>
    <row r="83" spans="1:10" ht="15" x14ac:dyDescent="0.25">
      <c r="A83" s="3">
        <v>37539</v>
      </c>
      <c r="B83" s="518">
        <f>'Purchased Power Model '!B132</f>
        <v>13790066</v>
      </c>
      <c r="C83" s="518">
        <f>'Purchased Power Model '!C132</f>
        <v>233.85</v>
      </c>
      <c r="D83" s="518">
        <f>'Purchased Power Model '!D132</f>
        <v>11.4</v>
      </c>
      <c r="E83" s="518">
        <f>'Purchased Power Model '!F132</f>
        <v>31</v>
      </c>
      <c r="F83" s="518">
        <f>'Purchased Power Model '!H132</f>
        <v>0</v>
      </c>
      <c r="G83" s="518">
        <f>'Purchased Power Model '!I132</f>
        <v>0</v>
      </c>
      <c r="H83" s="518">
        <f>'Purchased Power Model '!M132</f>
        <v>0</v>
      </c>
      <c r="I83" s="519">
        <f>'Purchased Power Model '!O132</f>
        <v>124.7758931544995</v>
      </c>
      <c r="J83" s="654">
        <f>'Purchased Power Model '!T132</f>
        <v>13907484.007728381</v>
      </c>
    </row>
    <row r="84" spans="1:10" ht="15" x14ac:dyDescent="0.25">
      <c r="A84" s="33">
        <v>37572</v>
      </c>
      <c r="B84" s="518">
        <f>'Purchased Power Model '!B133</f>
        <v>13598163</v>
      </c>
      <c r="C84" s="518">
        <f>'Purchased Power Model '!C133</f>
        <v>381.2</v>
      </c>
      <c r="D84" s="518">
        <f>'Purchased Power Model '!D133</f>
        <v>0</v>
      </c>
      <c r="E84" s="518">
        <f>'Purchased Power Model '!F133</f>
        <v>30</v>
      </c>
      <c r="F84" s="518">
        <f>'Purchased Power Model '!H133</f>
        <v>0</v>
      </c>
      <c r="G84" s="518">
        <f>'Purchased Power Model '!I133</f>
        <v>0</v>
      </c>
      <c r="H84" s="518">
        <f>'Purchased Power Model '!M133</f>
        <v>0</v>
      </c>
      <c r="I84" s="519">
        <f>'Purchased Power Model '!O133</f>
        <v>125.14477470537335</v>
      </c>
      <c r="J84" s="654">
        <f>'Purchased Power Model '!T133</f>
        <v>13627990.651049979</v>
      </c>
    </row>
    <row r="85" spans="1:10" ht="15" x14ac:dyDescent="0.25">
      <c r="A85" s="3">
        <v>37605</v>
      </c>
      <c r="B85" s="518">
        <f>'Purchased Power Model '!B134</f>
        <v>15084566</v>
      </c>
      <c r="C85" s="518">
        <f>'Purchased Power Model '!C134</f>
        <v>567.20000000000005</v>
      </c>
      <c r="D85" s="518">
        <f>'Purchased Power Model '!D134</f>
        <v>0</v>
      </c>
      <c r="E85" s="518">
        <f>'Purchased Power Model '!F134</f>
        <v>31</v>
      </c>
      <c r="F85" s="518">
        <f>'Purchased Power Model '!H134</f>
        <v>0</v>
      </c>
      <c r="G85" s="518">
        <f>'Purchased Power Model '!I134</f>
        <v>0</v>
      </c>
      <c r="H85" s="518">
        <f>'Purchased Power Model '!M134</f>
        <v>0</v>
      </c>
      <c r="I85" s="519">
        <f>'Purchased Power Model '!O134</f>
        <v>125.51474680022261</v>
      </c>
      <c r="J85" s="654">
        <f>'Purchased Power Model '!T134</f>
        <v>14836382.897299612</v>
      </c>
    </row>
    <row r="86" spans="1:10" ht="15" x14ac:dyDescent="0.25">
      <c r="A86" s="3">
        <v>37622</v>
      </c>
      <c r="B86" s="518">
        <f>'Purchased Power Model '!B135</f>
        <v>15605142</v>
      </c>
      <c r="C86" s="518">
        <f>'Purchased Power Model '!C135</f>
        <v>731.8</v>
      </c>
      <c r="D86" s="518">
        <f>'Purchased Power Model '!D135</f>
        <v>0</v>
      </c>
      <c r="E86" s="518">
        <f>'Purchased Power Model '!F135</f>
        <v>31</v>
      </c>
      <c r="F86" s="518">
        <f>'Purchased Power Model '!H135</f>
        <v>0</v>
      </c>
      <c r="G86" s="518">
        <f>'Purchased Power Model '!I135</f>
        <v>0</v>
      </c>
      <c r="H86" s="518">
        <f>'Purchased Power Model '!M135</f>
        <v>0</v>
      </c>
      <c r="I86" s="519">
        <f>'Purchased Power Model '!O135</f>
        <v>125.66024937363977</v>
      </c>
      <c r="J86" s="654">
        <f>'Purchased Power Model '!T135</f>
        <v>15457328.587552495</v>
      </c>
    </row>
    <row r="87" spans="1:10" ht="15" x14ac:dyDescent="0.25">
      <c r="A87" s="3">
        <v>37653</v>
      </c>
      <c r="B87" s="518">
        <f>'Purchased Power Model '!B136</f>
        <v>13777511</v>
      </c>
      <c r="C87" s="518">
        <f>'Purchased Power Model '!C136</f>
        <v>632.15</v>
      </c>
      <c r="D87" s="518">
        <f>'Purchased Power Model '!D136</f>
        <v>0</v>
      </c>
      <c r="E87" s="518">
        <f>'Purchased Power Model '!F136</f>
        <v>28</v>
      </c>
      <c r="F87" s="518">
        <f>'Purchased Power Model '!H136</f>
        <v>0</v>
      </c>
      <c r="G87" s="518">
        <f>'Purchased Power Model '!I136</f>
        <v>0</v>
      </c>
      <c r="H87" s="518">
        <f>'Purchased Power Model '!M136</f>
        <v>0</v>
      </c>
      <c r="I87" s="519">
        <f>'Purchased Power Model '!O136</f>
        <v>125.80592062045517</v>
      </c>
      <c r="J87" s="654">
        <f>'Purchased Power Model '!T136</f>
        <v>13649657.661464777</v>
      </c>
    </row>
    <row r="88" spans="1:10" ht="15" x14ac:dyDescent="0.25">
      <c r="A88" s="3">
        <v>37681</v>
      </c>
      <c r="B88" s="518">
        <f>'Purchased Power Model '!B137</f>
        <v>13886125</v>
      </c>
      <c r="C88" s="518">
        <f>'Purchased Power Model '!C137</f>
        <v>547.70000000000005</v>
      </c>
      <c r="D88" s="518">
        <f>'Purchased Power Model '!D137</f>
        <v>0</v>
      </c>
      <c r="E88" s="518">
        <f>'Purchased Power Model '!F137</f>
        <v>31</v>
      </c>
      <c r="F88" s="518">
        <f>'Purchased Power Model '!H137</f>
        <v>0</v>
      </c>
      <c r="G88" s="518">
        <f>'Purchased Power Model '!I137</f>
        <v>1</v>
      </c>
      <c r="H88" s="518">
        <f>'Purchased Power Model '!M137</f>
        <v>0</v>
      </c>
      <c r="I88" s="519">
        <f>'Purchased Power Model '!O137</f>
        <v>125.9517607362029</v>
      </c>
      <c r="J88" s="654">
        <f>'Purchased Power Model '!T137</f>
        <v>13901980.395200104</v>
      </c>
    </row>
    <row r="89" spans="1:10" ht="15" x14ac:dyDescent="0.25">
      <c r="A89" s="3">
        <v>37712</v>
      </c>
      <c r="B89" s="518">
        <f>'Purchased Power Model '!B138</f>
        <v>12732906</v>
      </c>
      <c r="C89" s="518">
        <f>'Purchased Power Model '!C138</f>
        <v>398.3</v>
      </c>
      <c r="D89" s="518">
        <f>'Purchased Power Model '!D138</f>
        <v>0</v>
      </c>
      <c r="E89" s="518">
        <f>'Purchased Power Model '!F138</f>
        <v>30</v>
      </c>
      <c r="F89" s="518">
        <f>'Purchased Power Model '!H138</f>
        <v>0</v>
      </c>
      <c r="G89" s="518">
        <f>'Purchased Power Model '!I138</f>
        <v>1</v>
      </c>
      <c r="H89" s="518">
        <f>'Purchased Power Model '!M138</f>
        <v>0</v>
      </c>
      <c r="I89" s="519">
        <f>'Purchased Power Model '!O138</f>
        <v>126.09776991664374</v>
      </c>
      <c r="J89" s="654">
        <f>'Purchased Power Model '!T138</f>
        <v>12881933.787902717</v>
      </c>
    </row>
    <row r="90" spans="1:10" ht="15" x14ac:dyDescent="0.25">
      <c r="A90" s="3">
        <v>37742</v>
      </c>
      <c r="B90" s="518">
        <f>'Purchased Power Model '!B139</f>
        <v>12550053</v>
      </c>
      <c r="C90" s="518">
        <f>'Purchased Power Model '!C139</f>
        <v>235.4</v>
      </c>
      <c r="D90" s="518">
        <f>'Purchased Power Model '!D139</f>
        <v>0</v>
      </c>
      <c r="E90" s="518">
        <f>'Purchased Power Model '!F139</f>
        <v>31</v>
      </c>
      <c r="F90" s="518">
        <f>'Purchased Power Model '!H139</f>
        <v>0</v>
      </c>
      <c r="G90" s="518">
        <f>'Purchased Power Model '!I139</f>
        <v>1</v>
      </c>
      <c r="H90" s="518">
        <f>'Purchased Power Model '!M139</f>
        <v>0</v>
      </c>
      <c r="I90" s="519">
        <f>'Purchased Power Model '!O139</f>
        <v>126.2439483577654</v>
      </c>
      <c r="J90" s="654">
        <f>'Purchased Power Model '!T139</f>
        <v>12782914.329235962</v>
      </c>
    </row>
    <row r="91" spans="1:10" ht="15" x14ac:dyDescent="0.25">
      <c r="A91" s="3">
        <v>37773</v>
      </c>
      <c r="B91" s="518">
        <f>'Purchased Power Model '!B140</f>
        <v>13748210</v>
      </c>
      <c r="C91" s="518">
        <f>'Purchased Power Model '!C140</f>
        <v>74.099999999999994</v>
      </c>
      <c r="D91" s="518">
        <f>'Purchased Power Model '!D140</f>
        <v>44.6</v>
      </c>
      <c r="E91" s="518">
        <f>'Purchased Power Model '!F140</f>
        <v>30</v>
      </c>
      <c r="F91" s="518">
        <f>'Purchased Power Model '!H140</f>
        <v>0</v>
      </c>
      <c r="G91" s="518">
        <f>'Purchased Power Model '!I140</f>
        <v>0</v>
      </c>
      <c r="H91" s="518">
        <f>'Purchased Power Model '!M140</f>
        <v>0</v>
      </c>
      <c r="I91" s="519">
        <f>'Purchased Power Model '!O140</f>
        <v>126.3902962557828</v>
      </c>
      <c r="J91" s="654">
        <f>'Purchased Power Model '!T140</f>
        <v>14093570.582676625</v>
      </c>
    </row>
    <row r="92" spans="1:10" ht="15" x14ac:dyDescent="0.25">
      <c r="A92" s="3">
        <v>37803</v>
      </c>
      <c r="B92" s="518">
        <f>'Purchased Power Model '!B141</f>
        <v>16691749</v>
      </c>
      <c r="C92" s="518">
        <f>'Purchased Power Model '!C141</f>
        <v>3.4</v>
      </c>
      <c r="D92" s="518">
        <f>'Purchased Power Model '!D141</f>
        <v>105</v>
      </c>
      <c r="E92" s="518">
        <f>'Purchased Power Model '!F141</f>
        <v>31</v>
      </c>
      <c r="F92" s="518">
        <f>'Purchased Power Model '!H141</f>
        <v>1</v>
      </c>
      <c r="G92" s="518">
        <f>'Purchased Power Model '!I141</f>
        <v>0</v>
      </c>
      <c r="H92" s="518">
        <f>'Purchased Power Model '!M141</f>
        <v>0</v>
      </c>
      <c r="I92" s="519">
        <f>'Purchased Power Model '!O141</f>
        <v>126.5368138071383</v>
      </c>
      <c r="J92" s="654">
        <f>'Purchased Power Model '!T141</f>
        <v>16918023.27919478</v>
      </c>
    </row>
    <row r="93" spans="1:10" ht="15" x14ac:dyDescent="0.25">
      <c r="A93" s="3">
        <v>37834</v>
      </c>
      <c r="B93" s="518">
        <f>'Purchased Power Model '!B142</f>
        <v>18092812</v>
      </c>
      <c r="C93" s="518">
        <f>'Purchased Power Model '!C142</f>
        <v>0</v>
      </c>
      <c r="D93" s="518">
        <f>'Purchased Power Model '!D142</f>
        <v>139.85</v>
      </c>
      <c r="E93" s="518">
        <f>'Purchased Power Model '!F142</f>
        <v>31</v>
      </c>
      <c r="F93" s="518">
        <f>'Purchased Power Model '!H142</f>
        <v>1</v>
      </c>
      <c r="G93" s="518">
        <f>'Purchased Power Model '!I142</f>
        <v>0</v>
      </c>
      <c r="H93" s="518">
        <f>'Purchased Power Model '!M142</f>
        <v>0</v>
      </c>
      <c r="I93" s="519">
        <f>'Purchased Power Model '!O142</f>
        <v>126.68350120850199</v>
      </c>
      <c r="J93" s="654">
        <f>'Purchased Power Model '!T142</f>
        <v>18066593.323716801</v>
      </c>
    </row>
    <row r="94" spans="1:10" ht="15" x14ac:dyDescent="0.25">
      <c r="A94" s="3">
        <v>37865</v>
      </c>
      <c r="B94" s="518">
        <f>'Purchased Power Model '!B143</f>
        <v>14888714</v>
      </c>
      <c r="C94" s="518">
        <f>'Purchased Power Model '!C143</f>
        <v>26.8</v>
      </c>
      <c r="D94" s="518">
        <f>'Purchased Power Model '!D143</f>
        <v>27.4</v>
      </c>
      <c r="E94" s="518">
        <f>'Purchased Power Model '!F143</f>
        <v>30</v>
      </c>
      <c r="F94" s="518">
        <f>'Purchased Power Model '!H143</f>
        <v>1</v>
      </c>
      <c r="G94" s="518">
        <f>'Purchased Power Model '!I143</f>
        <v>0</v>
      </c>
      <c r="H94" s="518">
        <f>'Purchased Power Model '!M143</f>
        <v>0</v>
      </c>
      <c r="I94" s="519">
        <f>'Purchased Power Model '!O143</f>
        <v>126.83035865677196</v>
      </c>
      <c r="J94" s="654">
        <f>'Purchased Power Model '!T143</f>
        <v>13997898.535657939</v>
      </c>
    </row>
    <row r="95" spans="1:10" ht="15" x14ac:dyDescent="0.25">
      <c r="A95" s="3">
        <v>37895</v>
      </c>
      <c r="B95" s="518">
        <f>'Purchased Power Model '!B144</f>
        <v>13889177</v>
      </c>
      <c r="C95" s="518">
        <f>'Purchased Power Model '!C144</f>
        <v>245.3</v>
      </c>
      <c r="D95" s="518">
        <f>'Purchased Power Model '!D144</f>
        <v>0</v>
      </c>
      <c r="E95" s="518">
        <f>'Purchased Power Model '!F144</f>
        <v>31</v>
      </c>
      <c r="F95" s="518">
        <f>'Purchased Power Model '!H144</f>
        <v>0</v>
      </c>
      <c r="G95" s="518">
        <f>'Purchased Power Model '!I144</f>
        <v>0</v>
      </c>
      <c r="H95" s="518">
        <f>'Purchased Power Model '!M144</f>
        <v>0</v>
      </c>
      <c r="I95" s="519">
        <f>'Purchased Power Model '!O144</f>
        <v>126.97738634907456</v>
      </c>
      <c r="J95" s="654">
        <f>'Purchased Power Model '!T144</f>
        <v>13803653.787993826</v>
      </c>
    </row>
    <row r="96" spans="1:10" ht="15" x14ac:dyDescent="0.25">
      <c r="A96" s="3">
        <v>37926</v>
      </c>
      <c r="B96" s="518">
        <f>'Purchased Power Model '!B145</f>
        <v>13623711</v>
      </c>
      <c r="C96" s="518">
        <f>'Purchased Power Model '!C145</f>
        <v>348</v>
      </c>
      <c r="D96" s="518">
        <f>'Purchased Power Model '!D145</f>
        <v>0</v>
      </c>
      <c r="E96" s="518">
        <f>'Purchased Power Model '!F145</f>
        <v>30</v>
      </c>
      <c r="F96" s="518">
        <f>'Purchased Power Model '!H145</f>
        <v>0</v>
      </c>
      <c r="G96" s="518">
        <f>'Purchased Power Model '!I145</f>
        <v>0</v>
      </c>
      <c r="H96" s="518">
        <f>'Purchased Power Model '!M145</f>
        <v>0</v>
      </c>
      <c r="I96" s="519">
        <f>'Purchased Power Model '!O145</f>
        <v>127.12458448276465</v>
      </c>
      <c r="J96" s="654">
        <f>'Purchased Power Model '!T145</f>
        <v>13711600.393028537</v>
      </c>
    </row>
    <row r="97" spans="1:10" ht="15" x14ac:dyDescent="0.25">
      <c r="A97" s="3">
        <v>37956</v>
      </c>
      <c r="B97" s="518">
        <f>'Purchased Power Model '!B146</f>
        <v>14991479</v>
      </c>
      <c r="C97" s="518">
        <f>'Purchased Power Model '!C146</f>
        <v>510.1</v>
      </c>
      <c r="D97" s="518">
        <f>'Purchased Power Model '!D146</f>
        <v>0</v>
      </c>
      <c r="E97" s="518">
        <f>'Purchased Power Model '!F146</f>
        <v>31</v>
      </c>
      <c r="F97" s="518">
        <f>'Purchased Power Model '!H146</f>
        <v>0</v>
      </c>
      <c r="G97" s="518">
        <f>'Purchased Power Model '!I146</f>
        <v>0</v>
      </c>
      <c r="H97" s="518">
        <f>'Purchased Power Model '!M146</f>
        <v>0</v>
      </c>
      <c r="I97" s="519">
        <f>'Purchased Power Model '!O146</f>
        <v>127.27195325542573</v>
      </c>
      <c r="J97" s="654">
        <f>'Purchased Power Model '!T146</f>
        <v>14808887.241997067</v>
      </c>
    </row>
    <row r="98" spans="1:10" ht="15" x14ac:dyDescent="0.25">
      <c r="A98" s="3">
        <v>37987</v>
      </c>
      <c r="B98" s="518">
        <f>'Purchased Power Model '!B147</f>
        <v>16050658</v>
      </c>
      <c r="C98" s="518">
        <f>'Purchased Power Model '!C147</f>
        <v>750.2</v>
      </c>
      <c r="D98" s="518">
        <f>'Purchased Power Model '!D147</f>
        <v>0</v>
      </c>
      <c r="E98" s="518">
        <f>'Purchased Power Model '!F147</f>
        <v>31</v>
      </c>
      <c r="F98" s="518">
        <f>'Purchased Power Model '!H147</f>
        <v>0</v>
      </c>
      <c r="G98" s="518">
        <f>'Purchased Power Model '!I147</f>
        <v>0</v>
      </c>
      <c r="H98" s="518">
        <f>'Purchased Power Model '!M147</f>
        <v>0</v>
      </c>
      <c r="I98" s="519">
        <f>'Purchased Power Model '!O147</f>
        <v>127.53411264087498</v>
      </c>
      <c r="J98" s="654">
        <f>'Purchased Power Model '!T147</f>
        <v>15719842.007001113</v>
      </c>
    </row>
    <row r="99" spans="1:10" ht="15" x14ac:dyDescent="0.25">
      <c r="A99" s="3">
        <v>38018</v>
      </c>
      <c r="B99" s="518">
        <f>'Purchased Power Model '!B148</f>
        <v>14148177</v>
      </c>
      <c r="C99" s="518">
        <f>'Purchased Power Model '!C148</f>
        <v>578.9</v>
      </c>
      <c r="D99" s="518">
        <f>'Purchased Power Model '!D148</f>
        <v>0</v>
      </c>
      <c r="E99" s="518">
        <f>'Purchased Power Model '!F148</f>
        <v>29</v>
      </c>
      <c r="F99" s="518">
        <f>'Purchased Power Model '!H148</f>
        <v>0</v>
      </c>
      <c r="G99" s="518">
        <f>'Purchased Power Model '!I148</f>
        <v>0</v>
      </c>
      <c r="H99" s="518">
        <f>'Purchased Power Model '!M148</f>
        <v>0</v>
      </c>
      <c r="I99" s="519">
        <f>'Purchased Power Model '!O148</f>
        <v>127.79681203173486</v>
      </c>
      <c r="J99" s="654">
        <f>'Purchased Power Model '!T148</f>
        <v>14145972.662505239</v>
      </c>
    </row>
    <row r="100" spans="1:10" ht="15" x14ac:dyDescent="0.25">
      <c r="A100" s="3">
        <v>38047</v>
      </c>
      <c r="B100" s="518">
        <f>'Purchased Power Model '!B149</f>
        <v>14273134</v>
      </c>
      <c r="C100" s="518">
        <f>'Purchased Power Model '!C149</f>
        <v>479.8</v>
      </c>
      <c r="D100" s="518">
        <f>'Purchased Power Model '!D149</f>
        <v>0</v>
      </c>
      <c r="E100" s="518">
        <f>'Purchased Power Model '!F149</f>
        <v>31</v>
      </c>
      <c r="F100" s="518">
        <f>'Purchased Power Model '!H149</f>
        <v>0</v>
      </c>
      <c r="G100" s="518">
        <f>'Purchased Power Model '!I149</f>
        <v>1</v>
      </c>
      <c r="H100" s="518">
        <f>'Purchased Power Model '!M149</f>
        <v>0</v>
      </c>
      <c r="I100" s="519">
        <f>'Purchased Power Model '!O149</f>
        <v>128.06005254032812</v>
      </c>
      <c r="J100" s="654">
        <f>'Purchased Power Model '!T149</f>
        <v>13871230.55637349</v>
      </c>
    </row>
    <row r="101" spans="1:10" ht="15" x14ac:dyDescent="0.25">
      <c r="A101" s="3">
        <v>38078</v>
      </c>
      <c r="B101" s="518">
        <f>'Purchased Power Model '!B150</f>
        <v>12863305</v>
      </c>
      <c r="C101" s="518">
        <f>'Purchased Power Model '!C150</f>
        <v>332.5</v>
      </c>
      <c r="D101" s="518">
        <f>'Purchased Power Model '!D150</f>
        <v>0.5</v>
      </c>
      <c r="E101" s="518">
        <f>'Purchased Power Model '!F150</f>
        <v>30</v>
      </c>
      <c r="F101" s="518">
        <f>'Purchased Power Model '!H150</f>
        <v>0</v>
      </c>
      <c r="G101" s="518">
        <f>'Purchased Power Model '!I150</f>
        <v>1</v>
      </c>
      <c r="H101" s="518">
        <f>'Purchased Power Model '!M150</f>
        <v>0</v>
      </c>
      <c r="I101" s="519">
        <f>'Purchased Power Model '!O150</f>
        <v>128.32383528126866</v>
      </c>
      <c r="J101" s="654">
        <f>'Purchased Power Model '!T150</f>
        <v>12887595.413352525</v>
      </c>
    </row>
    <row r="102" spans="1:10" ht="15" x14ac:dyDescent="0.25">
      <c r="A102" s="3">
        <v>38108</v>
      </c>
      <c r="B102" s="518">
        <f>'Purchased Power Model '!B151</f>
        <v>13398133</v>
      </c>
      <c r="C102" s="518">
        <f>'Purchased Power Model '!C151</f>
        <v>169.7</v>
      </c>
      <c r="D102" s="518">
        <f>'Purchased Power Model '!D151</f>
        <v>1.2</v>
      </c>
      <c r="E102" s="518">
        <f>'Purchased Power Model '!F151</f>
        <v>31</v>
      </c>
      <c r="F102" s="518">
        <f>'Purchased Power Model '!H151</f>
        <v>0</v>
      </c>
      <c r="G102" s="518">
        <f>'Purchased Power Model '!I151</f>
        <v>1</v>
      </c>
      <c r="H102" s="518">
        <f>'Purchased Power Model '!M151</f>
        <v>0</v>
      </c>
      <c r="I102" s="519">
        <f>'Purchased Power Model '!O151</f>
        <v>128.58816137146633</v>
      </c>
      <c r="J102" s="654">
        <f>'Purchased Power Model '!T151</f>
        <v>12824240.996412318</v>
      </c>
    </row>
    <row r="103" spans="1:10" ht="15" x14ac:dyDescent="0.25">
      <c r="A103" s="3">
        <v>38139</v>
      </c>
      <c r="B103" s="518">
        <f>'Purchased Power Model '!B152</f>
        <v>14135802</v>
      </c>
      <c r="C103" s="518">
        <f>'Purchased Power Model '!C152</f>
        <v>45.6</v>
      </c>
      <c r="D103" s="518">
        <f>'Purchased Power Model '!D152</f>
        <v>26.3</v>
      </c>
      <c r="E103" s="518">
        <f>'Purchased Power Model '!F152</f>
        <v>30</v>
      </c>
      <c r="F103" s="518">
        <f>'Purchased Power Model '!H152</f>
        <v>0</v>
      </c>
      <c r="G103" s="518">
        <f>'Purchased Power Model '!I152</f>
        <v>0</v>
      </c>
      <c r="H103" s="518">
        <f>'Purchased Power Model '!M152</f>
        <v>0</v>
      </c>
      <c r="I103" s="519">
        <f>'Purchased Power Model '!O152</f>
        <v>128.85303193013166</v>
      </c>
      <c r="J103" s="654">
        <f>'Purchased Power Model '!T152</f>
        <v>13642992.916247617</v>
      </c>
    </row>
    <row r="104" spans="1:10" ht="15" x14ac:dyDescent="0.25">
      <c r="A104" s="3">
        <v>38169</v>
      </c>
      <c r="B104" s="518">
        <f>'Purchased Power Model '!B153</f>
        <v>16671355</v>
      </c>
      <c r="C104" s="518">
        <f>'Purchased Power Model '!C153</f>
        <v>1.9</v>
      </c>
      <c r="D104" s="518">
        <f>'Purchased Power Model '!D153</f>
        <v>79.3</v>
      </c>
      <c r="E104" s="518">
        <f>'Purchased Power Model '!F153</f>
        <v>31</v>
      </c>
      <c r="F104" s="518">
        <f>'Purchased Power Model '!H153</f>
        <v>1</v>
      </c>
      <c r="G104" s="518">
        <f>'Purchased Power Model '!I153</f>
        <v>0</v>
      </c>
      <c r="H104" s="518">
        <f>'Purchased Power Model '!M153</f>
        <v>0</v>
      </c>
      <c r="I104" s="519">
        <f>'Purchased Power Model '!O153</f>
        <v>129.11844807878055</v>
      </c>
      <c r="J104" s="654">
        <f>'Purchased Power Model '!T153</f>
        <v>16335875.366800774</v>
      </c>
    </row>
    <row r="105" spans="1:10" ht="15" x14ac:dyDescent="0.25">
      <c r="A105" s="3">
        <v>38200</v>
      </c>
      <c r="B105" s="518">
        <f>'Purchased Power Model '!B154</f>
        <v>17143727</v>
      </c>
      <c r="C105" s="518">
        <f>'Purchased Power Model '!C154</f>
        <v>1.8</v>
      </c>
      <c r="D105" s="518">
        <f>'Purchased Power Model '!D154</f>
        <v>85</v>
      </c>
      <c r="E105" s="518">
        <f>'Purchased Power Model '!F154</f>
        <v>31</v>
      </c>
      <c r="F105" s="518">
        <f>'Purchased Power Model '!H154</f>
        <v>1</v>
      </c>
      <c r="G105" s="518">
        <f>'Purchased Power Model '!I154</f>
        <v>0</v>
      </c>
      <c r="H105" s="518">
        <f>'Purchased Power Model '!M154</f>
        <v>0</v>
      </c>
      <c r="I105" s="519">
        <f>'Purchased Power Model '!O154</f>
        <v>129.38441094123903</v>
      </c>
      <c r="J105" s="654">
        <f>'Purchased Power Model '!T154</f>
        <v>16550565.270400088</v>
      </c>
    </row>
    <row r="106" spans="1:10" ht="15" x14ac:dyDescent="0.25">
      <c r="A106" s="3">
        <v>38231</v>
      </c>
      <c r="B106" s="518">
        <f>'Purchased Power Model '!B155</f>
        <v>15916123</v>
      </c>
      <c r="C106" s="518">
        <f>'Purchased Power Model '!C155</f>
        <v>14.6</v>
      </c>
      <c r="D106" s="518">
        <f>'Purchased Power Model '!D155</f>
        <v>65.3</v>
      </c>
      <c r="E106" s="518">
        <f>'Purchased Power Model '!F155</f>
        <v>30</v>
      </c>
      <c r="F106" s="518">
        <f>'Purchased Power Model '!H155</f>
        <v>1</v>
      </c>
      <c r="G106" s="518">
        <f>'Purchased Power Model '!I155</f>
        <v>0</v>
      </c>
      <c r="H106" s="518">
        <f>'Purchased Power Model '!M155</f>
        <v>0</v>
      </c>
      <c r="I106" s="519">
        <f>'Purchased Power Model '!O155</f>
        <v>129.65092164364802</v>
      </c>
      <c r="J106" s="654">
        <f>'Purchased Power Model '!T155</f>
        <v>15492314.44096542</v>
      </c>
    </row>
    <row r="107" spans="1:10" ht="15" x14ac:dyDescent="0.25">
      <c r="A107" s="3">
        <v>38261</v>
      </c>
      <c r="B107" s="518">
        <f>'Purchased Power Model '!B156</f>
        <v>13910480</v>
      </c>
      <c r="C107" s="518">
        <f>'Purchased Power Model '!C156</f>
        <v>196.4</v>
      </c>
      <c r="D107" s="518">
        <f>'Purchased Power Model '!D156</f>
        <v>2.6</v>
      </c>
      <c r="E107" s="518">
        <f>'Purchased Power Model '!F156</f>
        <v>31</v>
      </c>
      <c r="F107" s="518">
        <f>'Purchased Power Model '!H156</f>
        <v>0</v>
      </c>
      <c r="G107" s="518">
        <f>'Purchased Power Model '!I156</f>
        <v>0</v>
      </c>
      <c r="H107" s="518">
        <f>'Purchased Power Model '!M156</f>
        <v>0</v>
      </c>
      <c r="I107" s="519">
        <f>'Purchased Power Model '!O156</f>
        <v>129.91798131446814</v>
      </c>
      <c r="J107" s="654">
        <f>'Purchased Power Model '!T156</f>
        <v>14014839.447228501</v>
      </c>
    </row>
    <row r="108" spans="1:10" ht="15" x14ac:dyDescent="0.25">
      <c r="A108" s="3">
        <v>38292</v>
      </c>
      <c r="B108" s="518">
        <f>'Purchased Power Model '!B157</f>
        <v>13805540</v>
      </c>
      <c r="C108" s="518">
        <f>'Purchased Power Model '!C157</f>
        <v>341</v>
      </c>
      <c r="D108" s="518">
        <f>'Purchased Power Model '!D157</f>
        <v>0</v>
      </c>
      <c r="E108" s="518">
        <f>'Purchased Power Model '!F157</f>
        <v>30</v>
      </c>
      <c r="F108" s="518">
        <f>'Purchased Power Model '!H157</f>
        <v>0</v>
      </c>
      <c r="G108" s="518">
        <f>'Purchased Power Model '!I157</f>
        <v>0</v>
      </c>
      <c r="H108" s="518">
        <f>'Purchased Power Model '!M157</f>
        <v>0</v>
      </c>
      <c r="I108" s="519">
        <f>'Purchased Power Model '!O157</f>
        <v>130.18559108448443</v>
      </c>
      <c r="J108" s="654">
        <f>'Purchased Power Model '!T157</f>
        <v>14004032.99185665</v>
      </c>
    </row>
    <row r="109" spans="1:10" ht="15" x14ac:dyDescent="0.25">
      <c r="A109" s="3">
        <v>38322</v>
      </c>
      <c r="B109" s="518">
        <f>'Purchased Power Model '!B158</f>
        <v>15835971</v>
      </c>
      <c r="C109" s="518">
        <f>'Purchased Power Model '!C158</f>
        <v>566.70000000000005</v>
      </c>
      <c r="D109" s="518">
        <f>'Purchased Power Model '!D158</f>
        <v>0</v>
      </c>
      <c r="E109" s="518">
        <f>'Purchased Power Model '!F158</f>
        <v>31</v>
      </c>
      <c r="F109" s="518">
        <f>'Purchased Power Model '!H158</f>
        <v>0</v>
      </c>
      <c r="G109" s="518">
        <f>'Purchased Power Model '!I158</f>
        <v>0</v>
      </c>
      <c r="H109" s="518">
        <f>'Purchased Power Model '!M158</f>
        <v>0</v>
      </c>
      <c r="I109" s="519">
        <f>'Purchased Power Model '!O158</f>
        <v>130.45375208681136</v>
      </c>
      <c r="J109" s="654">
        <f>'Purchased Power Model '!T158</f>
        <v>15347960.11395344</v>
      </c>
    </row>
    <row r="110" spans="1:10" ht="15" x14ac:dyDescent="0.25">
      <c r="A110" s="3">
        <v>38353</v>
      </c>
      <c r="B110" s="518">
        <f>'Purchased Power Model '!B159</f>
        <v>16331485</v>
      </c>
      <c r="C110" s="518">
        <f>'Purchased Power Model '!C159</f>
        <v>693.3</v>
      </c>
      <c r="D110" s="518">
        <f>'Purchased Power Model '!D159</f>
        <v>0</v>
      </c>
      <c r="E110" s="518">
        <f>'Purchased Power Model '!F159</f>
        <v>31</v>
      </c>
      <c r="F110" s="518">
        <f>'Purchased Power Model '!H159</f>
        <v>0</v>
      </c>
      <c r="G110" s="518">
        <f>'Purchased Power Model '!I159</f>
        <v>0</v>
      </c>
      <c r="H110" s="518">
        <f>'Purchased Power Model '!M159</f>
        <v>0</v>
      </c>
      <c r="I110" s="519">
        <f>'Purchased Power Model '!O159</f>
        <v>130.74370215685079</v>
      </c>
      <c r="J110" s="654">
        <f>'Purchased Power Model '!T159</f>
        <v>15844060.005731024</v>
      </c>
    </row>
    <row r="111" spans="1:10" ht="15" x14ac:dyDescent="0.25">
      <c r="A111" s="3">
        <v>38384</v>
      </c>
      <c r="B111" s="518">
        <f>'Purchased Power Model '!B160</f>
        <v>13966621</v>
      </c>
      <c r="C111" s="518">
        <f>'Purchased Power Model '!C160</f>
        <v>582</v>
      </c>
      <c r="D111" s="518">
        <f>'Purchased Power Model '!D160</f>
        <v>0</v>
      </c>
      <c r="E111" s="518">
        <f>'Purchased Power Model '!F160</f>
        <v>28</v>
      </c>
      <c r="F111" s="518">
        <f>'Purchased Power Model '!H160</f>
        <v>0</v>
      </c>
      <c r="G111" s="518">
        <f>'Purchased Power Model '!I160</f>
        <v>0</v>
      </c>
      <c r="H111" s="518">
        <f>'Purchased Power Model '!M160</f>
        <v>0</v>
      </c>
      <c r="I111" s="519">
        <f>'Purchased Power Model '!O160</f>
        <v>131.0342966778299</v>
      </c>
      <c r="J111" s="654">
        <f>'Purchased Power Model '!T160</f>
        <v>14008575.541280394</v>
      </c>
    </row>
    <row r="112" spans="1:10" ht="15" x14ac:dyDescent="0.25">
      <c r="A112" s="3">
        <v>38412</v>
      </c>
      <c r="B112" s="518">
        <f>'Purchased Power Model '!B161</f>
        <v>14896809</v>
      </c>
      <c r="C112" s="518">
        <f>'Purchased Power Model '!C161</f>
        <v>576.1</v>
      </c>
      <c r="D112" s="518">
        <f>'Purchased Power Model '!D161</f>
        <v>0</v>
      </c>
      <c r="E112" s="518">
        <f>'Purchased Power Model '!F161</f>
        <v>31</v>
      </c>
      <c r="F112" s="518">
        <f>'Purchased Power Model '!H161</f>
        <v>0</v>
      </c>
      <c r="G112" s="518">
        <f>'Purchased Power Model '!I161</f>
        <v>1</v>
      </c>
      <c r="H112" s="518">
        <f>'Purchased Power Model '!M161</f>
        <v>0</v>
      </c>
      <c r="I112" s="519">
        <f>'Purchased Power Model '!O161</f>
        <v>131.32553708212293</v>
      </c>
      <c r="J112" s="654">
        <f>'Purchased Power Model '!T161</f>
        <v>14565120.993470728</v>
      </c>
    </row>
    <row r="113" spans="1:10" ht="15" x14ac:dyDescent="0.25">
      <c r="A113" s="3">
        <v>38443</v>
      </c>
      <c r="B113" s="518">
        <f>'Purchased Power Model '!B162</f>
        <v>12976713</v>
      </c>
      <c r="C113" s="518">
        <f>'Purchased Power Model '!C162</f>
        <v>345.1</v>
      </c>
      <c r="D113" s="518">
        <f>'Purchased Power Model '!D162</f>
        <v>0</v>
      </c>
      <c r="E113" s="518">
        <f>'Purchased Power Model '!F162</f>
        <v>30</v>
      </c>
      <c r="F113" s="518">
        <f>'Purchased Power Model '!H162</f>
        <v>0</v>
      </c>
      <c r="G113" s="518">
        <f>'Purchased Power Model '!I162</f>
        <v>1</v>
      </c>
      <c r="H113" s="518">
        <f>'Purchased Power Model '!M162</f>
        <v>0</v>
      </c>
      <c r="I113" s="519">
        <f>'Purchased Power Model '!O162</f>
        <v>131.61742480528775</v>
      </c>
      <c r="J113" s="654">
        <f>'Purchased Power Model '!T162</f>
        <v>13259904.85465795</v>
      </c>
    </row>
    <row r="114" spans="1:10" ht="15" x14ac:dyDescent="0.25">
      <c r="A114" s="3">
        <v>38473</v>
      </c>
      <c r="B114" s="518">
        <f>'Purchased Power Model '!B163</f>
        <v>13102698</v>
      </c>
      <c r="C114" s="518">
        <f>'Purchased Power Model '!C163</f>
        <v>215.3</v>
      </c>
      <c r="D114" s="518">
        <f>'Purchased Power Model '!D163</f>
        <v>0</v>
      </c>
      <c r="E114" s="518">
        <f>'Purchased Power Model '!F163</f>
        <v>31</v>
      </c>
      <c r="F114" s="518">
        <f>'Purchased Power Model '!H163</f>
        <v>0</v>
      </c>
      <c r="G114" s="518">
        <f>'Purchased Power Model '!I163</f>
        <v>1</v>
      </c>
      <c r="H114" s="518">
        <f>'Purchased Power Model '!M163</f>
        <v>0</v>
      </c>
      <c r="I114" s="519">
        <f>'Purchased Power Model '!O163</f>
        <v>131.90996128607298</v>
      </c>
      <c r="J114" s="654">
        <f>'Purchased Power Model '!T163</f>
        <v>13297926.142386738</v>
      </c>
    </row>
    <row r="115" spans="1:10" ht="15" x14ac:dyDescent="0.25">
      <c r="A115" s="3">
        <v>38504</v>
      </c>
      <c r="B115" s="518">
        <f>'Purchased Power Model '!B164</f>
        <v>17368816</v>
      </c>
      <c r="C115" s="518">
        <f>'Purchased Power Model '!C164</f>
        <v>10.4</v>
      </c>
      <c r="D115" s="518">
        <f>'Purchased Power Model '!D164</f>
        <v>107.8</v>
      </c>
      <c r="E115" s="518">
        <f>'Purchased Power Model '!F164</f>
        <v>30</v>
      </c>
      <c r="F115" s="518">
        <f>'Purchased Power Model '!H164</f>
        <v>0</v>
      </c>
      <c r="G115" s="518">
        <f>'Purchased Power Model '!I164</f>
        <v>0</v>
      </c>
      <c r="H115" s="518">
        <f>'Purchased Power Model '!M164</f>
        <v>0</v>
      </c>
      <c r="I115" s="519">
        <f>'Purchased Power Model '!O164</f>
        <v>132.20314796642501</v>
      </c>
      <c r="J115" s="654">
        <f>'Purchased Power Model '!T164</f>
        <v>16541331.208249515</v>
      </c>
    </row>
    <row r="116" spans="1:10" ht="15" x14ac:dyDescent="0.25">
      <c r="A116" s="3">
        <v>38534</v>
      </c>
      <c r="B116" s="518">
        <f>'Purchased Power Model '!B165</f>
        <v>19805768</v>
      </c>
      <c r="C116" s="518">
        <f>'Purchased Power Model '!C165</f>
        <v>0</v>
      </c>
      <c r="D116" s="518">
        <f>'Purchased Power Model '!D165</f>
        <v>183.5</v>
      </c>
      <c r="E116" s="518">
        <f>'Purchased Power Model '!F165</f>
        <v>31</v>
      </c>
      <c r="F116" s="518">
        <f>'Purchased Power Model '!H165</f>
        <v>1</v>
      </c>
      <c r="G116" s="518">
        <f>'Purchased Power Model '!I165</f>
        <v>0</v>
      </c>
      <c r="H116" s="518">
        <f>'Purchased Power Model '!M165</f>
        <v>0</v>
      </c>
      <c r="I116" s="519">
        <f>'Purchased Power Model '!O165</f>
        <v>132.49698629149512</v>
      </c>
      <c r="J116" s="654">
        <f>'Purchased Power Model '!T165</f>
        <v>20106085.768723793</v>
      </c>
    </row>
    <row r="117" spans="1:10" ht="15" x14ac:dyDescent="0.25">
      <c r="A117" s="3">
        <v>38565</v>
      </c>
      <c r="B117" s="518">
        <f>'Purchased Power Model '!B166</f>
        <v>19394910</v>
      </c>
      <c r="C117" s="518">
        <f>'Purchased Power Model '!C166</f>
        <v>0</v>
      </c>
      <c r="D117" s="518">
        <f>'Purchased Power Model '!D166</f>
        <v>165.7</v>
      </c>
      <c r="E117" s="518">
        <f>'Purchased Power Model '!F166</f>
        <v>31</v>
      </c>
      <c r="F117" s="518">
        <f>'Purchased Power Model '!H166</f>
        <v>1</v>
      </c>
      <c r="G117" s="518">
        <f>'Purchased Power Model '!I166</f>
        <v>0</v>
      </c>
      <c r="H117" s="518">
        <f>'Purchased Power Model '!M166</f>
        <v>0</v>
      </c>
      <c r="I117" s="519">
        <f>'Purchased Power Model '!O166</f>
        <v>132.79147770964664</v>
      </c>
      <c r="J117" s="654">
        <f>'Purchased Power Model '!T166</f>
        <v>19551451.189305596</v>
      </c>
    </row>
    <row r="118" spans="1:10" ht="15" x14ac:dyDescent="0.25">
      <c r="A118" s="3">
        <v>38596</v>
      </c>
      <c r="B118" s="518">
        <f>'Purchased Power Model '!B167</f>
        <v>16134163</v>
      </c>
      <c r="C118" s="518">
        <f>'Purchased Power Model '!C167</f>
        <v>7.3</v>
      </c>
      <c r="D118" s="518">
        <f>'Purchased Power Model '!D167</f>
        <v>76.599999999999994</v>
      </c>
      <c r="E118" s="518">
        <f>'Purchased Power Model '!F167</f>
        <v>30</v>
      </c>
      <c r="F118" s="518">
        <f>'Purchased Power Model '!H167</f>
        <v>1</v>
      </c>
      <c r="G118" s="518">
        <f>'Purchased Power Model '!I167</f>
        <v>0</v>
      </c>
      <c r="H118" s="518">
        <f>'Purchased Power Model '!M167</f>
        <v>0</v>
      </c>
      <c r="I118" s="519">
        <f>'Purchased Power Model '!O167</f>
        <v>133.08662367246211</v>
      </c>
      <c r="J118" s="654">
        <f>'Purchased Power Model '!T167</f>
        <v>16194126.543001611</v>
      </c>
    </row>
    <row r="119" spans="1:10" ht="15" x14ac:dyDescent="0.25">
      <c r="A119" s="3">
        <v>38626</v>
      </c>
      <c r="B119" s="518">
        <f>'Purchased Power Model '!B168</f>
        <v>14385984</v>
      </c>
      <c r="C119" s="518">
        <f>'Purchased Power Model '!C168</f>
        <v>201.6</v>
      </c>
      <c r="D119" s="518">
        <f>'Purchased Power Model '!D168</f>
        <v>10.7</v>
      </c>
      <c r="E119" s="518">
        <f>'Purchased Power Model '!F168</f>
        <v>31</v>
      </c>
      <c r="F119" s="518">
        <f>'Purchased Power Model '!H168</f>
        <v>0</v>
      </c>
      <c r="G119" s="518">
        <f>'Purchased Power Model '!I168</f>
        <v>0</v>
      </c>
      <c r="H119" s="518">
        <f>'Purchased Power Model '!M168</f>
        <v>0</v>
      </c>
      <c r="I119" s="519">
        <f>'Purchased Power Model '!O168</f>
        <v>133.38242563475035</v>
      </c>
      <c r="J119" s="654">
        <f>'Purchased Power Model '!T168</f>
        <v>14660433.356668096</v>
      </c>
    </row>
    <row r="120" spans="1:10" ht="15" x14ac:dyDescent="0.25">
      <c r="A120" s="3">
        <v>38657</v>
      </c>
      <c r="B120" s="518">
        <f>'Purchased Power Model '!B169</f>
        <v>14028139</v>
      </c>
      <c r="C120" s="518">
        <f>'Purchased Power Model '!C169</f>
        <v>350.6</v>
      </c>
      <c r="D120" s="518">
        <f>'Purchased Power Model '!D169</f>
        <v>0</v>
      </c>
      <c r="E120" s="518">
        <f>'Purchased Power Model '!F169</f>
        <v>30</v>
      </c>
      <c r="F120" s="518">
        <f>'Purchased Power Model '!H169</f>
        <v>0</v>
      </c>
      <c r="G120" s="518">
        <f>'Purchased Power Model '!I169</f>
        <v>0</v>
      </c>
      <c r="H120" s="518">
        <f>'Purchased Power Model '!M169</f>
        <v>0</v>
      </c>
      <c r="I120" s="519">
        <f>'Purchased Power Model '!O169</f>
        <v>133.67888505455369</v>
      </c>
      <c r="J120" s="654">
        <f>'Purchased Power Model '!T169</f>
        <v>14402499.879050931</v>
      </c>
    </row>
    <row r="121" spans="1:10" ht="15" x14ac:dyDescent="0.25">
      <c r="A121" s="3">
        <v>38687</v>
      </c>
      <c r="B121" s="518">
        <f>'Purchased Power Model '!B170</f>
        <v>16177808</v>
      </c>
      <c r="C121" s="518">
        <f>'Purchased Power Model '!C170</f>
        <v>631.29999999999995</v>
      </c>
      <c r="D121" s="518">
        <f>'Purchased Power Model '!D170</f>
        <v>0</v>
      </c>
      <c r="E121" s="518">
        <f>'Purchased Power Model '!F170</f>
        <v>31</v>
      </c>
      <c r="F121" s="518">
        <f>'Purchased Power Model '!H170</f>
        <v>0</v>
      </c>
      <c r="G121" s="518">
        <f>'Purchased Power Model '!I170</f>
        <v>0</v>
      </c>
      <c r="H121" s="518">
        <f>'Purchased Power Model '!M170</f>
        <v>0</v>
      </c>
      <c r="I121" s="519">
        <f>'Purchased Power Model '!O170</f>
        <v>133.97600339315525</v>
      </c>
      <c r="J121" s="654">
        <f>'Purchased Power Model '!T170</f>
        <v>15951868.059150865</v>
      </c>
    </row>
    <row r="122" spans="1:10" ht="15" x14ac:dyDescent="0.25">
      <c r="A122" s="3">
        <v>38718</v>
      </c>
      <c r="B122" s="518">
        <f>'Purchased Power Model '!B171</f>
        <v>15068183</v>
      </c>
      <c r="C122" s="518">
        <f>'Purchased Power Model '!C171</f>
        <v>509.6</v>
      </c>
      <c r="D122" s="518">
        <f>'Purchased Power Model '!D171</f>
        <v>0</v>
      </c>
      <c r="E122" s="518">
        <f>'Purchased Power Model '!F171</f>
        <v>31</v>
      </c>
      <c r="F122" s="518">
        <f>'Purchased Power Model '!H171</f>
        <v>0</v>
      </c>
      <c r="G122" s="518">
        <f>'Purchased Power Model '!I171</f>
        <v>0</v>
      </c>
      <c r="H122" s="518">
        <f>'Purchased Power Model '!M171</f>
        <v>7666.666666666667</v>
      </c>
      <c r="I122" s="519">
        <f>'Purchased Power Model '!O171</f>
        <v>134.25197202423305</v>
      </c>
      <c r="J122" s="654">
        <f>'Purchased Power Model '!T171</f>
        <v>15515750.704672735</v>
      </c>
    </row>
    <row r="123" spans="1:10" ht="15" x14ac:dyDescent="0.25">
      <c r="A123" s="3">
        <v>38749</v>
      </c>
      <c r="B123" s="518">
        <f>'Purchased Power Model '!B172</f>
        <v>13944271</v>
      </c>
      <c r="C123" s="518">
        <f>'Purchased Power Model '!C172</f>
        <v>547.6</v>
      </c>
      <c r="D123" s="518">
        <f>'Purchased Power Model '!D172</f>
        <v>0</v>
      </c>
      <c r="E123" s="518">
        <f>'Purchased Power Model '!F172</f>
        <v>28</v>
      </c>
      <c r="F123" s="518">
        <f>'Purchased Power Model '!H172</f>
        <v>0</v>
      </c>
      <c r="G123" s="518">
        <f>'Purchased Power Model '!I172</f>
        <v>0</v>
      </c>
      <c r="H123" s="518">
        <f>'Purchased Power Model '!M172</f>
        <v>15333.333333333334</v>
      </c>
      <c r="I123" s="519">
        <f>'Purchased Power Model '!O172</f>
        <v>134.52850910550649</v>
      </c>
      <c r="J123" s="654">
        <f>'Purchased Power Model '!T172</f>
        <v>14211432.447836667</v>
      </c>
    </row>
    <row r="124" spans="1:10" ht="15" x14ac:dyDescent="0.25">
      <c r="A124" s="3">
        <v>38777</v>
      </c>
      <c r="B124" s="518">
        <f>'Purchased Power Model '!B173</f>
        <v>14286598</v>
      </c>
      <c r="C124" s="518">
        <f>'Purchased Power Model '!C173</f>
        <v>486.4</v>
      </c>
      <c r="D124" s="518">
        <f>'Purchased Power Model '!D173</f>
        <v>0</v>
      </c>
      <c r="E124" s="518">
        <f>'Purchased Power Model '!F173</f>
        <v>31</v>
      </c>
      <c r="F124" s="518">
        <f>'Purchased Power Model '!H173</f>
        <v>0</v>
      </c>
      <c r="G124" s="518">
        <f>'Purchased Power Model '!I173</f>
        <v>1</v>
      </c>
      <c r="H124" s="518">
        <f>'Purchased Power Model '!M173</f>
        <v>23000</v>
      </c>
      <c r="I124" s="519">
        <f>'Purchased Power Model '!O173</f>
        <v>134.80561580788986</v>
      </c>
      <c r="J124" s="654">
        <f>'Purchased Power Model '!T173</f>
        <v>14546093.244742911</v>
      </c>
    </row>
    <row r="125" spans="1:10" ht="15" x14ac:dyDescent="0.25">
      <c r="A125" s="3">
        <v>38808</v>
      </c>
      <c r="B125" s="518">
        <f>'Purchased Power Model '!B174</f>
        <v>12746759</v>
      </c>
      <c r="C125" s="518">
        <f>'Purchased Power Model '!C174</f>
        <v>314.60000000000002</v>
      </c>
      <c r="D125" s="518">
        <f>'Purchased Power Model '!D174</f>
        <v>0</v>
      </c>
      <c r="E125" s="518">
        <f>'Purchased Power Model '!F174</f>
        <v>30</v>
      </c>
      <c r="F125" s="518">
        <f>'Purchased Power Model '!H174</f>
        <v>0</v>
      </c>
      <c r="G125" s="518">
        <f>'Purchased Power Model '!I174</f>
        <v>1</v>
      </c>
      <c r="H125" s="518">
        <f>'Purchased Power Model '!M174</f>
        <v>30666.666666666668</v>
      </c>
      <c r="I125" s="519">
        <f>'Purchased Power Model '!O174</f>
        <v>135.08329330470943</v>
      </c>
      <c r="J125" s="654">
        <f>'Purchased Power Model '!T174</f>
        <v>13440408.816894647</v>
      </c>
    </row>
    <row r="126" spans="1:10" ht="15" x14ac:dyDescent="0.25">
      <c r="A126" s="3">
        <v>38838</v>
      </c>
      <c r="B126" s="518">
        <f>'Purchased Power Model '!B175</f>
        <v>13662946</v>
      </c>
      <c r="C126" s="518">
        <f>'Purchased Power Model '!C175</f>
        <v>155.1</v>
      </c>
      <c r="D126" s="518">
        <f>'Purchased Power Model '!D175</f>
        <v>28.3</v>
      </c>
      <c r="E126" s="518">
        <f>'Purchased Power Model '!F175</f>
        <v>31</v>
      </c>
      <c r="F126" s="518">
        <f>'Purchased Power Model '!H175</f>
        <v>0</v>
      </c>
      <c r="G126" s="518">
        <f>'Purchased Power Model '!I175</f>
        <v>1</v>
      </c>
      <c r="H126" s="518">
        <f>'Purchased Power Model '!M175</f>
        <v>38333.333333333336</v>
      </c>
      <c r="I126" s="519">
        <f>'Purchased Power Model '!O175</f>
        <v>135.36154277170829</v>
      </c>
      <c r="J126" s="654">
        <f>'Purchased Power Model '!T175</f>
        <v>14281229.55402511</v>
      </c>
    </row>
    <row r="127" spans="1:10" ht="15" x14ac:dyDescent="0.25">
      <c r="A127" s="3">
        <v>38869</v>
      </c>
      <c r="B127" s="518">
        <f>'Purchased Power Model '!B176</f>
        <v>15421790</v>
      </c>
      <c r="C127" s="518">
        <f>'Purchased Power Model '!C176</f>
        <v>16.3</v>
      </c>
      <c r="D127" s="518">
        <f>'Purchased Power Model '!D176</f>
        <v>56.8</v>
      </c>
      <c r="E127" s="518">
        <f>'Purchased Power Model '!F176</f>
        <v>30</v>
      </c>
      <c r="F127" s="518">
        <f>'Purchased Power Model '!H176</f>
        <v>0</v>
      </c>
      <c r="G127" s="518">
        <f>'Purchased Power Model '!I176</f>
        <v>0</v>
      </c>
      <c r="H127" s="518">
        <f>'Purchased Power Model '!M176</f>
        <v>46000</v>
      </c>
      <c r="I127" s="519">
        <f>'Purchased Power Model '!O176</f>
        <v>135.64036538705133</v>
      </c>
      <c r="J127" s="654">
        <f>'Purchased Power Model '!T176</f>
        <v>15142236.020961825</v>
      </c>
    </row>
    <row r="128" spans="1:10" ht="15" x14ac:dyDescent="0.25">
      <c r="A128" s="3">
        <v>38899</v>
      </c>
      <c r="B128" s="518">
        <f>'Purchased Power Model '!B177</f>
        <v>19240751</v>
      </c>
      <c r="C128" s="518">
        <f>'Purchased Power Model '!C177</f>
        <v>0</v>
      </c>
      <c r="D128" s="518">
        <f>'Purchased Power Model '!D177</f>
        <v>161.19999999999999</v>
      </c>
      <c r="E128" s="518">
        <f>'Purchased Power Model '!F177</f>
        <v>31</v>
      </c>
      <c r="F128" s="518">
        <f>'Purchased Power Model '!H177</f>
        <v>1</v>
      </c>
      <c r="G128" s="518">
        <f>'Purchased Power Model '!I177</f>
        <v>0</v>
      </c>
      <c r="H128" s="518">
        <f>'Purchased Power Model '!M177</f>
        <v>53666.666666666664</v>
      </c>
      <c r="I128" s="519">
        <f>'Purchased Power Model '!O177</f>
        <v>135.9197623313303</v>
      </c>
      <c r="J128" s="654">
        <f>'Purchased Power Model '!T177</f>
        <v>19610522.981652245</v>
      </c>
    </row>
    <row r="129" spans="1:10" ht="15" x14ac:dyDescent="0.25">
      <c r="A129" s="3">
        <v>38930</v>
      </c>
      <c r="B129" s="518">
        <f>'Purchased Power Model '!B178</f>
        <v>18721230</v>
      </c>
      <c r="C129" s="518">
        <f>'Purchased Power Model '!C178</f>
        <v>4.2</v>
      </c>
      <c r="D129" s="518">
        <f>'Purchased Power Model '!D178</f>
        <v>97.7</v>
      </c>
      <c r="E129" s="518">
        <f>'Purchased Power Model '!F178</f>
        <v>31</v>
      </c>
      <c r="F129" s="518">
        <f>'Purchased Power Model '!H178</f>
        <v>1</v>
      </c>
      <c r="G129" s="518">
        <f>'Purchased Power Model '!I178</f>
        <v>0</v>
      </c>
      <c r="H129" s="518">
        <f>'Purchased Power Model '!M178</f>
        <v>61333.333333333328</v>
      </c>
      <c r="I129" s="519">
        <f>'Purchased Power Model '!O178</f>
        <v>136.19973478756879</v>
      </c>
      <c r="J129" s="654">
        <f>'Purchased Power Model '!T178</f>
        <v>17550383.656765241</v>
      </c>
    </row>
    <row r="130" spans="1:10" ht="15" x14ac:dyDescent="0.25">
      <c r="A130" s="3">
        <v>38961</v>
      </c>
      <c r="B130" s="518">
        <f>'Purchased Power Model '!B179</f>
        <v>14886931</v>
      </c>
      <c r="C130" s="518">
        <f>'Purchased Power Model '!C179</f>
        <v>45.9</v>
      </c>
      <c r="D130" s="518">
        <f>'Purchased Power Model '!D179</f>
        <v>17</v>
      </c>
      <c r="E130" s="518">
        <f>'Purchased Power Model '!F179</f>
        <v>30</v>
      </c>
      <c r="F130" s="518">
        <f>'Purchased Power Model '!H179</f>
        <v>1</v>
      </c>
      <c r="G130" s="518">
        <f>'Purchased Power Model '!I179</f>
        <v>0</v>
      </c>
      <c r="H130" s="518">
        <f>'Purchased Power Model '!M179</f>
        <v>69000</v>
      </c>
      <c r="I130" s="519">
        <f>'Purchased Power Model '!O179</f>
        <v>136.48028394122719</v>
      </c>
      <c r="J130" s="654">
        <f>'Purchased Power Model '!T179</f>
        <v>14577456.785957176</v>
      </c>
    </row>
    <row r="131" spans="1:10" ht="15" x14ac:dyDescent="0.25">
      <c r="A131" s="3">
        <v>38991</v>
      </c>
      <c r="B131" s="518">
        <f>'Purchased Power Model '!B180</f>
        <v>14675076</v>
      </c>
      <c r="C131" s="518">
        <f>'Purchased Power Model '!C180</f>
        <v>234.4</v>
      </c>
      <c r="D131" s="518">
        <f>'Purchased Power Model '!D180</f>
        <v>0.4</v>
      </c>
      <c r="E131" s="518">
        <f>'Purchased Power Model '!F180</f>
        <v>31</v>
      </c>
      <c r="F131" s="518">
        <f>'Purchased Power Model '!H180</f>
        <v>0</v>
      </c>
      <c r="G131" s="518">
        <f>'Purchased Power Model '!I180</f>
        <v>0</v>
      </c>
      <c r="H131" s="518">
        <f>'Purchased Power Model '!M180</f>
        <v>76666.666666666672</v>
      </c>
      <c r="I131" s="519">
        <f>'Purchased Power Model '!O180</f>
        <v>136.76141098020776</v>
      </c>
      <c r="J131" s="654">
        <f>'Purchased Power Model '!T180</f>
        <v>14624948.606150925</v>
      </c>
    </row>
    <row r="132" spans="1:10" ht="15" x14ac:dyDescent="0.25">
      <c r="A132" s="3">
        <v>39022</v>
      </c>
      <c r="B132" s="518">
        <f>'Purchased Power Model '!B181</f>
        <v>14306931</v>
      </c>
      <c r="C132" s="518">
        <f>'Purchased Power Model '!C181</f>
        <v>341.9</v>
      </c>
      <c r="D132" s="518">
        <f>'Purchased Power Model '!D181</f>
        <v>0</v>
      </c>
      <c r="E132" s="518">
        <f>'Purchased Power Model '!F181</f>
        <v>30</v>
      </c>
      <c r="F132" s="518">
        <f>'Purchased Power Model '!H181</f>
        <v>0</v>
      </c>
      <c r="G132" s="518">
        <f>'Purchased Power Model '!I181</f>
        <v>0</v>
      </c>
      <c r="H132" s="518">
        <f>'Purchased Power Model '!M181</f>
        <v>84333.333333333343</v>
      </c>
      <c r="I132" s="519">
        <f>'Purchased Power Model '!O181</f>
        <v>137.04311709485967</v>
      </c>
      <c r="J132" s="654">
        <f>'Purchased Power Model '!T181</f>
        <v>14534512.230364352</v>
      </c>
    </row>
    <row r="133" spans="1:10" ht="15" x14ac:dyDescent="0.25">
      <c r="A133" s="3">
        <v>39052</v>
      </c>
      <c r="B133" s="518">
        <f>'Purchased Power Model '!B182</f>
        <v>15491961</v>
      </c>
      <c r="C133" s="518">
        <f>'Purchased Power Model '!C182</f>
        <v>445.2</v>
      </c>
      <c r="D133" s="518">
        <f>'Purchased Power Model '!D182</f>
        <v>0</v>
      </c>
      <c r="E133" s="518">
        <f>'Purchased Power Model '!F182</f>
        <v>31</v>
      </c>
      <c r="F133" s="518">
        <f>'Purchased Power Model '!H182</f>
        <v>0</v>
      </c>
      <c r="G133" s="518">
        <f>'Purchased Power Model '!I182</f>
        <v>0</v>
      </c>
      <c r="H133" s="518">
        <f>'Purchased Power Model '!M182</f>
        <v>92000.000000000015</v>
      </c>
      <c r="I133" s="519">
        <f>'Purchased Power Model '!O182</f>
        <v>137.32540347798411</v>
      </c>
      <c r="J133" s="654">
        <f>'Purchased Power Model '!T182</f>
        <v>15412526.580172019</v>
      </c>
    </row>
    <row r="134" spans="1:10" ht="15" x14ac:dyDescent="0.25">
      <c r="A134" s="3">
        <v>39083</v>
      </c>
      <c r="B134" s="518">
        <f>'Purchased Power Model '!B183</f>
        <v>15851415</v>
      </c>
      <c r="C134" s="518">
        <f>'Purchased Power Model '!C183</f>
        <v>578</v>
      </c>
      <c r="D134" s="518">
        <f>'Purchased Power Model '!D183</f>
        <v>0</v>
      </c>
      <c r="E134" s="518">
        <f>'Purchased Power Model '!F183</f>
        <v>31</v>
      </c>
      <c r="F134" s="518">
        <f>'Purchased Power Model '!H183</f>
        <v>0</v>
      </c>
      <c r="G134" s="518">
        <f>'Purchased Power Model '!I183</f>
        <v>0</v>
      </c>
      <c r="H134" s="518">
        <f>'Purchased Power Model '!M183</f>
        <v>90769.23076923078</v>
      </c>
      <c r="I134" s="519">
        <f>'Purchased Power Model '!O183</f>
        <v>137.552207546647</v>
      </c>
      <c r="J134" s="654">
        <f>'Purchased Power Model '!T183</f>
        <v>15927591.719071543</v>
      </c>
    </row>
    <row r="135" spans="1:10" ht="15" x14ac:dyDescent="0.25">
      <c r="A135" s="3">
        <v>39114</v>
      </c>
      <c r="B135" s="518">
        <f>'Purchased Power Model '!B184</f>
        <v>15178391</v>
      </c>
      <c r="C135" s="518">
        <f>'Purchased Power Model '!C184</f>
        <v>657.8</v>
      </c>
      <c r="D135" s="518">
        <f>'Purchased Power Model '!D184</f>
        <v>0</v>
      </c>
      <c r="E135" s="518">
        <f>'Purchased Power Model '!F184</f>
        <v>28</v>
      </c>
      <c r="F135" s="518">
        <f>'Purchased Power Model '!H184</f>
        <v>0</v>
      </c>
      <c r="G135" s="518">
        <f>'Purchased Power Model '!I184</f>
        <v>0</v>
      </c>
      <c r="H135" s="518">
        <f>'Purchased Power Model '!M184</f>
        <v>89538.461538461546</v>
      </c>
      <c r="I135" s="519">
        <f>'Purchased Power Model '!O184</f>
        <v>137.77938620066888</v>
      </c>
      <c r="J135" s="654">
        <f>'Purchased Power Model '!T184</f>
        <v>14791580.317507453</v>
      </c>
    </row>
    <row r="136" spans="1:10" ht="15" x14ac:dyDescent="0.25">
      <c r="A136" s="3">
        <v>39142</v>
      </c>
      <c r="B136" s="518">
        <f>'Purchased Power Model '!B185</f>
        <v>15217726</v>
      </c>
      <c r="C136" s="518">
        <f>'Purchased Power Model '!C185</f>
        <v>514.20000000000005</v>
      </c>
      <c r="D136" s="518">
        <f>'Purchased Power Model '!D185</f>
        <v>0</v>
      </c>
      <c r="E136" s="518">
        <f>'Purchased Power Model '!F185</f>
        <v>31</v>
      </c>
      <c r="F136" s="518">
        <f>'Purchased Power Model '!H185</f>
        <v>0</v>
      </c>
      <c r="G136" s="518">
        <f>'Purchased Power Model '!I185</f>
        <v>1</v>
      </c>
      <c r="H136" s="518">
        <f>'Purchased Power Model '!M185</f>
        <v>88307.692307692312</v>
      </c>
      <c r="I136" s="519">
        <f>'Purchased Power Model '!O185</f>
        <v>138.00694005870795</v>
      </c>
      <c r="J136" s="654">
        <f>'Purchased Power Model '!T185</f>
        <v>14837401.989596691</v>
      </c>
    </row>
    <row r="137" spans="1:10" ht="15" x14ac:dyDescent="0.25">
      <c r="A137" s="3">
        <v>39173</v>
      </c>
      <c r="B137" s="518">
        <f>'Purchased Power Model '!B186</f>
        <v>13669243</v>
      </c>
      <c r="C137" s="518">
        <f>'Purchased Power Model '!C186</f>
        <v>362.1</v>
      </c>
      <c r="D137" s="518">
        <f>'Purchased Power Model '!D186</f>
        <v>0</v>
      </c>
      <c r="E137" s="518">
        <f>'Purchased Power Model '!F186</f>
        <v>30</v>
      </c>
      <c r="F137" s="518">
        <f>'Purchased Power Model '!H186</f>
        <v>0</v>
      </c>
      <c r="G137" s="518">
        <f>'Purchased Power Model '!I186</f>
        <v>1</v>
      </c>
      <c r="H137" s="518">
        <f>'Purchased Power Model '!M186</f>
        <v>87076.923076923078</v>
      </c>
      <c r="I137" s="519">
        <f>'Purchased Power Model '!O186</f>
        <v>138.23486974044414</v>
      </c>
      <c r="J137" s="654">
        <f>'Purchased Power Model '!T186</f>
        <v>13818643.524720373</v>
      </c>
    </row>
    <row r="138" spans="1:10" ht="15" x14ac:dyDescent="0.25">
      <c r="A138" s="3">
        <v>39203</v>
      </c>
      <c r="B138" s="518">
        <f>'Purchased Power Model '!B187</f>
        <v>13835998</v>
      </c>
      <c r="C138" s="518">
        <f>'Purchased Power Model '!C187</f>
        <v>157.9</v>
      </c>
      <c r="D138" s="518">
        <f>'Purchased Power Model '!D187</f>
        <v>13.6</v>
      </c>
      <c r="E138" s="518">
        <f>'Purchased Power Model '!F187</f>
        <v>31</v>
      </c>
      <c r="F138" s="518">
        <f>'Purchased Power Model '!H187</f>
        <v>0</v>
      </c>
      <c r="G138" s="518">
        <f>'Purchased Power Model '!I187</f>
        <v>1</v>
      </c>
      <c r="H138" s="518">
        <f>'Purchased Power Model '!M187</f>
        <v>85846.153846153844</v>
      </c>
      <c r="I138" s="519">
        <f>'Purchased Power Model '!O187</f>
        <v>138.46317586658083</v>
      </c>
      <c r="J138" s="654">
        <f>'Purchased Power Model '!T187</f>
        <v>14026019.404028425</v>
      </c>
    </row>
    <row r="139" spans="1:10" ht="15" x14ac:dyDescent="0.25">
      <c r="A139" s="3">
        <v>39234</v>
      </c>
      <c r="B139" s="518">
        <f>'Purchased Power Model '!B188</f>
        <v>16594307</v>
      </c>
      <c r="C139" s="518">
        <f>'Purchased Power Model '!C188</f>
        <v>10.9</v>
      </c>
      <c r="D139" s="518">
        <f>'Purchased Power Model '!D188</f>
        <v>81.7</v>
      </c>
      <c r="E139" s="518">
        <f>'Purchased Power Model '!F188</f>
        <v>30</v>
      </c>
      <c r="F139" s="518">
        <f>'Purchased Power Model '!H188</f>
        <v>0</v>
      </c>
      <c r="G139" s="518">
        <f>'Purchased Power Model '!I188</f>
        <v>0</v>
      </c>
      <c r="H139" s="518">
        <f>'Purchased Power Model '!M188</f>
        <v>84615.38461538461</v>
      </c>
      <c r="I139" s="519">
        <f>'Purchased Power Model '!O188</f>
        <v>138.69185905884657</v>
      </c>
      <c r="J139" s="654">
        <f>'Purchased Power Model '!T188</f>
        <v>16173234.596314093</v>
      </c>
    </row>
    <row r="140" spans="1:10" ht="15" x14ac:dyDescent="0.25">
      <c r="A140" s="3">
        <v>39264</v>
      </c>
      <c r="B140" s="518">
        <f>'Purchased Power Model '!B189</f>
        <v>17565527</v>
      </c>
      <c r="C140" s="518">
        <f>'Purchased Power Model '!C189</f>
        <v>0</v>
      </c>
      <c r="D140" s="518">
        <f>'Purchased Power Model '!D189</f>
        <v>109</v>
      </c>
      <c r="E140" s="518">
        <f>'Purchased Power Model '!F189</f>
        <v>31</v>
      </c>
      <c r="F140" s="518">
        <f>'Purchased Power Model '!H189</f>
        <v>1</v>
      </c>
      <c r="G140" s="518">
        <f>'Purchased Power Model '!I189</f>
        <v>0</v>
      </c>
      <c r="H140" s="518">
        <f>'Purchased Power Model '!M189</f>
        <v>83384.615384615376</v>
      </c>
      <c r="I140" s="519">
        <f>'Purchased Power Model '!O189</f>
        <v>138.92091993999671</v>
      </c>
      <c r="J140" s="654">
        <f>'Purchased Power Model '!T189</f>
        <v>18140778.095729455</v>
      </c>
    </row>
    <row r="141" spans="1:10" ht="15" x14ac:dyDescent="0.25">
      <c r="A141" s="3">
        <v>39295</v>
      </c>
      <c r="B141" s="518">
        <f>'Purchased Power Model '!B190</f>
        <v>19544883</v>
      </c>
      <c r="C141" s="518">
        <f>'Purchased Power Model '!C190</f>
        <v>6.8</v>
      </c>
      <c r="D141" s="518">
        <f>'Purchased Power Model '!D190</f>
        <v>142.5</v>
      </c>
      <c r="E141" s="518">
        <f>'Purchased Power Model '!F190</f>
        <v>31</v>
      </c>
      <c r="F141" s="518">
        <f>'Purchased Power Model '!H190</f>
        <v>1</v>
      </c>
      <c r="G141" s="518">
        <f>'Purchased Power Model '!I190</f>
        <v>0</v>
      </c>
      <c r="H141" s="518">
        <f>'Purchased Power Model '!M190</f>
        <v>82153.846153846142</v>
      </c>
      <c r="I141" s="519">
        <f>'Purchased Power Model '!O190</f>
        <v>139.15035913381516</v>
      </c>
      <c r="J141" s="654">
        <f>'Purchased Power Model '!T190</f>
        <v>19293815.199839391</v>
      </c>
    </row>
    <row r="142" spans="1:10" ht="15" x14ac:dyDescent="0.25">
      <c r="A142" s="3">
        <v>39326</v>
      </c>
      <c r="B142" s="518">
        <f>'Purchased Power Model '!B191</f>
        <v>16060666</v>
      </c>
      <c r="C142" s="518">
        <f>'Purchased Power Model '!C191</f>
        <v>19.2</v>
      </c>
      <c r="D142" s="518">
        <f>'Purchased Power Model '!D191</f>
        <v>54.7</v>
      </c>
      <c r="E142" s="518">
        <f>'Purchased Power Model '!F191</f>
        <v>30</v>
      </c>
      <c r="F142" s="518">
        <f>'Purchased Power Model '!H191</f>
        <v>1</v>
      </c>
      <c r="G142" s="518">
        <f>'Purchased Power Model '!I191</f>
        <v>0</v>
      </c>
      <c r="H142" s="518">
        <f>'Purchased Power Model '!M191</f>
        <v>80923.076923076907</v>
      </c>
      <c r="I142" s="519">
        <f>'Purchased Power Model '!O191</f>
        <v>139.38017726511606</v>
      </c>
      <c r="J142" s="654">
        <f>'Purchased Power Model '!T191</f>
        <v>15993923.168063087</v>
      </c>
    </row>
    <row r="143" spans="1:10" ht="15" x14ac:dyDescent="0.25">
      <c r="A143" s="3">
        <v>39356</v>
      </c>
      <c r="B143" s="518">
        <f>'Purchased Power Model '!B192</f>
        <v>14549269</v>
      </c>
      <c r="C143" s="518">
        <f>'Purchased Power Model '!C192</f>
        <v>103</v>
      </c>
      <c r="D143" s="518">
        <f>'Purchased Power Model '!D192</f>
        <v>20.6</v>
      </c>
      <c r="E143" s="518">
        <f>'Purchased Power Model '!F192</f>
        <v>31</v>
      </c>
      <c r="F143" s="518">
        <f>'Purchased Power Model '!H192</f>
        <v>0</v>
      </c>
      <c r="G143" s="518">
        <f>'Purchased Power Model '!I192</f>
        <v>0</v>
      </c>
      <c r="H143" s="518">
        <f>'Purchased Power Model '!M192</f>
        <v>79692.307692307673</v>
      </c>
      <c r="I143" s="519">
        <f>'Purchased Power Model '!O192</f>
        <v>139.61037495974546</v>
      </c>
      <c r="J143" s="654">
        <f>'Purchased Power Model '!T192</f>
        <v>15094972.534426784</v>
      </c>
    </row>
    <row r="144" spans="1:10" ht="15" x14ac:dyDescent="0.25">
      <c r="A144" s="3">
        <v>39387</v>
      </c>
      <c r="B144" s="518">
        <f>'Purchased Power Model '!B193</f>
        <v>14298213</v>
      </c>
      <c r="C144" s="518">
        <f>'Purchased Power Model '!C193</f>
        <v>385.4</v>
      </c>
      <c r="D144" s="518">
        <f>'Purchased Power Model '!D193</f>
        <v>0</v>
      </c>
      <c r="E144" s="518">
        <f>'Purchased Power Model '!F193</f>
        <v>30</v>
      </c>
      <c r="F144" s="518">
        <f>'Purchased Power Model '!H193</f>
        <v>0</v>
      </c>
      <c r="G144" s="518">
        <f>'Purchased Power Model '!I193</f>
        <v>0</v>
      </c>
      <c r="H144" s="518">
        <f>'Purchased Power Model '!M193</f>
        <v>78461.538461538439</v>
      </c>
      <c r="I144" s="519">
        <f>'Purchased Power Model '!O193</f>
        <v>139.84095284458306</v>
      </c>
      <c r="J144" s="654">
        <f>'Purchased Power Model '!T193</f>
        <v>14998384.61031737</v>
      </c>
    </row>
    <row r="145" spans="1:10" ht="15" x14ac:dyDescent="0.25">
      <c r="A145" s="3">
        <v>39417</v>
      </c>
      <c r="B145" s="518">
        <f>'Purchased Power Model '!B194</f>
        <v>16140952</v>
      </c>
      <c r="C145" s="518">
        <f>'Purchased Power Model '!C194</f>
        <v>567.1</v>
      </c>
      <c r="D145" s="518">
        <f>'Purchased Power Model '!D194</f>
        <v>0</v>
      </c>
      <c r="E145" s="518">
        <f>'Purchased Power Model '!F194</f>
        <v>31</v>
      </c>
      <c r="F145" s="518">
        <f>'Purchased Power Model '!H194</f>
        <v>0</v>
      </c>
      <c r="G145" s="518">
        <f>'Purchased Power Model '!I194</f>
        <v>0</v>
      </c>
      <c r="H145" s="518">
        <f>'Purchased Power Model '!M194</f>
        <v>77230.769230769205</v>
      </c>
      <c r="I145" s="519">
        <f>'Purchased Power Model '!O194</f>
        <v>140.07191154754381</v>
      </c>
      <c r="J145" s="654">
        <f>'Purchased Power Model '!T194</f>
        <v>16179209.668685049</v>
      </c>
    </row>
    <row r="146" spans="1:10" ht="15" x14ac:dyDescent="0.25">
      <c r="A146" s="3">
        <v>39448</v>
      </c>
      <c r="B146" s="518">
        <f>'Purchased Power Model '!B195</f>
        <v>15813114</v>
      </c>
      <c r="C146" s="518">
        <f>'Purchased Power Model '!C195</f>
        <v>562.4</v>
      </c>
      <c r="D146" s="518">
        <f>'Purchased Power Model '!D195</f>
        <v>0</v>
      </c>
      <c r="E146" s="518">
        <f>'Purchased Power Model '!F195</f>
        <v>31</v>
      </c>
      <c r="F146" s="518">
        <f>'Purchased Power Model '!H195</f>
        <v>0</v>
      </c>
      <c r="G146" s="518">
        <f>'Purchased Power Model '!I195</f>
        <v>0</v>
      </c>
      <c r="H146" s="518">
        <f>'Purchased Power Model '!M195</f>
        <v>86785.009861932922</v>
      </c>
      <c r="I146" s="519">
        <f>'Purchased Power Model '!O195</f>
        <v>139.96642175819056</v>
      </c>
      <c r="J146" s="654">
        <f>'Purchased Power Model '!T195</f>
        <v>16129908.790516652</v>
      </c>
    </row>
    <row r="147" spans="1:10" ht="15" x14ac:dyDescent="0.25">
      <c r="A147" s="3">
        <v>39479</v>
      </c>
      <c r="B147" s="518">
        <f>'Purchased Power Model '!B196</f>
        <v>15009236</v>
      </c>
      <c r="C147" s="518">
        <f>'Purchased Power Model '!C196</f>
        <v>599.9</v>
      </c>
      <c r="D147" s="518">
        <f>'Purchased Power Model '!D196</f>
        <v>0</v>
      </c>
      <c r="E147" s="518">
        <f>'Purchased Power Model '!F196</f>
        <v>29</v>
      </c>
      <c r="F147" s="518">
        <f>'Purchased Power Model '!H196</f>
        <v>0</v>
      </c>
      <c r="G147" s="518">
        <f>'Purchased Power Model '!I196</f>
        <v>0</v>
      </c>
      <c r="H147" s="518">
        <f>'Purchased Power Model '!M196</f>
        <v>96339.250493096639</v>
      </c>
      <c r="I147" s="519">
        <f>'Purchased Power Model '!O196</f>
        <v>139.86101141442734</v>
      </c>
      <c r="J147" s="654">
        <f>'Purchased Power Model '!T196</f>
        <v>15265238.739535416</v>
      </c>
    </row>
    <row r="148" spans="1:10" ht="15" x14ac:dyDescent="0.25">
      <c r="A148" s="3">
        <v>39508</v>
      </c>
      <c r="B148" s="518">
        <f>'Purchased Power Model '!B197</f>
        <v>15088622</v>
      </c>
      <c r="C148" s="518">
        <f>'Purchased Power Model '!C197</f>
        <v>548</v>
      </c>
      <c r="D148" s="518">
        <f>'Purchased Power Model '!D197</f>
        <v>0</v>
      </c>
      <c r="E148" s="518">
        <f>'Purchased Power Model '!F197</f>
        <v>31</v>
      </c>
      <c r="F148" s="518">
        <f>'Purchased Power Model '!H197</f>
        <v>0</v>
      </c>
      <c r="G148" s="518">
        <f>'Purchased Power Model '!I197</f>
        <v>1</v>
      </c>
      <c r="H148" s="518">
        <f>'Purchased Power Model '!M197</f>
        <v>105893.49112426036</v>
      </c>
      <c r="I148" s="519">
        <f>'Purchased Power Model '!O197</f>
        <v>139.75568045642274</v>
      </c>
      <c r="J148" s="654">
        <f>'Purchased Power Model '!T197</f>
        <v>15104869.149337616</v>
      </c>
    </row>
    <row r="149" spans="1:10" ht="15" x14ac:dyDescent="0.25">
      <c r="A149" s="3">
        <v>39539</v>
      </c>
      <c r="B149" s="518">
        <f>'Purchased Power Model '!B198</f>
        <v>13174997</v>
      </c>
      <c r="C149" s="518">
        <f>'Purchased Power Model '!C198</f>
        <v>303.3</v>
      </c>
      <c r="D149" s="518">
        <f>'Purchased Power Model '!D198</f>
        <v>0</v>
      </c>
      <c r="E149" s="518">
        <f>'Purchased Power Model '!F198</f>
        <v>30</v>
      </c>
      <c r="F149" s="518">
        <f>'Purchased Power Model '!H198</f>
        <v>0</v>
      </c>
      <c r="G149" s="518">
        <f>'Purchased Power Model '!I198</f>
        <v>1</v>
      </c>
      <c r="H149" s="518">
        <f>'Purchased Power Model '!M198</f>
        <v>115447.73175542407</v>
      </c>
      <c r="I149" s="519">
        <f>'Purchased Power Model '!O198</f>
        <v>139.65042882439042</v>
      </c>
      <c r="J149" s="654">
        <f>'Purchased Power Model '!T198</f>
        <v>13686909.637802619</v>
      </c>
    </row>
    <row r="150" spans="1:10" ht="15" x14ac:dyDescent="0.25">
      <c r="A150" s="3">
        <v>39569</v>
      </c>
      <c r="B150" s="518">
        <f>'Purchased Power Model '!B199</f>
        <v>13308996</v>
      </c>
      <c r="C150" s="518">
        <f>'Purchased Power Model '!C199</f>
        <v>192.7</v>
      </c>
      <c r="D150" s="518">
        <f>'Purchased Power Model '!D199</f>
        <v>0</v>
      </c>
      <c r="E150" s="518">
        <f>'Purchased Power Model '!F199</f>
        <v>31</v>
      </c>
      <c r="F150" s="518">
        <f>'Purchased Power Model '!H199</f>
        <v>0</v>
      </c>
      <c r="G150" s="518">
        <f>'Purchased Power Model '!I199</f>
        <v>1</v>
      </c>
      <c r="H150" s="518">
        <f>'Purchased Power Model '!M199</f>
        <v>125001.97238658779</v>
      </c>
      <c r="I150" s="519">
        <f>'Purchased Power Model '!O199</f>
        <v>139.54525645858905</v>
      </c>
      <c r="J150" s="654">
        <f>'Purchased Power Model '!T199</f>
        <v>13733218.835047895</v>
      </c>
    </row>
    <row r="151" spans="1:10" ht="15" x14ac:dyDescent="0.25">
      <c r="A151" s="3">
        <v>39600</v>
      </c>
      <c r="B151" s="518">
        <f>'Purchased Power Model '!B200</f>
        <v>15749084</v>
      </c>
      <c r="C151" s="518">
        <f>'Purchased Power Model '!C200</f>
        <v>30.4</v>
      </c>
      <c r="D151" s="518">
        <f>'Purchased Power Model '!D200</f>
        <v>62.5</v>
      </c>
      <c r="E151" s="518">
        <f>'Purchased Power Model '!F200</f>
        <v>30</v>
      </c>
      <c r="F151" s="518">
        <f>'Purchased Power Model '!H200</f>
        <v>0</v>
      </c>
      <c r="G151" s="518">
        <f>'Purchased Power Model '!I200</f>
        <v>0</v>
      </c>
      <c r="H151" s="518">
        <f>'Purchased Power Model '!M200</f>
        <v>134556.21301775149</v>
      </c>
      <c r="I151" s="519">
        <f>'Purchased Power Model '!O200</f>
        <v>139.44016329932234</v>
      </c>
      <c r="J151" s="654">
        <f>'Purchased Power Model '!T200</f>
        <v>15581555.761311576</v>
      </c>
    </row>
    <row r="152" spans="1:10" ht="15" x14ac:dyDescent="0.25">
      <c r="A152" s="3">
        <v>39630</v>
      </c>
      <c r="B152" s="518">
        <f>'Purchased Power Model '!B201</f>
        <v>18099965</v>
      </c>
      <c r="C152" s="518">
        <f>'Purchased Power Model '!C201</f>
        <v>0</v>
      </c>
      <c r="D152" s="518">
        <f>'Purchased Power Model '!D201</f>
        <v>115.4</v>
      </c>
      <c r="E152" s="518">
        <f>'Purchased Power Model '!F201</f>
        <v>31</v>
      </c>
      <c r="F152" s="518">
        <f>'Purchased Power Model '!H201</f>
        <v>1</v>
      </c>
      <c r="G152" s="518">
        <f>'Purchased Power Model '!I201</f>
        <v>0</v>
      </c>
      <c r="H152" s="518">
        <f>'Purchased Power Model '!M201</f>
        <v>144110.45364891519</v>
      </c>
      <c r="I152" s="519">
        <f>'Purchased Power Model '!O201</f>
        <v>139.3351492869389</v>
      </c>
      <c r="J152" s="654">
        <f>'Purchased Power Model '!T201</f>
        <v>18260558.56307603</v>
      </c>
    </row>
    <row r="153" spans="1:10" ht="15" x14ac:dyDescent="0.25">
      <c r="A153" s="3">
        <v>39661</v>
      </c>
      <c r="B153" s="518">
        <f>'Purchased Power Model '!B202</f>
        <v>17237511</v>
      </c>
      <c r="C153" s="518">
        <f>'Purchased Power Model '!C202</f>
        <v>4.5</v>
      </c>
      <c r="D153" s="518">
        <f>'Purchased Power Model '!D202</f>
        <v>85.7</v>
      </c>
      <c r="E153" s="518">
        <f>'Purchased Power Model '!F202</f>
        <v>31</v>
      </c>
      <c r="F153" s="518">
        <f>'Purchased Power Model '!H202</f>
        <v>1</v>
      </c>
      <c r="G153" s="518">
        <f>'Purchased Power Model '!I202</f>
        <v>0</v>
      </c>
      <c r="H153" s="518">
        <f>'Purchased Power Model '!M202</f>
        <v>153664.6942800789</v>
      </c>
      <c r="I153" s="519">
        <f>'Purchased Power Model '!O202</f>
        <v>139.23021436183228</v>
      </c>
      <c r="J153" s="654">
        <f>'Purchased Power Model '!T202</f>
        <v>17268668.174351148</v>
      </c>
    </row>
    <row r="154" spans="1:10" ht="15" x14ac:dyDescent="0.25">
      <c r="A154" s="3">
        <v>39692</v>
      </c>
      <c r="B154" s="518">
        <f>'Purchased Power Model '!B203</f>
        <v>15286365</v>
      </c>
      <c r="C154" s="518">
        <f>'Purchased Power Model '!C203</f>
        <v>38.6</v>
      </c>
      <c r="D154" s="518">
        <f>'Purchased Power Model '!D203</f>
        <v>39.6</v>
      </c>
      <c r="E154" s="518">
        <f>'Purchased Power Model '!F203</f>
        <v>30</v>
      </c>
      <c r="F154" s="518">
        <f>'Purchased Power Model '!H203</f>
        <v>1</v>
      </c>
      <c r="G154" s="518">
        <f>'Purchased Power Model '!I203</f>
        <v>0</v>
      </c>
      <c r="H154" s="518">
        <f>'Purchased Power Model '!M203</f>
        <v>163218.9349112426</v>
      </c>
      <c r="I154" s="519">
        <f>'Purchased Power Model '!O203</f>
        <v>139.12535846444095</v>
      </c>
      <c r="J154" s="654">
        <f>'Purchased Power Model '!T203</f>
        <v>15361165.323696835</v>
      </c>
    </row>
    <row r="155" spans="1:10" ht="15" x14ac:dyDescent="0.25">
      <c r="A155" s="3">
        <v>39722</v>
      </c>
      <c r="B155" s="518">
        <f>'Purchased Power Model '!B204</f>
        <v>13898432</v>
      </c>
      <c r="C155" s="518">
        <f>'Purchased Power Model '!C204</f>
        <v>207.1</v>
      </c>
      <c r="D155" s="518">
        <f>'Purchased Power Model '!D204</f>
        <v>0.4</v>
      </c>
      <c r="E155" s="518">
        <f>'Purchased Power Model '!F204</f>
        <v>31</v>
      </c>
      <c r="F155" s="518">
        <f>'Purchased Power Model '!H204</f>
        <v>0</v>
      </c>
      <c r="G155" s="518">
        <f>'Purchased Power Model '!I204</f>
        <v>0</v>
      </c>
      <c r="H155" s="518">
        <f>'Purchased Power Model '!M204</f>
        <v>172773.1755424063</v>
      </c>
      <c r="I155" s="519">
        <f>'Purchased Power Model '!O204</f>
        <v>139.02058153524823</v>
      </c>
      <c r="J155" s="654">
        <f>'Purchased Power Model '!T204</f>
        <v>14547707.571980964</v>
      </c>
    </row>
    <row r="156" spans="1:10" ht="15" x14ac:dyDescent="0.25">
      <c r="A156" s="3">
        <v>39753</v>
      </c>
      <c r="B156" s="518">
        <f>'Purchased Power Model '!B205</f>
        <v>14105773</v>
      </c>
      <c r="C156" s="518">
        <f>'Purchased Power Model '!C205</f>
        <v>407.1</v>
      </c>
      <c r="D156" s="518">
        <f>'Purchased Power Model '!D205</f>
        <v>0</v>
      </c>
      <c r="E156" s="518">
        <f>'Purchased Power Model '!F205</f>
        <v>30</v>
      </c>
      <c r="F156" s="518">
        <f>'Purchased Power Model '!H205</f>
        <v>0</v>
      </c>
      <c r="G156" s="518">
        <f>'Purchased Power Model '!I205</f>
        <v>0</v>
      </c>
      <c r="H156" s="518">
        <f>'Purchased Power Model '!M205</f>
        <v>182327.41617357</v>
      </c>
      <c r="I156" s="519">
        <f>'Purchased Power Model '!O205</f>
        <v>138.91588351478222</v>
      </c>
      <c r="J156" s="654">
        <f>'Purchased Power Model '!T205</f>
        <v>14753399.794526558</v>
      </c>
    </row>
    <row r="157" spans="1:10" ht="15" x14ac:dyDescent="0.25">
      <c r="A157" s="3">
        <v>39783</v>
      </c>
      <c r="B157" s="518">
        <f>'Purchased Power Model '!B206</f>
        <v>16041140</v>
      </c>
      <c r="C157" s="518">
        <f>'Purchased Power Model '!C206</f>
        <v>589.29999999999995</v>
      </c>
      <c r="D157" s="518">
        <f>'Purchased Power Model '!D206</f>
        <v>0</v>
      </c>
      <c r="E157" s="518">
        <f>'Purchased Power Model '!F206</f>
        <v>31</v>
      </c>
      <c r="F157" s="518">
        <f>'Purchased Power Model '!H206</f>
        <v>0</v>
      </c>
      <c r="G157" s="518">
        <f>'Purchased Power Model '!I206</f>
        <v>0</v>
      </c>
      <c r="H157" s="518">
        <f>'Purchased Power Model '!M206</f>
        <v>191881.65680473371</v>
      </c>
      <c r="I157" s="519">
        <f>'Purchased Power Model '!O206</f>
        <v>138.8112643436159</v>
      </c>
      <c r="J157" s="654">
        <f>'Purchased Power Model '!T206</f>
        <v>15877434.979457093</v>
      </c>
    </row>
    <row r="158" spans="1:10" ht="15" x14ac:dyDescent="0.25">
      <c r="A158" s="3">
        <v>39814</v>
      </c>
      <c r="B158" s="518">
        <f>'Purchased Power Model '!B207</f>
        <v>16554529.999999998</v>
      </c>
      <c r="C158" s="518">
        <f>'Purchased Power Model '!C207</f>
        <v>723.9</v>
      </c>
      <c r="D158" s="518">
        <f>'Purchased Power Model '!D207</f>
        <v>0</v>
      </c>
      <c r="E158" s="518">
        <f>'Purchased Power Model '!F207</f>
        <v>31</v>
      </c>
      <c r="F158" s="518">
        <f>'Purchased Power Model '!H207</f>
        <v>0</v>
      </c>
      <c r="G158" s="518">
        <f>'Purchased Power Model '!I207</f>
        <v>0</v>
      </c>
      <c r="H158" s="518">
        <f>'Purchased Power Model '!M207</f>
        <v>188720.3762706721</v>
      </c>
      <c r="I158" s="519">
        <f>'Purchased Power Model '!O207</f>
        <v>138.43555825854429</v>
      </c>
      <c r="J158" s="654">
        <f>'Purchased Power Model '!T207</f>
        <v>16340743.81081746</v>
      </c>
    </row>
    <row r="159" spans="1:10" ht="15" x14ac:dyDescent="0.25">
      <c r="A159" s="3">
        <v>39845</v>
      </c>
      <c r="B159" s="518">
        <f>'Purchased Power Model '!B208</f>
        <v>13951250</v>
      </c>
      <c r="C159" s="518">
        <f>'Purchased Power Model '!C208</f>
        <v>537</v>
      </c>
      <c r="D159" s="518">
        <f>'Purchased Power Model '!D208</f>
        <v>0</v>
      </c>
      <c r="E159" s="518">
        <f>'Purchased Power Model '!F208</f>
        <v>28</v>
      </c>
      <c r="F159" s="518">
        <f>'Purchased Power Model '!H208</f>
        <v>0</v>
      </c>
      <c r="G159" s="518">
        <f>'Purchased Power Model '!I208</f>
        <v>0</v>
      </c>
      <c r="H159" s="518">
        <f>'Purchased Power Model '!M208</f>
        <v>185559.0957366105</v>
      </c>
      <c r="I159" s="519">
        <f>'Purchased Power Model '!O208</f>
        <v>138.06086905825526</v>
      </c>
      <c r="J159" s="654">
        <f>'Purchased Power Model '!T208</f>
        <v>14164812.038223973</v>
      </c>
    </row>
    <row r="160" spans="1:10" ht="15" x14ac:dyDescent="0.25">
      <c r="A160" s="3">
        <v>39873</v>
      </c>
      <c r="B160" s="518">
        <f>'Purchased Power Model '!B209</f>
        <v>14481570</v>
      </c>
      <c r="C160" s="518">
        <f>'Purchased Power Model '!C209</f>
        <v>509.1</v>
      </c>
      <c r="D160" s="518">
        <f>'Purchased Power Model '!D209</f>
        <v>0</v>
      </c>
      <c r="E160" s="518">
        <f>'Purchased Power Model '!F209</f>
        <v>31</v>
      </c>
      <c r="F160" s="518">
        <f>'Purchased Power Model '!H209</f>
        <v>0</v>
      </c>
      <c r="G160" s="518">
        <f>'Purchased Power Model '!I209</f>
        <v>1</v>
      </c>
      <c r="H160" s="518">
        <f>'Purchased Power Model '!M209</f>
        <v>182397.8152025489</v>
      </c>
      <c r="I160" s="519">
        <f>'Purchased Power Model '!O209</f>
        <v>137.68719399045199</v>
      </c>
      <c r="J160" s="654">
        <f>'Purchased Power Model '!T209</f>
        <v>14578226.572494593</v>
      </c>
    </row>
    <row r="161" spans="1:10" ht="15" x14ac:dyDescent="0.25">
      <c r="A161" s="3">
        <v>39904</v>
      </c>
      <c r="B161" s="518">
        <f>'Purchased Power Model '!B210</f>
        <v>13161080</v>
      </c>
      <c r="C161" s="518">
        <f>'Purchased Power Model '!C210</f>
        <v>315.39999999999998</v>
      </c>
      <c r="D161" s="518">
        <f>'Purchased Power Model '!D210</f>
        <v>0</v>
      </c>
      <c r="E161" s="518">
        <f>'Purchased Power Model '!F210</f>
        <v>30</v>
      </c>
      <c r="F161" s="518">
        <f>'Purchased Power Model '!H210</f>
        <v>0</v>
      </c>
      <c r="G161" s="518">
        <f>'Purchased Power Model '!I210</f>
        <v>1</v>
      </c>
      <c r="H161" s="518">
        <f>'Purchased Power Model '!M210</f>
        <v>179236.53466848729</v>
      </c>
      <c r="I161" s="519">
        <f>'Purchased Power Model '!O210</f>
        <v>137.31453031028698</v>
      </c>
      <c r="J161" s="654">
        <f>'Purchased Power Model '!T210</f>
        <v>13348174.67343582</v>
      </c>
    </row>
    <row r="162" spans="1:10" ht="15" x14ac:dyDescent="0.25">
      <c r="A162" s="3">
        <v>39934</v>
      </c>
      <c r="B162" s="518">
        <f>'Purchased Power Model '!B211</f>
        <v>13263096.673492307</v>
      </c>
      <c r="C162" s="518">
        <f>'Purchased Power Model '!C211</f>
        <v>179.22499999999999</v>
      </c>
      <c r="D162" s="518">
        <f>'Purchased Power Model '!D211</f>
        <v>0</v>
      </c>
      <c r="E162" s="518">
        <f>'Purchased Power Model '!F211</f>
        <v>31</v>
      </c>
      <c r="F162" s="518">
        <f>'Purchased Power Model '!H211</f>
        <v>0</v>
      </c>
      <c r="G162" s="518">
        <f>'Purchased Power Model '!I211</f>
        <v>1</v>
      </c>
      <c r="H162" s="518">
        <f>'Purchased Power Model '!M211</f>
        <v>176075.25413442569</v>
      </c>
      <c r="I162" s="519">
        <f>'Purchased Power Model '!O211</f>
        <v>136.94287528034204</v>
      </c>
      <c r="J162" s="654">
        <f>'Purchased Power Model '!T211</f>
        <v>13300649.077627379</v>
      </c>
    </row>
    <row r="163" spans="1:10" ht="15" x14ac:dyDescent="0.25">
      <c r="A163" s="3">
        <v>39965</v>
      </c>
      <c r="B163" s="518">
        <f>'Purchased Power Model '!B212</f>
        <v>14180624.276246155</v>
      </c>
      <c r="C163" s="518">
        <f>'Purchased Power Model '!C212</f>
        <v>66.8</v>
      </c>
      <c r="D163" s="518">
        <f>'Purchased Power Model '!D212</f>
        <v>33</v>
      </c>
      <c r="E163" s="518">
        <f>'Purchased Power Model '!F212</f>
        <v>30</v>
      </c>
      <c r="F163" s="518">
        <f>'Purchased Power Model '!H212</f>
        <v>0</v>
      </c>
      <c r="G163" s="518">
        <f>'Purchased Power Model '!I212</f>
        <v>0</v>
      </c>
      <c r="H163" s="518">
        <f>'Purchased Power Model '!M212</f>
        <v>172913.97360036409</v>
      </c>
      <c r="I163" s="519">
        <f>'Purchased Power Model '!O212</f>
        <v>136.57222617060793</v>
      </c>
      <c r="J163" s="654">
        <f>'Purchased Power Model '!T212</f>
        <v>14363013.384829437</v>
      </c>
    </row>
    <row r="164" spans="1:10" ht="15" x14ac:dyDescent="0.25">
      <c r="A164" s="3">
        <v>39995</v>
      </c>
      <c r="B164" s="518">
        <f>'Purchased Power Model '!B213</f>
        <v>16044762.08466154</v>
      </c>
      <c r="C164" s="518">
        <f>'Purchased Power Model '!C213</f>
        <v>0.6</v>
      </c>
      <c r="D164" s="518">
        <f>'Purchased Power Model '!D213</f>
        <v>56.8</v>
      </c>
      <c r="E164" s="518">
        <f>'Purchased Power Model '!F213</f>
        <v>31</v>
      </c>
      <c r="F164" s="518">
        <f>'Purchased Power Model '!H213</f>
        <v>1</v>
      </c>
      <c r="G164" s="518">
        <f>'Purchased Power Model '!I213</f>
        <v>0</v>
      </c>
      <c r="H164" s="518">
        <f>'Purchased Power Model '!M213</f>
        <v>169752.69306630248</v>
      </c>
      <c r="I164" s="519">
        <f>'Purchased Power Model '!O213</f>
        <v>136.20258025846454</v>
      </c>
      <c r="J164" s="654">
        <f>'Purchased Power Model '!T213</f>
        <v>15953959.123331318</v>
      </c>
    </row>
    <row r="165" spans="1:10" ht="15" x14ac:dyDescent="0.25">
      <c r="A165" s="3">
        <v>40026</v>
      </c>
      <c r="B165" s="518">
        <f>'Purchased Power Model '!B214</f>
        <v>18366242.474953849</v>
      </c>
      <c r="C165" s="518">
        <f>'Purchased Power Model '!C214</f>
        <v>3.9</v>
      </c>
      <c r="D165" s="518">
        <f>'Purchased Power Model '!D214</f>
        <v>118.8</v>
      </c>
      <c r="E165" s="518">
        <f>'Purchased Power Model '!F214</f>
        <v>31</v>
      </c>
      <c r="F165" s="518">
        <f>'Purchased Power Model '!H214</f>
        <v>1</v>
      </c>
      <c r="G165" s="518">
        <f>'Purchased Power Model '!I214</f>
        <v>0</v>
      </c>
      <c r="H165" s="518">
        <f>'Purchased Power Model '!M214</f>
        <v>166591.41253224088</v>
      </c>
      <c r="I165" s="519">
        <f>'Purchased Power Model '!O214</f>
        <v>135.83393482866074</v>
      </c>
      <c r="J165" s="654">
        <f>'Purchased Power Model '!T214</f>
        <v>17973246.458124604</v>
      </c>
    </row>
    <row r="166" spans="1:10" ht="15" x14ac:dyDescent="0.25">
      <c r="A166" s="3">
        <v>40057</v>
      </c>
      <c r="B166" s="518">
        <f>'Purchased Power Model '!B215</f>
        <v>14930878.169138461</v>
      </c>
      <c r="C166" s="518">
        <f>'Purchased Power Model '!C215</f>
        <v>32.4</v>
      </c>
      <c r="D166" s="518">
        <f>'Purchased Power Model '!D215</f>
        <v>30.7</v>
      </c>
      <c r="E166" s="518">
        <f>'Purchased Power Model '!F215</f>
        <v>30</v>
      </c>
      <c r="F166" s="518">
        <f>'Purchased Power Model '!H215</f>
        <v>1</v>
      </c>
      <c r="G166" s="518">
        <f>'Purchased Power Model '!I215</f>
        <v>0</v>
      </c>
      <c r="H166" s="518">
        <f>'Purchased Power Model '!M215</f>
        <v>163430.13199817928</v>
      </c>
      <c r="I166" s="519">
        <f>'Purchased Power Model '!O215</f>
        <v>135.46628717329455</v>
      </c>
      <c r="J166" s="654">
        <f>'Purchased Power Model '!T215</f>
        <v>14664890.801160831</v>
      </c>
    </row>
    <row r="167" spans="1:10" ht="15" x14ac:dyDescent="0.25">
      <c r="A167" s="3">
        <v>40087</v>
      </c>
      <c r="B167" s="518">
        <f>'Purchased Power Model '!B216</f>
        <v>13943626.872169232</v>
      </c>
      <c r="C167" s="518">
        <f>'Purchased Power Model '!C216</f>
        <v>241.2</v>
      </c>
      <c r="D167" s="518">
        <f>'Purchased Power Model '!D216</f>
        <v>0</v>
      </c>
      <c r="E167" s="518">
        <f>'Purchased Power Model '!F216</f>
        <v>31</v>
      </c>
      <c r="F167" s="518">
        <f>'Purchased Power Model '!H216</f>
        <v>0</v>
      </c>
      <c r="G167" s="518">
        <f>'Purchased Power Model '!I216</f>
        <v>0</v>
      </c>
      <c r="H167" s="518">
        <f>'Purchased Power Model '!M216</f>
        <v>160268.85146411767</v>
      </c>
      <c r="I167" s="519">
        <f>'Purchased Power Model '!O216</f>
        <v>135.09963459179312</v>
      </c>
      <c r="J167" s="654">
        <f>'Purchased Power Model '!T216</f>
        <v>14280006.257244224</v>
      </c>
    </row>
    <row r="168" spans="1:10" ht="15" x14ac:dyDescent="0.25">
      <c r="A168" s="3">
        <v>40118</v>
      </c>
      <c r="B168" s="518">
        <f>'Purchased Power Model '!B217</f>
        <v>13528583.634523079</v>
      </c>
      <c r="C168" s="518">
        <f>'Purchased Power Model '!C217</f>
        <v>320.8</v>
      </c>
      <c r="D168" s="518">
        <f>'Purchased Power Model '!D217</f>
        <v>0</v>
      </c>
      <c r="E168" s="518">
        <f>'Purchased Power Model '!F217</f>
        <v>30</v>
      </c>
      <c r="F168" s="518">
        <f>'Purchased Power Model '!H217</f>
        <v>0</v>
      </c>
      <c r="G168" s="518">
        <f>'Purchased Power Model '!I217</f>
        <v>0</v>
      </c>
      <c r="H168" s="518">
        <f>'Purchased Power Model '!M217</f>
        <v>157107.57093005607</v>
      </c>
      <c r="I168" s="519">
        <f>'Purchased Power Model '!O217</f>
        <v>134.733974390893</v>
      </c>
      <c r="J168" s="654">
        <f>'Purchased Power Model '!T217</f>
        <v>14056579.909026569</v>
      </c>
    </row>
    <row r="169" spans="1:10" ht="15" x14ac:dyDescent="0.25">
      <c r="A169" s="3">
        <v>40148</v>
      </c>
      <c r="B169" s="518">
        <f>'Purchased Power Model '!B218</f>
        <v>15929136.64069231</v>
      </c>
      <c r="C169" s="518">
        <f>'Purchased Power Model '!C218</f>
        <v>565.29999999999995</v>
      </c>
      <c r="D169" s="518">
        <f>'Purchased Power Model '!D218</f>
        <v>0</v>
      </c>
      <c r="E169" s="518">
        <f>'Purchased Power Model '!F218</f>
        <v>31</v>
      </c>
      <c r="F169" s="518">
        <f>'Purchased Power Model '!H218</f>
        <v>0</v>
      </c>
      <c r="G169" s="518">
        <f>'Purchased Power Model '!I218</f>
        <v>0</v>
      </c>
      <c r="H169" s="518">
        <f>'Purchased Power Model '!M218</f>
        <v>153946.29039599447</v>
      </c>
      <c r="I169" s="519">
        <f>'Purchased Power Model '!O218</f>
        <v>134.36930388462019</v>
      </c>
      <c r="J169" s="654">
        <f>'Purchased Power Model '!T218</f>
        <v>15410878.212168135</v>
      </c>
    </row>
    <row r="170" spans="1:10" ht="15" x14ac:dyDescent="0.25">
      <c r="A170" s="3">
        <v>40179</v>
      </c>
      <c r="B170" s="518">
        <f>'Purchased Power Model '!B219</f>
        <v>16055865.643200001</v>
      </c>
      <c r="C170" s="518">
        <f>'Purchased Power Model '!C219</f>
        <v>653.29999999999995</v>
      </c>
      <c r="D170" s="518">
        <f>'Purchased Power Model '!D219</f>
        <v>0</v>
      </c>
      <c r="E170" s="518">
        <f>'Purchased Power Model '!F219</f>
        <v>31</v>
      </c>
      <c r="F170" s="518">
        <f>'Purchased Power Model '!H219</f>
        <v>0</v>
      </c>
      <c r="G170" s="518">
        <f>'Purchased Power Model '!I219</f>
        <v>0</v>
      </c>
      <c r="H170" s="518">
        <f>'Purchased Power Model '!M219</f>
        <v>157326.3482837902</v>
      </c>
      <c r="I170" s="519">
        <f>'Purchased Power Model '!O219</f>
        <v>134.72247169214629</v>
      </c>
      <c r="J170" s="654">
        <f>'Purchased Power Model '!T219</f>
        <v>15764037.836550627</v>
      </c>
    </row>
    <row r="171" spans="1:10" ht="15" x14ac:dyDescent="0.25">
      <c r="A171" s="3">
        <v>40210</v>
      </c>
      <c r="B171" s="518">
        <f>'Purchased Power Model '!B220</f>
        <v>14086273.1338</v>
      </c>
      <c r="C171" s="518">
        <f>'Purchased Power Model '!C220</f>
        <v>551.1</v>
      </c>
      <c r="D171" s="518">
        <f>'Purchased Power Model '!D220</f>
        <v>0</v>
      </c>
      <c r="E171" s="518">
        <f>'Purchased Power Model '!F220</f>
        <v>28</v>
      </c>
      <c r="F171" s="518">
        <f>'Purchased Power Model '!H220</f>
        <v>0</v>
      </c>
      <c r="G171" s="518">
        <f>'Purchased Power Model '!I220</f>
        <v>0</v>
      </c>
      <c r="H171" s="518">
        <f>'Purchased Power Model '!M220</f>
        <v>160706.40617158593</v>
      </c>
      <c r="I171" s="519">
        <f>'Purchased Power Model '!O220</f>
        <v>135.07656774367356</v>
      </c>
      <c r="J171" s="654">
        <f>'Purchased Power Model '!T220</f>
        <v>13961205.401218692</v>
      </c>
    </row>
    <row r="172" spans="1:10" ht="15" x14ac:dyDescent="0.25">
      <c r="A172" s="3">
        <v>40238</v>
      </c>
      <c r="B172" s="518">
        <f>'Purchased Power Model '!B221</f>
        <v>14104948</v>
      </c>
      <c r="C172" s="518">
        <f>'Purchased Power Model '!C221</f>
        <v>434.7</v>
      </c>
      <c r="D172" s="518">
        <f>'Purchased Power Model '!D221</f>
        <v>0</v>
      </c>
      <c r="E172" s="518">
        <f>'Purchased Power Model '!F221</f>
        <v>31</v>
      </c>
      <c r="F172" s="518">
        <f>'Purchased Power Model '!H221</f>
        <v>0</v>
      </c>
      <c r="G172" s="518">
        <f>'Purchased Power Model '!I221</f>
        <v>1</v>
      </c>
      <c r="H172" s="518">
        <f>'Purchased Power Model '!M221</f>
        <v>164086.46405938166</v>
      </c>
      <c r="I172" s="519">
        <f>'Purchased Power Model '!O221</f>
        <v>135.43159447894001</v>
      </c>
      <c r="J172" s="654">
        <f>'Purchased Power Model '!T221</f>
        <v>14110237.301944612</v>
      </c>
    </row>
    <row r="173" spans="1:10" ht="15" x14ac:dyDescent="0.25">
      <c r="A173" s="3">
        <v>40269</v>
      </c>
      <c r="B173" s="518">
        <f>'Purchased Power Model '!B222</f>
        <v>12825361.5152</v>
      </c>
      <c r="C173" s="518">
        <f>'Purchased Power Model '!C222</f>
        <v>253.2</v>
      </c>
      <c r="D173" s="518">
        <f>'Purchased Power Model '!D222</f>
        <v>0</v>
      </c>
      <c r="E173" s="518">
        <f>'Purchased Power Model '!F222</f>
        <v>30</v>
      </c>
      <c r="F173" s="518">
        <f>'Purchased Power Model '!H222</f>
        <v>0</v>
      </c>
      <c r="G173" s="518">
        <f>'Purchased Power Model '!I222</f>
        <v>1</v>
      </c>
      <c r="H173" s="518">
        <f>'Purchased Power Model '!M222</f>
        <v>167466.52194717739</v>
      </c>
      <c r="I173" s="519">
        <f>'Purchased Power Model '!O222</f>
        <v>135.78755434409612</v>
      </c>
      <c r="J173" s="654">
        <f>'Purchased Power Model '!T222</f>
        <v>12986427.203173392</v>
      </c>
    </row>
    <row r="174" spans="1:10" ht="15" x14ac:dyDescent="0.25">
      <c r="A174" s="3">
        <v>40299</v>
      </c>
      <c r="B174" s="518">
        <f>'Purchased Power Model '!B223</f>
        <v>14493142.5678</v>
      </c>
      <c r="C174" s="518">
        <f>'Purchased Power Model '!C223</f>
        <v>129.4</v>
      </c>
      <c r="D174" s="518">
        <f>'Purchased Power Model '!D223</f>
        <v>22.4</v>
      </c>
      <c r="E174" s="518">
        <f>'Purchased Power Model '!F223</f>
        <v>31</v>
      </c>
      <c r="F174" s="518">
        <f>'Purchased Power Model '!H223</f>
        <v>0</v>
      </c>
      <c r="G174" s="518">
        <f>'Purchased Power Model '!I223</f>
        <v>1</v>
      </c>
      <c r="H174" s="518">
        <f>'Purchased Power Model '!M223</f>
        <v>170846.57983497312</v>
      </c>
      <c r="I174" s="519">
        <f>'Purchased Power Model '!O223</f>
        <v>136.14444979172168</v>
      </c>
      <c r="J174" s="654">
        <f>'Purchased Power Model '!T223</f>
        <v>13782271.062415348</v>
      </c>
    </row>
    <row r="175" spans="1:10" ht="15" x14ac:dyDescent="0.25">
      <c r="A175" s="3">
        <v>40330</v>
      </c>
      <c r="B175" s="518">
        <f>'Purchased Power Model '!B224</f>
        <v>15819649.446600001</v>
      </c>
      <c r="C175" s="518">
        <f>'Purchased Power Model '!C224</f>
        <v>15</v>
      </c>
      <c r="D175" s="518">
        <f>'Purchased Power Model '!D224</f>
        <v>60.6</v>
      </c>
      <c r="E175" s="518">
        <f>'Purchased Power Model '!F224</f>
        <v>30</v>
      </c>
      <c r="F175" s="518">
        <f>'Purchased Power Model '!H224</f>
        <v>0</v>
      </c>
      <c r="G175" s="518">
        <f>'Purchased Power Model '!I224</f>
        <v>0</v>
      </c>
      <c r="H175" s="518">
        <f>'Purchased Power Model '!M224</f>
        <v>174226.63772276885</v>
      </c>
      <c r="I175" s="519">
        <f>'Purchased Power Model '!O224</f>
        <v>136.50228328084265</v>
      </c>
      <c r="J175" s="654">
        <f>'Purchased Power Model '!T224</f>
        <v>15069661.715677744</v>
      </c>
    </row>
    <row r="176" spans="1:10" ht="15" x14ac:dyDescent="0.25">
      <c r="A176" s="3">
        <v>40360</v>
      </c>
      <c r="B176" s="518">
        <f>'Purchased Power Model '!B225</f>
        <v>20353876.040199999</v>
      </c>
      <c r="C176" s="518">
        <f>'Purchased Power Model '!C225</f>
        <v>0</v>
      </c>
      <c r="D176" s="518">
        <f>'Purchased Power Model '!D225</f>
        <v>172</v>
      </c>
      <c r="E176" s="518">
        <f>'Purchased Power Model '!F225</f>
        <v>31</v>
      </c>
      <c r="F176" s="518">
        <f>'Purchased Power Model '!H225</f>
        <v>1</v>
      </c>
      <c r="G176" s="518">
        <f>'Purchased Power Model '!I225</f>
        <v>0</v>
      </c>
      <c r="H176" s="518">
        <f>'Purchased Power Model '!M225</f>
        <v>177606.69561056458</v>
      </c>
      <c r="I176" s="519">
        <f>'Purchased Power Model '!O225</f>
        <v>136.86105727694815</v>
      </c>
      <c r="J176" s="654">
        <f>'Purchased Power Model '!T225</f>
        <v>19790576.463851884</v>
      </c>
    </row>
    <row r="177" spans="1:10" ht="15" x14ac:dyDescent="0.25">
      <c r="A177" s="3">
        <v>40391</v>
      </c>
      <c r="B177" s="518">
        <f>'Purchased Power Model '!B226</f>
        <v>19599345.653399996</v>
      </c>
      <c r="C177" s="518">
        <f>'Purchased Power Model '!C226</f>
        <v>0</v>
      </c>
      <c r="D177" s="518">
        <f>'Purchased Power Model '!D226</f>
        <v>150.80000000000001</v>
      </c>
      <c r="E177" s="518">
        <f>'Purchased Power Model '!F226</f>
        <v>31</v>
      </c>
      <c r="F177" s="518">
        <f>'Purchased Power Model '!H226</f>
        <v>1</v>
      </c>
      <c r="G177" s="518">
        <f>'Purchased Power Model '!I226</f>
        <v>0</v>
      </c>
      <c r="H177" s="518">
        <f>'Purchased Power Model '!M226</f>
        <v>180986.75349836031</v>
      </c>
      <c r="I177" s="519">
        <f>'Purchased Power Model '!O226</f>
        <v>137.22077425200746</v>
      </c>
      <c r="J177" s="654">
        <f>'Purchased Power Model '!T226</f>
        <v>19123491.181301728</v>
      </c>
    </row>
    <row r="178" spans="1:10" ht="15" x14ac:dyDescent="0.25">
      <c r="A178" s="3">
        <v>40422</v>
      </c>
      <c r="B178" s="518">
        <f>'Purchased Power Model '!B227</f>
        <v>14931787.017599998</v>
      </c>
      <c r="C178" s="518">
        <f>'Purchased Power Model '!C227</f>
        <v>52.85</v>
      </c>
      <c r="D178" s="518">
        <f>'Purchased Power Model '!D227</f>
        <v>40.200000000000003</v>
      </c>
      <c r="E178" s="518">
        <f>'Purchased Power Model '!F227</f>
        <v>30</v>
      </c>
      <c r="F178" s="518">
        <f>'Purchased Power Model '!H227</f>
        <v>1</v>
      </c>
      <c r="G178" s="518">
        <f>'Purchased Power Model '!I227</f>
        <v>0</v>
      </c>
      <c r="H178" s="518">
        <f>'Purchased Power Model '!M227</f>
        <v>184366.81138615604</v>
      </c>
      <c r="I178" s="519">
        <f>'Purchased Power Model '!O227</f>
        <v>137.58143668448704</v>
      </c>
      <c r="J178" s="654">
        <f>'Purchased Power Model '!T227</f>
        <v>15226284.506664205</v>
      </c>
    </row>
    <row r="179" spans="1:10" ht="15" x14ac:dyDescent="0.25">
      <c r="A179" s="3">
        <v>40452</v>
      </c>
      <c r="B179" s="518">
        <f>'Purchased Power Model '!B228</f>
        <v>13752321.7016</v>
      </c>
      <c r="C179" s="518">
        <f>'Purchased Power Model '!C228</f>
        <v>175.2</v>
      </c>
      <c r="D179" s="518">
        <f>'Purchased Power Model '!D228</f>
        <v>1.2</v>
      </c>
      <c r="E179" s="518">
        <f>'Purchased Power Model '!F228</f>
        <v>31</v>
      </c>
      <c r="F179" s="518">
        <f>'Purchased Power Model '!H228</f>
        <v>0</v>
      </c>
      <c r="G179" s="518">
        <f>'Purchased Power Model '!I228</f>
        <v>0</v>
      </c>
      <c r="H179" s="518">
        <f>'Purchased Power Model '!M228</f>
        <v>187746.86927395177</v>
      </c>
      <c r="I179" s="519">
        <f>'Purchased Power Model '!O228</f>
        <v>137.94304705936756</v>
      </c>
      <c r="J179" s="654">
        <f>'Purchased Power Model '!T228</f>
        <v>14311620.586929699</v>
      </c>
    </row>
    <row r="180" spans="1:10" ht="15" x14ac:dyDescent="0.25">
      <c r="A180" s="3">
        <v>40483</v>
      </c>
      <c r="B180" s="518">
        <f>'Purchased Power Model '!B229</f>
        <v>13896879.130009763</v>
      </c>
      <c r="C180" s="518">
        <f>'Purchased Power Model '!C229</f>
        <v>346.05</v>
      </c>
      <c r="D180" s="518">
        <f>'Purchased Power Model '!D229</f>
        <v>0</v>
      </c>
      <c r="E180" s="518">
        <f>'Purchased Power Model '!F229</f>
        <v>30</v>
      </c>
      <c r="F180" s="518">
        <f>'Purchased Power Model '!H229</f>
        <v>0</v>
      </c>
      <c r="G180" s="518">
        <f>'Purchased Power Model '!I229</f>
        <v>0</v>
      </c>
      <c r="H180" s="518">
        <f>'Purchased Power Model '!M229</f>
        <v>191126.9271617475</v>
      </c>
      <c r="I180" s="519">
        <f>'Purchased Power Model '!O229</f>
        <v>138.30560786816105</v>
      </c>
      <c r="J180" s="654">
        <f>'Purchased Power Model '!T229</f>
        <v>14445887.718464851</v>
      </c>
    </row>
    <row r="181" spans="1:10" ht="15" x14ac:dyDescent="0.25">
      <c r="A181" s="3">
        <v>40513</v>
      </c>
      <c r="B181" s="518">
        <f>'Purchased Power Model '!B230</f>
        <v>16401684.807799999</v>
      </c>
      <c r="C181" s="518">
        <f>'Purchased Power Model '!C230</f>
        <v>600.5</v>
      </c>
      <c r="D181" s="518">
        <f>'Purchased Power Model '!D230</f>
        <v>0</v>
      </c>
      <c r="E181" s="518">
        <f>'Purchased Power Model '!F230</f>
        <v>31</v>
      </c>
      <c r="F181" s="518">
        <f>'Purchased Power Model '!H230</f>
        <v>0</v>
      </c>
      <c r="G181" s="518">
        <f>'Purchased Power Model '!I230</f>
        <v>0</v>
      </c>
      <c r="H181" s="518">
        <f>'Purchased Power Model '!M230</f>
        <v>194506.98504954323</v>
      </c>
      <c r="I181" s="519">
        <f>'Purchased Power Model '!O230</f>
        <v>138.66912160892804</v>
      </c>
      <c r="J181" s="654">
        <f>'Purchased Power Model '!T230</f>
        <v>15898100.892183667</v>
      </c>
    </row>
    <row r="182" spans="1:10" ht="15" x14ac:dyDescent="0.25">
      <c r="A182" s="3">
        <v>40544</v>
      </c>
      <c r="B182" s="518">
        <f>'Purchased Power Model '!B231</f>
        <v>16212390</v>
      </c>
      <c r="C182" s="518">
        <f>'Purchased Power Model '!C231</f>
        <v>678</v>
      </c>
      <c r="D182" s="518">
        <f>'Purchased Power Model '!D231</f>
        <v>0</v>
      </c>
      <c r="E182" s="518">
        <f>'Purchased Power Model '!F231</f>
        <v>31</v>
      </c>
      <c r="F182" s="518">
        <f>'Purchased Power Model '!H231</f>
        <v>0</v>
      </c>
      <c r="G182" s="518">
        <f>'Purchased Power Model '!I231</f>
        <v>0</v>
      </c>
      <c r="H182" s="518">
        <f>'Purchased Power Model '!M231</f>
        <v>202081.2309393571</v>
      </c>
      <c r="I182" s="519">
        <f>'Purchased Power Model '!O231</f>
        <v>138.87542873989656</v>
      </c>
      <c r="J182" s="654">
        <f>'Purchased Power Model '!T231</f>
        <v>16188113.506102281</v>
      </c>
    </row>
    <row r="183" spans="1:10" ht="15" x14ac:dyDescent="0.25">
      <c r="A183" s="3">
        <v>40575</v>
      </c>
      <c r="B183" s="518">
        <f>'Purchased Power Model '!B232</f>
        <v>14504214</v>
      </c>
      <c r="C183" s="518">
        <f>'Purchased Power Model '!C232</f>
        <v>578.5</v>
      </c>
      <c r="D183" s="518">
        <f>'Purchased Power Model '!D232</f>
        <v>0</v>
      </c>
      <c r="E183" s="518">
        <f>'Purchased Power Model '!F232</f>
        <v>28</v>
      </c>
      <c r="F183" s="518">
        <f>'Purchased Power Model '!H232</f>
        <v>0</v>
      </c>
      <c r="G183" s="518">
        <f>'Purchased Power Model '!I232</f>
        <v>0</v>
      </c>
      <c r="H183" s="518">
        <f>'Purchased Power Model '!M232</f>
        <v>209655.47682917098</v>
      </c>
      <c r="I183" s="519">
        <f>'Purchased Power Model '!O232</f>
        <v>139.08204280749089</v>
      </c>
      <c r="J183" s="654">
        <f>'Purchased Power Model '!T232</f>
        <v>14370652.889593231</v>
      </c>
    </row>
    <row r="184" spans="1:10" ht="15" x14ac:dyDescent="0.25">
      <c r="A184" s="3">
        <v>40603</v>
      </c>
      <c r="B184" s="518">
        <f>'Purchased Power Model '!B233</f>
        <v>15011830</v>
      </c>
      <c r="C184" s="518">
        <f>'Purchased Power Model '!C233</f>
        <v>527.45000000000005</v>
      </c>
      <c r="D184" s="518">
        <f>'Purchased Power Model '!D233</f>
        <v>0</v>
      </c>
      <c r="E184" s="518">
        <f>'Purchased Power Model '!F233</f>
        <v>31</v>
      </c>
      <c r="F184" s="518">
        <f>'Purchased Power Model '!H233</f>
        <v>0</v>
      </c>
      <c r="G184" s="518">
        <f>'Purchased Power Model '!I233</f>
        <v>1</v>
      </c>
      <c r="H184" s="518">
        <f>'Purchased Power Model '!M233</f>
        <v>217229.72271898485</v>
      </c>
      <c r="I184" s="519">
        <f>'Purchased Power Model '!O233</f>
        <v>139.28896426836073</v>
      </c>
      <c r="J184" s="654">
        <f>'Purchased Power Model '!T233</f>
        <v>14735579.011128198</v>
      </c>
    </row>
    <row r="185" spans="1:10" ht="15" x14ac:dyDescent="0.25">
      <c r="A185" s="3">
        <v>40634</v>
      </c>
      <c r="B185" s="518">
        <f>'Purchased Power Model '!B234</f>
        <v>13577688</v>
      </c>
      <c r="C185" s="518">
        <f>'Purchased Power Model '!C234</f>
        <v>342.6</v>
      </c>
      <c r="D185" s="518">
        <f>'Purchased Power Model '!D234</f>
        <v>0</v>
      </c>
      <c r="E185" s="518">
        <f>'Purchased Power Model '!F234</f>
        <v>30</v>
      </c>
      <c r="F185" s="518">
        <f>'Purchased Power Model '!H234</f>
        <v>0</v>
      </c>
      <c r="G185" s="518">
        <f>'Purchased Power Model '!I234</f>
        <v>1</v>
      </c>
      <c r="H185" s="518">
        <f>'Purchased Power Model '!M234</f>
        <v>224803.96860879872</v>
      </c>
      <c r="I185" s="519">
        <f>'Purchased Power Model '!O234</f>
        <v>139.49619357983516</v>
      </c>
      <c r="J185" s="654">
        <f>'Purchased Power Model '!T234</f>
        <v>13574743.541732822</v>
      </c>
    </row>
    <row r="186" spans="1:10" ht="15" x14ac:dyDescent="0.25">
      <c r="A186" s="3">
        <v>40664</v>
      </c>
      <c r="B186" s="518">
        <f>'Purchased Power Model '!B235</f>
        <v>13979286</v>
      </c>
      <c r="C186" s="518">
        <f>'Purchased Power Model '!C235</f>
        <v>187.1</v>
      </c>
      <c r="D186" s="518">
        <f>'Purchased Power Model '!D235</f>
        <v>4.0999999999999996</v>
      </c>
      <c r="E186" s="518">
        <f>'Purchased Power Model '!F235</f>
        <v>31</v>
      </c>
      <c r="F186" s="518">
        <f>'Purchased Power Model '!H235</f>
        <v>0</v>
      </c>
      <c r="G186" s="518">
        <f>'Purchased Power Model '!I235</f>
        <v>1</v>
      </c>
      <c r="H186" s="518">
        <f>'Purchased Power Model '!M235</f>
        <v>232378.21449861259</v>
      </c>
      <c r="I186" s="519">
        <f>'Purchased Power Model '!O235</f>
        <v>139.70373119992371</v>
      </c>
      <c r="J186" s="654">
        <f>'Purchased Power Model '!T235</f>
        <v>13627465.930541722</v>
      </c>
    </row>
    <row r="187" spans="1:10" ht="15" x14ac:dyDescent="0.25">
      <c r="A187" s="3">
        <v>40695</v>
      </c>
      <c r="B187" s="518">
        <f>'Purchased Power Model '!B236</f>
        <v>15645311</v>
      </c>
      <c r="C187" s="518">
        <f>'Purchased Power Model '!C236</f>
        <v>21.9</v>
      </c>
      <c r="D187" s="518">
        <f>'Purchased Power Model '!D236</f>
        <v>41.8</v>
      </c>
      <c r="E187" s="518">
        <f>'Purchased Power Model '!F236</f>
        <v>30</v>
      </c>
      <c r="F187" s="518">
        <f>'Purchased Power Model '!H236</f>
        <v>0</v>
      </c>
      <c r="G187" s="518">
        <f>'Purchased Power Model '!I236</f>
        <v>0</v>
      </c>
      <c r="H187" s="518">
        <f>'Purchased Power Model '!M236</f>
        <v>239952.46038842647</v>
      </c>
      <c r="I187" s="519">
        <f>'Purchased Power Model '!O236</f>
        <v>139.91157758731728</v>
      </c>
      <c r="J187" s="654">
        <f>'Purchased Power Model '!T236</f>
        <v>14686618.403027</v>
      </c>
    </row>
    <row r="188" spans="1:10" ht="15" x14ac:dyDescent="0.25">
      <c r="A188" s="3">
        <v>40725</v>
      </c>
      <c r="B188" s="518">
        <f>'Purchased Power Model '!B237</f>
        <v>21281346</v>
      </c>
      <c r="C188" s="518">
        <f>'Purchased Power Model '!C237</f>
        <v>0</v>
      </c>
      <c r="D188" s="518">
        <f>'Purchased Power Model '!D237</f>
        <v>196.9</v>
      </c>
      <c r="E188" s="518">
        <f>'Purchased Power Model '!F237</f>
        <v>31</v>
      </c>
      <c r="F188" s="518">
        <f>'Purchased Power Model '!H237</f>
        <v>1</v>
      </c>
      <c r="G188" s="518">
        <f>'Purchased Power Model '!I237</f>
        <v>0</v>
      </c>
      <c r="H188" s="518">
        <f>'Purchased Power Model '!M237</f>
        <v>247526.70627824034</v>
      </c>
      <c r="I188" s="519">
        <f>'Purchased Power Model '!O237</f>
        <v>140.11973320138921</v>
      </c>
      <c r="J188" s="654">
        <f>'Purchased Power Model '!T237</f>
        <v>20794060.871283907</v>
      </c>
    </row>
    <row r="189" spans="1:10" ht="15" x14ac:dyDescent="0.25">
      <c r="A189" s="3">
        <v>40756</v>
      </c>
      <c r="B189" s="518">
        <f>'Purchased Power Model '!B238</f>
        <v>19350665</v>
      </c>
      <c r="C189" s="518">
        <f>'Purchased Power Model '!C238</f>
        <v>0</v>
      </c>
      <c r="D189" s="518">
        <f>'Purchased Power Model '!D238</f>
        <v>146.30000000000001</v>
      </c>
      <c r="E189" s="518">
        <f>'Purchased Power Model '!F238</f>
        <v>31</v>
      </c>
      <c r="F189" s="518">
        <f>'Purchased Power Model '!H238</f>
        <v>1</v>
      </c>
      <c r="G189" s="518">
        <f>'Purchased Power Model '!I238</f>
        <v>0</v>
      </c>
      <c r="H189" s="518">
        <f>'Purchased Power Model '!M238</f>
        <v>255100.95216805421</v>
      </c>
      <c r="I189" s="519">
        <f>'Purchased Power Model '!O238</f>
        <v>140.32819850219627</v>
      </c>
      <c r="J189" s="654">
        <f>'Purchased Power Model '!T238</f>
        <v>19135373.388523951</v>
      </c>
    </row>
    <row r="190" spans="1:10" ht="15" x14ac:dyDescent="0.25">
      <c r="A190" s="3">
        <v>40787</v>
      </c>
      <c r="B190" s="518">
        <f>'Purchased Power Model '!B239</f>
        <v>15682160</v>
      </c>
      <c r="C190" s="518">
        <f>'Purchased Power Model '!C239</f>
        <v>26.9</v>
      </c>
      <c r="D190" s="518">
        <f>'Purchased Power Model '!D239</f>
        <v>39.9</v>
      </c>
      <c r="E190" s="518">
        <f>'Purchased Power Model '!F239</f>
        <v>30</v>
      </c>
      <c r="F190" s="518">
        <f>'Purchased Power Model '!H239</f>
        <v>1</v>
      </c>
      <c r="G190" s="518">
        <f>'Purchased Power Model '!I239</f>
        <v>0</v>
      </c>
      <c r="H190" s="518">
        <f>'Purchased Power Model '!M239</f>
        <v>262675.19805786805</v>
      </c>
      <c r="I190" s="519">
        <f>'Purchased Power Model '!O239</f>
        <v>140.53697395047968</v>
      </c>
      <c r="J190" s="654">
        <f>'Purchased Power Model '!T239</f>
        <v>15255724.62256591</v>
      </c>
    </row>
    <row r="191" spans="1:10" ht="15" x14ac:dyDescent="0.25">
      <c r="A191" s="3">
        <v>40817</v>
      </c>
      <c r="B191" s="518">
        <f>'Purchased Power Model '!B240</f>
        <v>14357374</v>
      </c>
      <c r="C191" s="518">
        <f>'Purchased Power Model '!C240</f>
        <v>185.7</v>
      </c>
      <c r="D191" s="518">
        <f>'Purchased Power Model '!D240</f>
        <v>4.2</v>
      </c>
      <c r="E191" s="518">
        <f>'Purchased Power Model '!F240</f>
        <v>31</v>
      </c>
      <c r="F191" s="518">
        <f>'Purchased Power Model '!H240</f>
        <v>0</v>
      </c>
      <c r="G191" s="518">
        <f>'Purchased Power Model '!I240</f>
        <v>0</v>
      </c>
      <c r="H191" s="518">
        <f>'Purchased Power Model '!M240</f>
        <v>270249.44394768192</v>
      </c>
      <c r="I191" s="519">
        <f>'Purchased Power Model '!O240</f>
        <v>140.74606000766616</v>
      </c>
      <c r="J191" s="654">
        <f>'Purchased Power Model '!T240</f>
        <v>14558628.250906402</v>
      </c>
    </row>
    <row r="192" spans="1:10" ht="15" x14ac:dyDescent="0.25">
      <c r="A192" s="3">
        <v>40848</v>
      </c>
      <c r="B192" s="518">
        <f>'Purchased Power Model '!B241</f>
        <v>13709644</v>
      </c>
      <c r="C192" s="518">
        <f>'Purchased Power Model '!C241</f>
        <v>284.89999999999998</v>
      </c>
      <c r="D192" s="518">
        <f>'Purchased Power Model '!D241</f>
        <v>0</v>
      </c>
      <c r="E192" s="518">
        <f>'Purchased Power Model '!F241</f>
        <v>30</v>
      </c>
      <c r="F192" s="518">
        <f>'Purchased Power Model '!H241</f>
        <v>0</v>
      </c>
      <c r="G192" s="518">
        <f>'Purchased Power Model '!I241</f>
        <v>0</v>
      </c>
      <c r="H192" s="518">
        <f>'Purchased Power Model '!M241</f>
        <v>277823.6898374958</v>
      </c>
      <c r="I192" s="519">
        <f>'Purchased Power Model '!O241</f>
        <v>140.9554571358689</v>
      </c>
      <c r="J192" s="654">
        <f>'Purchased Power Model '!T241</f>
        <v>14305389.605384545</v>
      </c>
    </row>
    <row r="193" spans="1:10" ht="15" x14ac:dyDescent="0.25">
      <c r="A193" s="3">
        <v>40878</v>
      </c>
      <c r="B193" s="518">
        <f>'Purchased Power Model '!B242</f>
        <v>15324444</v>
      </c>
      <c r="C193" s="518">
        <f>'Purchased Power Model '!C242</f>
        <v>463.7</v>
      </c>
      <c r="D193" s="518">
        <f>'Purchased Power Model '!D242</f>
        <v>0</v>
      </c>
      <c r="E193" s="518">
        <f>'Purchased Power Model '!F242</f>
        <v>31</v>
      </c>
      <c r="F193" s="518">
        <f>'Purchased Power Model '!H242</f>
        <v>0</v>
      </c>
      <c r="G193" s="518">
        <f>'Purchased Power Model '!I242</f>
        <v>0</v>
      </c>
      <c r="H193" s="518">
        <f>'Purchased Power Model '!M242</f>
        <v>285397.93572730967</v>
      </c>
      <c r="I193" s="519">
        <f>'Purchased Power Model '!O242</f>
        <v>141.16516579788873</v>
      </c>
      <c r="J193" s="654">
        <f>'Purchased Power Model '!T242</f>
        <v>15453945.288509952</v>
      </c>
    </row>
    <row r="194" spans="1:10" ht="15" x14ac:dyDescent="0.25">
      <c r="A194" s="3">
        <v>40909</v>
      </c>
      <c r="B194" s="518">
        <f>'Purchased Power Model '!B243</f>
        <v>15683383.130000001</v>
      </c>
      <c r="C194" s="518">
        <f>'Purchased Power Model '!C243</f>
        <v>554.40000000000009</v>
      </c>
      <c r="D194" s="518">
        <f>'Purchased Power Model '!D243</f>
        <v>0</v>
      </c>
      <c r="E194" s="518">
        <f>'Purchased Power Model '!F243</f>
        <v>31</v>
      </c>
      <c r="F194" s="518">
        <f>'Purchased Power Model '!H243</f>
        <v>0</v>
      </c>
      <c r="G194" s="518">
        <f>'Purchased Power Model '!I243</f>
        <v>0</v>
      </c>
      <c r="H194" s="518">
        <f>'Purchased Power Model '!M243</f>
        <v>289649.54817951843</v>
      </c>
      <c r="I194" s="519">
        <f>'Purchased Power Model '!O243</f>
        <v>141.35201968430201</v>
      </c>
      <c r="J194" s="654">
        <f>'Purchased Power Model '!T243</f>
        <v>15797834.853815414</v>
      </c>
    </row>
    <row r="195" spans="1:10" ht="15" x14ac:dyDescent="0.25">
      <c r="A195" s="3">
        <v>40940</v>
      </c>
      <c r="B195" s="518">
        <f>'Purchased Power Model '!B244</f>
        <v>14321958.209999999</v>
      </c>
      <c r="C195" s="518">
        <f>'Purchased Power Model '!C244</f>
        <v>482.39999999999992</v>
      </c>
      <c r="D195" s="518">
        <f>'Purchased Power Model '!D244</f>
        <v>0</v>
      </c>
      <c r="E195" s="518">
        <f>'Purchased Power Model '!F244</f>
        <v>29</v>
      </c>
      <c r="F195" s="518">
        <f>'Purchased Power Model '!H244</f>
        <v>0</v>
      </c>
      <c r="G195" s="518">
        <f>'Purchased Power Model '!I244</f>
        <v>0</v>
      </c>
      <c r="H195" s="518">
        <f>'Purchased Power Model '!M244</f>
        <v>293901.16063172719</v>
      </c>
      <c r="I195" s="519">
        <f>'Purchased Power Model '!O244</f>
        <v>141.53912090067567</v>
      </c>
      <c r="J195" s="654">
        <f>'Purchased Power Model '!T244</f>
        <v>14572225.594309345</v>
      </c>
    </row>
    <row r="196" spans="1:10" ht="15" x14ac:dyDescent="0.25">
      <c r="A196" s="3">
        <v>40969</v>
      </c>
      <c r="B196" s="518">
        <f>'Purchased Power Model '!B245</f>
        <v>14031795.34</v>
      </c>
      <c r="C196" s="518">
        <f>'Purchased Power Model '!C245</f>
        <v>366.69999999999993</v>
      </c>
      <c r="D196" s="518">
        <f>'Purchased Power Model '!D245</f>
        <v>0</v>
      </c>
      <c r="E196" s="518">
        <f>'Purchased Power Model '!F245</f>
        <v>31</v>
      </c>
      <c r="F196" s="518">
        <f>'Purchased Power Model '!H245</f>
        <v>0</v>
      </c>
      <c r="G196" s="518">
        <f>'Purchased Power Model '!I245</f>
        <v>1</v>
      </c>
      <c r="H196" s="518">
        <f>'Purchased Power Model '!M245</f>
        <v>298152.77308393596</v>
      </c>
      <c r="I196" s="519">
        <f>'Purchased Power Model '!O245</f>
        <v>141.72646977438913</v>
      </c>
      <c r="J196" s="654">
        <f>'Purchased Power Model '!T245</f>
        <v>14219135.959945459</v>
      </c>
    </row>
    <row r="197" spans="1:10" ht="15" x14ac:dyDescent="0.25">
      <c r="A197" s="3">
        <v>41000</v>
      </c>
      <c r="B197" s="518">
        <f>'Purchased Power Model '!B246</f>
        <v>13273337.119999999</v>
      </c>
      <c r="C197" s="518">
        <f>'Purchased Power Model '!C246</f>
        <v>296.29999999999995</v>
      </c>
      <c r="D197" s="518">
        <f>'Purchased Power Model '!D246</f>
        <v>0</v>
      </c>
      <c r="E197" s="518">
        <f>'Purchased Power Model '!F246</f>
        <v>30</v>
      </c>
      <c r="F197" s="518">
        <f>'Purchased Power Model '!H246</f>
        <v>0</v>
      </c>
      <c r="G197" s="518">
        <f>'Purchased Power Model '!I246</f>
        <v>1</v>
      </c>
      <c r="H197" s="518">
        <f>'Purchased Power Model '!M246</f>
        <v>302404.38553614472</v>
      </c>
      <c r="I197" s="519">
        <f>'Purchased Power Model '!O246</f>
        <v>141.91406663325509</v>
      </c>
      <c r="J197" s="654">
        <f>'Purchased Power Model '!T246</f>
        <v>13484815.690789498</v>
      </c>
    </row>
    <row r="198" spans="1:10" ht="15" x14ac:dyDescent="0.25">
      <c r="A198" s="3">
        <v>41030</v>
      </c>
      <c r="B198" s="518">
        <f>'Purchased Power Model '!B247</f>
        <v>14803180.68</v>
      </c>
      <c r="C198" s="518">
        <f>'Purchased Power Model '!C247</f>
        <v>99.499999999999957</v>
      </c>
      <c r="D198" s="518">
        <f>'Purchased Power Model '!D247</f>
        <v>22.400000000000002</v>
      </c>
      <c r="E198" s="518">
        <f>'Purchased Power Model '!F247</f>
        <v>31</v>
      </c>
      <c r="F198" s="518">
        <f>'Purchased Power Model '!H247</f>
        <v>0</v>
      </c>
      <c r="G198" s="518">
        <f>'Purchased Power Model '!I247</f>
        <v>1</v>
      </c>
      <c r="H198" s="518">
        <f>'Purchased Power Model '!M247</f>
        <v>306655.99798835348</v>
      </c>
      <c r="I198" s="519">
        <f>'Purchased Power Model '!O247</f>
        <v>142.10191180552019</v>
      </c>
      <c r="J198" s="654">
        <f>'Purchased Power Model '!T247</f>
        <v>13992486.517609559</v>
      </c>
    </row>
    <row r="199" spans="1:10" ht="15" x14ac:dyDescent="0.25">
      <c r="A199" s="3">
        <v>41061</v>
      </c>
      <c r="B199" s="518">
        <f>'Purchased Power Model '!B248</f>
        <v>17013300.510000002</v>
      </c>
      <c r="C199" s="518">
        <f>'Purchased Power Model '!C248</f>
        <v>18.899999999999999</v>
      </c>
      <c r="D199" s="518">
        <f>'Purchased Power Model '!D248</f>
        <v>105.60000000000001</v>
      </c>
      <c r="E199" s="518">
        <f>'Purchased Power Model '!F248</f>
        <v>30</v>
      </c>
      <c r="F199" s="518">
        <f>'Purchased Power Model '!H248</f>
        <v>0</v>
      </c>
      <c r="G199" s="518">
        <f>'Purchased Power Model '!I248</f>
        <v>0</v>
      </c>
      <c r="H199" s="518">
        <f>'Purchased Power Model '!M248</f>
        <v>310907.61044056225</v>
      </c>
      <c r="I199" s="519">
        <f>'Purchased Power Model '!O248</f>
        <v>142.29000561986552</v>
      </c>
      <c r="J199" s="654">
        <f>'Purchased Power Model '!T248</f>
        <v>16864274.587628551</v>
      </c>
    </row>
    <row r="200" spans="1:10" ht="15" x14ac:dyDescent="0.25">
      <c r="A200" s="3">
        <v>41091</v>
      </c>
      <c r="B200" s="518">
        <f>'Purchased Power Model '!B249</f>
        <v>21387559.02</v>
      </c>
      <c r="C200" s="518">
        <f>'Purchased Power Model '!C249</f>
        <v>0</v>
      </c>
      <c r="D200" s="518">
        <f>'Purchased Power Model '!D249</f>
        <v>203.49999999999997</v>
      </c>
      <c r="E200" s="518">
        <f>'Purchased Power Model '!F249</f>
        <v>31</v>
      </c>
      <c r="F200" s="518">
        <f>'Purchased Power Model '!H249</f>
        <v>1</v>
      </c>
      <c r="G200" s="518">
        <f>'Purchased Power Model '!I249</f>
        <v>0</v>
      </c>
      <c r="H200" s="518">
        <f>'Purchased Power Model '!M249</f>
        <v>315159.22289277101</v>
      </c>
      <c r="I200" s="519">
        <f>'Purchased Power Model '!O249</f>
        <v>142.47834840540727</v>
      </c>
      <c r="J200" s="654">
        <f>'Purchased Power Model '!T249</f>
        <v>21107332.134976201</v>
      </c>
    </row>
    <row r="201" spans="1:10" ht="15" x14ac:dyDescent="0.25">
      <c r="A201" s="3">
        <v>41122</v>
      </c>
      <c r="B201" s="518">
        <f>'Purchased Power Model '!B250</f>
        <v>19560921.699999999</v>
      </c>
      <c r="C201" s="518">
        <f>'Purchased Power Model '!C250</f>
        <v>0</v>
      </c>
      <c r="D201" s="518">
        <f>'Purchased Power Model '!D250</f>
        <v>148.69999999999999</v>
      </c>
      <c r="E201" s="518">
        <f>'Purchased Power Model '!F250</f>
        <v>31</v>
      </c>
      <c r="F201" s="518">
        <f>'Purchased Power Model '!H250</f>
        <v>1</v>
      </c>
      <c r="G201" s="518">
        <f>'Purchased Power Model '!I250</f>
        <v>0</v>
      </c>
      <c r="H201" s="518">
        <f>'Purchased Power Model '!M250</f>
        <v>319410.83534497977</v>
      </c>
      <c r="I201" s="519">
        <f>'Purchased Power Model '!O250</f>
        <v>142.66694049169723</v>
      </c>
      <c r="J201" s="654">
        <f>'Purchased Power Model '!T250</f>
        <v>19315802.440878563</v>
      </c>
    </row>
    <row r="202" spans="1:10" ht="15" x14ac:dyDescent="0.25">
      <c r="A202" s="3">
        <v>41153</v>
      </c>
      <c r="B202" s="518">
        <f>'Purchased Power Model '!B251</f>
        <v>15379116.300000001</v>
      </c>
      <c r="C202" s="518">
        <f>'Purchased Power Model '!C251</f>
        <v>37.9</v>
      </c>
      <c r="D202" s="518">
        <f>'Purchased Power Model '!D251</f>
        <v>50.29999999999999</v>
      </c>
      <c r="E202" s="518">
        <f>'Purchased Power Model '!F251</f>
        <v>30</v>
      </c>
      <c r="F202" s="518">
        <f>'Purchased Power Model '!H251</f>
        <v>1</v>
      </c>
      <c r="G202" s="518">
        <f>'Purchased Power Model '!I251</f>
        <v>0</v>
      </c>
      <c r="H202" s="518">
        <f>'Purchased Power Model '!M251</f>
        <v>323662.44779718854</v>
      </c>
      <c r="I202" s="519">
        <f>'Purchased Power Model '!O251</f>
        <v>142.85578220872344</v>
      </c>
      <c r="J202" s="654">
        <f>'Purchased Power Model '!T251</f>
        <v>15744915.997355923</v>
      </c>
    </row>
    <row r="203" spans="1:10" ht="15" x14ac:dyDescent="0.25">
      <c r="A203" s="3">
        <v>41183</v>
      </c>
      <c r="B203" s="518">
        <f>'Purchased Power Model '!B252</f>
        <v>14092698.800000001</v>
      </c>
      <c r="C203" s="518">
        <f>'Purchased Power Model '!C252</f>
        <v>191.9</v>
      </c>
      <c r="D203" s="518">
        <f>'Purchased Power Model '!D252</f>
        <v>2.6</v>
      </c>
      <c r="E203" s="518">
        <f>'Purchased Power Model '!F252</f>
        <v>31</v>
      </c>
      <c r="F203" s="518">
        <f>'Purchased Power Model '!H252</f>
        <v>0</v>
      </c>
      <c r="G203" s="518">
        <f>'Purchased Power Model '!I252</f>
        <v>0</v>
      </c>
      <c r="H203" s="518">
        <f>'Purchased Power Model '!M252</f>
        <v>327914.0602493973</v>
      </c>
      <c r="I203" s="519">
        <f>'Purchased Power Model '!O252</f>
        <v>143.04487388691072</v>
      </c>
      <c r="J203" s="654">
        <f>'Purchased Power Model '!T252</f>
        <v>14640841.382270865</v>
      </c>
    </row>
    <row r="204" spans="1:10" ht="15" x14ac:dyDescent="0.25">
      <c r="A204" s="3">
        <v>41214</v>
      </c>
      <c r="B204" s="518">
        <f>'Purchased Power Model '!B253</f>
        <v>14233680.619999999</v>
      </c>
      <c r="C204" s="518">
        <f>'Purchased Power Model '!C253</f>
        <v>381.9</v>
      </c>
      <c r="D204" s="518">
        <f>'Purchased Power Model '!D253</f>
        <v>0</v>
      </c>
      <c r="E204" s="518">
        <f>'Purchased Power Model '!F253</f>
        <v>30</v>
      </c>
      <c r="F204" s="518">
        <f>'Purchased Power Model '!H253</f>
        <v>0</v>
      </c>
      <c r="G204" s="518">
        <f>'Purchased Power Model '!I253</f>
        <v>0</v>
      </c>
      <c r="H204" s="518">
        <f>'Purchased Power Model '!M253</f>
        <v>332165.67270160606</v>
      </c>
      <c r="I204" s="519">
        <f>'Purchased Power Model '!O253</f>
        <v>143.23421585712123</v>
      </c>
      <c r="J204" s="654">
        <f>'Purchased Power Model '!T253</f>
        <v>14779635.22140811</v>
      </c>
    </row>
    <row r="205" spans="1:10" ht="15" x14ac:dyDescent="0.25">
      <c r="A205" s="3">
        <v>41244</v>
      </c>
      <c r="B205" s="518">
        <f>'Purchased Power Model '!B254</f>
        <v>15387739.460000001</v>
      </c>
      <c r="C205" s="518">
        <f>'Purchased Power Model '!C254</f>
        <v>462.50000000000006</v>
      </c>
      <c r="D205" s="518">
        <f>'Purchased Power Model '!D254</f>
        <v>0</v>
      </c>
      <c r="E205" s="518">
        <f>'Purchased Power Model '!F254</f>
        <v>31</v>
      </c>
      <c r="F205" s="518">
        <f>'Purchased Power Model '!H254</f>
        <v>0</v>
      </c>
      <c r="G205" s="518">
        <f>'Purchased Power Model '!I254</f>
        <v>0</v>
      </c>
      <c r="H205" s="518">
        <f>'Purchased Power Model '!M254</f>
        <v>336417.28515381482</v>
      </c>
      <c r="I205" s="519">
        <f>'Purchased Power Model '!O254</f>
        <v>143.42380845065495</v>
      </c>
      <c r="J205" s="654">
        <f>'Purchased Power Model '!T254</f>
        <v>15571984.374671018</v>
      </c>
    </row>
    <row r="206" spans="1:10" ht="15" x14ac:dyDescent="0.25">
      <c r="A206" s="3">
        <f>'Purchased Power Model '!A255</f>
        <v>41275</v>
      </c>
      <c r="B206" s="557"/>
      <c r="C206" s="518">
        <f>'Purchased Power Model '!C255</f>
        <v>638.27058823529399</v>
      </c>
      <c r="D206" s="518">
        <f>'Purchased Power Model '!D255</f>
        <v>0</v>
      </c>
      <c r="E206" s="518">
        <f>'Purchased Power Model '!F255</f>
        <v>31</v>
      </c>
      <c r="F206" s="518">
        <f>'Purchased Power Model '!H255</f>
        <v>0</v>
      </c>
      <c r="G206" s="518">
        <f>'Purchased Power Model '!I255</f>
        <v>0</v>
      </c>
      <c r="H206" s="518">
        <f>'Purchased Power Model '!M255</f>
        <v>332318.22846348432</v>
      </c>
      <c r="I206" s="519">
        <f>'Purchased Power Model '!O255</f>
        <v>143.60186734709282</v>
      </c>
      <c r="J206" s="654">
        <f>'Purchased Power Model '!T255</f>
        <v>16246453.637552584</v>
      </c>
    </row>
    <row r="207" spans="1:10" ht="15" x14ac:dyDescent="0.25">
      <c r="A207" s="3">
        <f>'Purchased Power Model '!A256</f>
        <v>41306</v>
      </c>
      <c r="B207" s="557"/>
      <c r="C207" s="518">
        <f>'Purchased Power Model '!C256</f>
        <v>557.11176470588236</v>
      </c>
      <c r="D207" s="518">
        <f>'Purchased Power Model '!D256</f>
        <v>0</v>
      </c>
      <c r="E207" s="518">
        <f>'Purchased Power Model '!F256</f>
        <v>28</v>
      </c>
      <c r="F207" s="518">
        <f>'Purchased Power Model '!H256</f>
        <v>0</v>
      </c>
      <c r="G207" s="518">
        <f>'Purchased Power Model '!I256</f>
        <v>0</v>
      </c>
      <c r="H207" s="518">
        <f>'Purchased Power Model '!M256</f>
        <v>328219.17177315382</v>
      </c>
      <c r="I207" s="519">
        <f>'Purchased Power Model '!O256</f>
        <v>143.78014730146342</v>
      </c>
      <c r="J207" s="654">
        <f>'Purchased Power Model '!T256</f>
        <v>14519255.60664146</v>
      </c>
    </row>
    <row r="208" spans="1:10" ht="15" x14ac:dyDescent="0.25">
      <c r="A208" s="3">
        <f>'Purchased Power Model '!A257</f>
        <v>41334</v>
      </c>
      <c r="B208" s="557"/>
      <c r="C208" s="518">
        <f>'Purchased Power Model '!C257</f>
        <v>505.72647058823532</v>
      </c>
      <c r="D208" s="518">
        <f>'Purchased Power Model '!D257</f>
        <v>0</v>
      </c>
      <c r="E208" s="518">
        <f>'Purchased Power Model '!F257</f>
        <v>31</v>
      </c>
      <c r="F208" s="518">
        <f>'Purchased Power Model '!H257</f>
        <v>0</v>
      </c>
      <c r="G208" s="518">
        <f>'Purchased Power Model '!I257</f>
        <v>1</v>
      </c>
      <c r="H208" s="518">
        <f>'Purchased Power Model '!M257</f>
        <v>324120.11508282332</v>
      </c>
      <c r="I208" s="519">
        <f>'Purchased Power Model '!O257</f>
        <v>143.95864858820744</v>
      </c>
      <c r="J208" s="654">
        <f>'Purchased Power Model '!T257</f>
        <v>14905695.464217925</v>
      </c>
    </row>
    <row r="209" spans="1:10" ht="15" x14ac:dyDescent="0.25">
      <c r="A209" s="3">
        <f>'Purchased Power Model '!A258</f>
        <v>41365</v>
      </c>
      <c r="B209" s="557"/>
      <c r="C209" s="518">
        <f>'Purchased Power Model '!C258</f>
        <v>329.97058823529414</v>
      </c>
      <c r="D209" s="518">
        <f>'Purchased Power Model '!D258</f>
        <v>2.9411764705882353E-2</v>
      </c>
      <c r="E209" s="518">
        <f>'Purchased Power Model '!F258</f>
        <v>30</v>
      </c>
      <c r="F209" s="518">
        <f>'Purchased Power Model '!H258</f>
        <v>0</v>
      </c>
      <c r="G209" s="518">
        <f>'Purchased Power Model '!I258</f>
        <v>1</v>
      </c>
      <c r="H209" s="518">
        <f>'Purchased Power Model '!M258</f>
        <v>320021.05839249282</v>
      </c>
      <c r="I209" s="519">
        <f>'Purchased Power Model '!O258</f>
        <v>144.13737148210635</v>
      </c>
      <c r="J209" s="654">
        <f>'Purchased Power Model '!T258</f>
        <v>13802037.3294938</v>
      </c>
    </row>
    <row r="210" spans="1:10" ht="15" x14ac:dyDescent="0.25">
      <c r="A210" s="3">
        <f>'Purchased Power Model '!A259</f>
        <v>41395</v>
      </c>
      <c r="B210" s="557"/>
      <c r="C210" s="518">
        <f>'Purchased Power Model '!C259</f>
        <v>174.64852941176471</v>
      </c>
      <c r="D210" s="518">
        <f>'Purchased Power Model '!D259</f>
        <v>8.2882352941176478</v>
      </c>
      <c r="E210" s="518">
        <f>'Purchased Power Model '!F259</f>
        <v>31</v>
      </c>
      <c r="F210" s="518">
        <f>'Purchased Power Model '!H259</f>
        <v>0</v>
      </c>
      <c r="G210" s="518">
        <f>'Purchased Power Model '!I259</f>
        <v>1</v>
      </c>
      <c r="H210" s="518">
        <f>'Purchased Power Model '!M259</f>
        <v>315922.00170216232</v>
      </c>
      <c r="I210" s="519">
        <f>'Purchased Power Model '!O259</f>
        <v>144.31631625828265</v>
      </c>
      <c r="J210" s="654">
        <f>'Purchased Power Model '!T259</f>
        <v>14014882.746203342</v>
      </c>
    </row>
    <row r="211" spans="1:10" ht="15" x14ac:dyDescent="0.25">
      <c r="A211" s="3">
        <f>'Purchased Power Model '!A260</f>
        <v>41426</v>
      </c>
      <c r="B211" s="557"/>
      <c r="C211" s="518">
        <f>'Purchased Power Model '!C260</f>
        <v>33.029411764705877</v>
      </c>
      <c r="D211" s="518">
        <f>'Purchased Power Model '!D260</f>
        <v>57.735294117647058</v>
      </c>
      <c r="E211" s="518">
        <f>'Purchased Power Model '!F260</f>
        <v>30</v>
      </c>
      <c r="F211" s="518">
        <f>'Purchased Power Model '!H260</f>
        <v>0</v>
      </c>
      <c r="G211" s="518">
        <f>'Purchased Power Model '!I260</f>
        <v>0</v>
      </c>
      <c r="H211" s="518">
        <f>'Purchased Power Model '!M260</f>
        <v>311822.94501183182</v>
      </c>
      <c r="I211" s="519">
        <f>'Purchased Power Model '!O260</f>
        <v>144.49548319220051</v>
      </c>
      <c r="J211" s="654">
        <f>'Purchased Power Model '!T260</f>
        <v>15569779.327643342</v>
      </c>
    </row>
    <row r="212" spans="1:10" ht="15" x14ac:dyDescent="0.25">
      <c r="A212" s="3">
        <f>'Purchased Power Model '!A261</f>
        <v>41456</v>
      </c>
      <c r="B212" s="557"/>
      <c r="C212" s="518">
        <f>'Purchased Power Model '!C261</f>
        <v>1.088235294117647</v>
      </c>
      <c r="D212" s="518">
        <f>'Purchased Power Model '!D261</f>
        <v>132.79117647058825</v>
      </c>
      <c r="E212" s="518">
        <f>'Purchased Power Model '!F261</f>
        <v>31</v>
      </c>
      <c r="F212" s="518">
        <f>'Purchased Power Model '!H261</f>
        <v>1</v>
      </c>
      <c r="G212" s="518">
        <f>'Purchased Power Model '!I261</f>
        <v>0</v>
      </c>
      <c r="H212" s="518">
        <f>'Purchased Power Model '!M261</f>
        <v>307723.88832150132</v>
      </c>
      <c r="I212" s="519">
        <f>'Purchased Power Model '!O261</f>
        <v>144.67487255966603</v>
      </c>
      <c r="J212" s="654">
        <f>'Purchased Power Model '!T261</f>
        <v>19031200.367848929</v>
      </c>
    </row>
    <row r="213" spans="1:10" ht="15" x14ac:dyDescent="0.25">
      <c r="A213" s="3">
        <f>'Purchased Power Model '!A262</f>
        <v>41487</v>
      </c>
      <c r="B213" s="557"/>
      <c r="C213" s="518">
        <f>'Purchased Power Model '!C262</f>
        <v>1.9294117647058826</v>
      </c>
      <c r="D213" s="518">
        <f>'Purchased Power Model '!D262</f>
        <v>127.17941176470586</v>
      </c>
      <c r="E213" s="518">
        <f>'Purchased Power Model '!F262</f>
        <v>31</v>
      </c>
      <c r="F213" s="518">
        <f>'Purchased Power Model '!H262</f>
        <v>1</v>
      </c>
      <c r="G213" s="518">
        <f>'Purchased Power Model '!I262</f>
        <v>0</v>
      </c>
      <c r="H213" s="518">
        <f>'Purchased Power Model '!M262</f>
        <v>303624.83163117082</v>
      </c>
      <c r="I213" s="519">
        <f>'Purchased Power Model '!O262</f>
        <v>144.85448463682772</v>
      </c>
      <c r="J213" s="654">
        <f>'Purchased Power Model '!T262</f>
        <v>18877482.982801847</v>
      </c>
    </row>
    <row r="214" spans="1:10" ht="15" x14ac:dyDescent="0.25">
      <c r="A214" s="3">
        <f>'Purchased Power Model '!A263</f>
        <v>41518</v>
      </c>
      <c r="B214" s="557"/>
      <c r="C214" s="518">
        <f>'Purchased Power Model '!C263</f>
        <v>31.47941176470588</v>
      </c>
      <c r="D214" s="518">
        <f>'Purchased Power Model '!D263</f>
        <v>48.405882352941177</v>
      </c>
      <c r="E214" s="518">
        <f>'Purchased Power Model '!F263</f>
        <v>30</v>
      </c>
      <c r="F214" s="518">
        <f>'Purchased Power Model '!H263</f>
        <v>1</v>
      </c>
      <c r="G214" s="518">
        <f>'Purchased Power Model '!I263</f>
        <v>0</v>
      </c>
      <c r="H214" s="518">
        <f>'Purchased Power Model '!M263</f>
        <v>299525.77494084032</v>
      </c>
      <c r="I214" s="519">
        <f>'Purchased Power Model '!O263</f>
        <v>145.03431970017692</v>
      </c>
      <c r="J214" s="654">
        <f>'Purchased Power Model '!T263</f>
        <v>15938614.076047558</v>
      </c>
    </row>
    <row r="215" spans="1:10" ht="15" x14ac:dyDescent="0.25">
      <c r="A215" s="3">
        <f>'Purchased Power Model '!A264</f>
        <v>41548</v>
      </c>
      <c r="B215" s="557"/>
      <c r="C215" s="518">
        <f>'Purchased Power Model '!C264</f>
        <v>194.76764705882348</v>
      </c>
      <c r="D215" s="518">
        <f>'Purchased Power Model '!D264</f>
        <v>4.1647058823529406</v>
      </c>
      <c r="E215" s="518">
        <f>'Purchased Power Model '!F264</f>
        <v>31</v>
      </c>
      <c r="F215" s="518">
        <f>'Purchased Power Model '!H264</f>
        <v>0</v>
      </c>
      <c r="G215" s="518">
        <f>'Purchased Power Model '!I264</f>
        <v>0</v>
      </c>
      <c r="H215" s="518">
        <f>'Purchased Power Model '!M264</f>
        <v>295426.71825050982</v>
      </c>
      <c r="I215" s="519">
        <f>'Purchased Power Model '!O264</f>
        <v>145.21437802654827</v>
      </c>
      <c r="J215" s="654">
        <f>'Purchased Power Model '!T264</f>
        <v>14999895.648878392</v>
      </c>
    </row>
    <row r="216" spans="1:10" ht="15" x14ac:dyDescent="0.25">
      <c r="A216" s="3">
        <f>'Purchased Power Model '!A265</f>
        <v>41579</v>
      </c>
      <c r="B216" s="557"/>
      <c r="C216" s="518">
        <f>'Purchased Power Model '!C265</f>
        <v>357.59999999999997</v>
      </c>
      <c r="D216" s="518">
        <f>'Purchased Power Model '!D265</f>
        <v>0</v>
      </c>
      <c r="E216" s="518">
        <f>'Purchased Power Model '!F265</f>
        <v>30</v>
      </c>
      <c r="F216" s="518">
        <f>'Purchased Power Model '!H265</f>
        <v>0</v>
      </c>
      <c r="G216" s="518">
        <f>'Purchased Power Model '!I265</f>
        <v>0</v>
      </c>
      <c r="H216" s="518">
        <f>'Purchased Power Model '!M265</f>
        <v>291327.66156017932</v>
      </c>
      <c r="I216" s="519">
        <f>'Purchased Power Model '!O265</f>
        <v>145.39465989312006</v>
      </c>
      <c r="J216" s="654">
        <f>'Purchased Power Model '!T265</f>
        <v>15004695.797079246</v>
      </c>
    </row>
    <row r="217" spans="1:10" ht="15" x14ac:dyDescent="0.25">
      <c r="A217" s="3">
        <f>'Purchased Power Model '!A266</f>
        <v>41609</v>
      </c>
      <c r="B217" s="557"/>
      <c r="C217" s="518">
        <f>'Purchased Power Model '!C266</f>
        <v>536.9382352941177</v>
      </c>
      <c r="D217" s="518">
        <f>'Purchased Power Model '!D266</f>
        <v>0</v>
      </c>
      <c r="E217" s="518">
        <f>'Purchased Power Model '!F266</f>
        <v>31</v>
      </c>
      <c r="F217" s="518">
        <f>'Purchased Power Model '!H266</f>
        <v>0</v>
      </c>
      <c r="G217" s="518">
        <f>'Purchased Power Model '!I266</f>
        <v>0</v>
      </c>
      <c r="H217" s="518">
        <f>'Purchased Power Model '!M266</f>
        <v>287228.60486984882</v>
      </c>
      <c r="I217" s="519">
        <f>'Purchased Power Model '!O266</f>
        <v>145.57516557741477</v>
      </c>
      <c r="J217" s="654">
        <f>'Purchased Power Model '!T266</f>
        <v>16177898.921506081</v>
      </c>
    </row>
    <row r="218" spans="1:10" ht="15" x14ac:dyDescent="0.25">
      <c r="A218" s="3">
        <f>'Purchased Power Model '!A267</f>
        <v>41640</v>
      </c>
      <c r="B218" s="557"/>
      <c r="C218" s="518">
        <f>'Purchased Power Model '!C267</f>
        <v>638.27058823529399</v>
      </c>
      <c r="D218" s="518">
        <f>'Purchased Power Model '!D267</f>
        <v>0</v>
      </c>
      <c r="E218" s="518">
        <f>'Purchased Power Model '!F267</f>
        <v>31</v>
      </c>
      <c r="F218" s="518">
        <f>'Purchased Power Model '!H267</f>
        <v>0</v>
      </c>
      <c r="G218" s="518">
        <f>'Purchased Power Model '!I267</f>
        <v>0</v>
      </c>
      <c r="H218" s="518">
        <f>'Purchased Power Model '!M267</f>
        <v>287022.48617192334</v>
      </c>
      <c r="I218" s="519">
        <f>'Purchased Power Model '!O267</f>
        <v>145.85128582788457</v>
      </c>
      <c r="J218" s="654">
        <f>'Purchased Power Model '!T267</f>
        <v>16580015.875520002</v>
      </c>
    </row>
    <row r="219" spans="1:10" ht="15" x14ac:dyDescent="0.25">
      <c r="A219" s="3">
        <f>'Purchased Power Model '!A268</f>
        <v>41671</v>
      </c>
      <c r="B219" s="557"/>
      <c r="C219" s="518">
        <f>'Purchased Power Model '!C268</f>
        <v>557.11176470588236</v>
      </c>
      <c r="D219" s="518">
        <f>'Purchased Power Model '!D268</f>
        <v>0</v>
      </c>
      <c r="E219" s="518">
        <f>'Purchased Power Model '!F268</f>
        <v>28</v>
      </c>
      <c r="F219" s="518">
        <f>'Purchased Power Model '!H268</f>
        <v>0</v>
      </c>
      <c r="G219" s="518">
        <f>'Purchased Power Model '!I268</f>
        <v>0</v>
      </c>
      <c r="H219" s="518">
        <f>'Purchased Power Model '!M268</f>
        <v>286816.36747399787</v>
      </c>
      <c r="I219" s="519">
        <f>'Purchased Power Model '!O268</f>
        <v>146.12792981049245</v>
      </c>
      <c r="J219" s="654">
        <f>'Purchased Power Model '!T268</f>
        <v>14854471.521232193</v>
      </c>
    </row>
    <row r="220" spans="1:10" ht="15" x14ac:dyDescent="0.25">
      <c r="A220" s="3">
        <f>'Purchased Power Model '!A269</f>
        <v>41699</v>
      </c>
      <c r="B220" s="557"/>
      <c r="C220" s="518">
        <f>'Purchased Power Model '!C269</f>
        <v>505.72647058823532</v>
      </c>
      <c r="D220" s="518">
        <f>'Purchased Power Model '!D269</f>
        <v>0</v>
      </c>
      <c r="E220" s="518">
        <f>'Purchased Power Model '!F269</f>
        <v>31</v>
      </c>
      <c r="F220" s="518">
        <f>'Purchased Power Model '!H269</f>
        <v>0</v>
      </c>
      <c r="G220" s="518">
        <f>'Purchased Power Model '!I269</f>
        <v>1</v>
      </c>
      <c r="H220" s="518">
        <f>'Purchased Power Model '!M269</f>
        <v>286610.2487760724</v>
      </c>
      <c r="I220" s="519">
        <f>'Purchased Power Model '!O269</f>
        <v>146.40509851862936</v>
      </c>
      <c r="J220" s="654">
        <f>'Purchased Power Model '!T269</f>
        <v>15242596.593635652</v>
      </c>
    </row>
    <row r="221" spans="1:10" ht="15" x14ac:dyDescent="0.25">
      <c r="A221" s="3">
        <f>'Purchased Power Model '!A270</f>
        <v>41730</v>
      </c>
      <c r="B221" s="557"/>
      <c r="C221" s="518">
        <f>'Purchased Power Model '!C270</f>
        <v>329.97058823529414</v>
      </c>
      <c r="D221" s="518">
        <f>'Purchased Power Model '!D270</f>
        <v>2.9411764705882353E-2</v>
      </c>
      <c r="E221" s="518">
        <f>'Purchased Power Model '!F270</f>
        <v>30</v>
      </c>
      <c r="F221" s="518">
        <f>'Purchased Power Model '!H270</f>
        <v>0</v>
      </c>
      <c r="G221" s="518">
        <f>'Purchased Power Model '!I270</f>
        <v>1</v>
      </c>
      <c r="H221" s="518">
        <f>'Purchased Power Model '!M270</f>
        <v>286404.13007814693</v>
      </c>
      <c r="I221" s="519">
        <f>'Purchased Power Model '!O270</f>
        <v>146.68279294757042</v>
      </c>
      <c r="J221" s="654">
        <f>'Purchased Power Model '!T270</f>
        <v>14140655.286838671</v>
      </c>
    </row>
    <row r="222" spans="1:10" ht="15" x14ac:dyDescent="0.25">
      <c r="A222" s="3">
        <f>'Purchased Power Model '!A271</f>
        <v>41760</v>
      </c>
      <c r="B222" s="557"/>
      <c r="C222" s="518">
        <f>'Purchased Power Model '!C271</f>
        <v>174.64852941176471</v>
      </c>
      <c r="D222" s="518">
        <f>'Purchased Power Model '!D271</f>
        <v>8.2882352941176478</v>
      </c>
      <c r="E222" s="518">
        <f>'Purchased Power Model '!F271</f>
        <v>31</v>
      </c>
      <c r="F222" s="518">
        <f>'Purchased Power Model '!H271</f>
        <v>0</v>
      </c>
      <c r="G222" s="518">
        <f>'Purchased Power Model '!I271</f>
        <v>1</v>
      </c>
      <c r="H222" s="518">
        <f>'Purchased Power Model '!M271</f>
        <v>286198.01138022146</v>
      </c>
      <c r="I222" s="519">
        <f>'Purchased Power Model '!O271</f>
        <v>146.96101409447857</v>
      </c>
      <c r="J222" s="654">
        <f>'Purchased Power Model '!T271</f>
        <v>14355249.219632765</v>
      </c>
    </row>
    <row r="223" spans="1:10" ht="15" x14ac:dyDescent="0.25">
      <c r="A223" s="3">
        <f>'Purchased Power Model '!A272</f>
        <v>41791</v>
      </c>
      <c r="B223" s="557"/>
      <c r="C223" s="518">
        <f>'Purchased Power Model '!C272</f>
        <v>33.029411764705877</v>
      </c>
      <c r="D223" s="518">
        <f>'Purchased Power Model '!D272</f>
        <v>57.735294117647058</v>
      </c>
      <c r="E223" s="518">
        <f>'Purchased Power Model '!F272</f>
        <v>30</v>
      </c>
      <c r="F223" s="518">
        <f>'Purchased Power Model '!H272</f>
        <v>0</v>
      </c>
      <c r="G223" s="518">
        <f>'Purchased Power Model '!I272</f>
        <v>0</v>
      </c>
      <c r="H223" s="518">
        <f>'Purchased Power Model '!M272</f>
        <v>285991.89268229599</v>
      </c>
      <c r="I223" s="519">
        <f>'Purchased Power Model '!O272</f>
        <v>147.23976295840814</v>
      </c>
      <c r="J223" s="654">
        <f>'Purchased Power Model '!T272</f>
        <v>15911926.080533084</v>
      </c>
    </row>
    <row r="224" spans="1:10" ht="15" x14ac:dyDescent="0.25">
      <c r="A224" s="3">
        <f>'Purchased Power Model '!A273</f>
        <v>41821</v>
      </c>
      <c r="B224" s="557"/>
      <c r="C224" s="518">
        <f>'Purchased Power Model '!C273</f>
        <v>1.088235294117647</v>
      </c>
      <c r="D224" s="518">
        <f>'Purchased Power Model '!D273</f>
        <v>132.79117647058825</v>
      </c>
      <c r="E224" s="518">
        <f>'Purchased Power Model '!F273</f>
        <v>31</v>
      </c>
      <c r="F224" s="518">
        <f>'Purchased Power Model '!H273</f>
        <v>1</v>
      </c>
      <c r="G224" s="518">
        <f>'Purchased Power Model '!I273</f>
        <v>0</v>
      </c>
      <c r="H224" s="518">
        <f>'Purchased Power Model '!M273</f>
        <v>285785.77398437052</v>
      </c>
      <c r="I224" s="519">
        <f>'Purchased Power Model '!O273</f>
        <v>147.5190405403084</v>
      </c>
      <c r="J224" s="654">
        <f>'Purchased Power Model '!T273</f>
        <v>19375159.238954544</v>
      </c>
    </row>
    <row r="225" spans="1:10" ht="15" x14ac:dyDescent="0.25">
      <c r="A225" s="3">
        <f>'Purchased Power Model '!A274</f>
        <v>41852</v>
      </c>
      <c r="B225" s="557"/>
      <c r="C225" s="518">
        <f>'Purchased Power Model '!C274</f>
        <v>1.9294117647058826</v>
      </c>
      <c r="D225" s="518">
        <f>'Purchased Power Model '!D274</f>
        <v>127.17941176470586</v>
      </c>
      <c r="E225" s="518">
        <f>'Purchased Power Model '!F274</f>
        <v>31</v>
      </c>
      <c r="F225" s="518">
        <f>'Purchased Power Model '!H274</f>
        <v>1</v>
      </c>
      <c r="G225" s="518">
        <f>'Purchased Power Model '!I274</f>
        <v>0</v>
      </c>
      <c r="H225" s="518">
        <f>'Purchased Power Model '!M274</f>
        <v>285579.65528644505</v>
      </c>
      <c r="I225" s="519">
        <f>'Purchased Power Model '!O274</f>
        <v>147.79884784302718</v>
      </c>
      <c r="J225" s="654">
        <f>'Purchased Power Model '!T274</f>
        <v>19223285.886420447</v>
      </c>
    </row>
    <row r="226" spans="1:10" ht="15" x14ac:dyDescent="0.25">
      <c r="A226" s="3">
        <f>'Purchased Power Model '!A275</f>
        <v>41883</v>
      </c>
      <c r="B226" s="557"/>
      <c r="C226" s="518">
        <f>'Purchased Power Model '!C275</f>
        <v>31.47941176470588</v>
      </c>
      <c r="D226" s="518">
        <f>'Purchased Power Model '!D275</f>
        <v>48.405882352941177</v>
      </c>
      <c r="E226" s="518">
        <f>'Purchased Power Model '!F275</f>
        <v>30</v>
      </c>
      <c r="F226" s="518">
        <f>'Purchased Power Model '!H275</f>
        <v>1</v>
      </c>
      <c r="G226" s="518">
        <f>'Purchased Power Model '!I275</f>
        <v>0</v>
      </c>
      <c r="H226" s="518">
        <f>'Purchased Power Model '!M275</f>
        <v>285373.53658851958</v>
      </c>
      <c r="I226" s="519">
        <f>'Purchased Power Model '!O275</f>
        <v>148.07918587131445</v>
      </c>
      <c r="J226" s="654">
        <f>'Purchased Power Model '!T275</f>
        <v>16286293.0021799</v>
      </c>
    </row>
    <row r="227" spans="1:10" ht="15" x14ac:dyDescent="0.25">
      <c r="A227" s="3">
        <f>'Purchased Power Model '!A276</f>
        <v>41913</v>
      </c>
      <c r="B227" s="557"/>
      <c r="C227" s="518">
        <f>'Purchased Power Model '!C276</f>
        <v>194.76764705882348</v>
      </c>
      <c r="D227" s="518">
        <f>'Purchased Power Model '!D276</f>
        <v>4.1647058823529406</v>
      </c>
      <c r="E227" s="518">
        <f>'Purchased Power Model '!F276</f>
        <v>31</v>
      </c>
      <c r="F227" s="518">
        <f>'Purchased Power Model '!H276</f>
        <v>0</v>
      </c>
      <c r="G227" s="518">
        <f>'Purchased Power Model '!I276</f>
        <v>0</v>
      </c>
      <c r="H227" s="518">
        <f>'Purchased Power Model '!M276</f>
        <v>285167.41789059411</v>
      </c>
      <c r="I227" s="519">
        <f>'Purchased Power Model '!O276</f>
        <v>148.36005563182596</v>
      </c>
      <c r="J227" s="654">
        <f>'Purchased Power Model '!T276</f>
        <v>15349482.663391311</v>
      </c>
    </row>
    <row r="228" spans="1:10" ht="15" x14ac:dyDescent="0.25">
      <c r="A228" s="3">
        <f>'Purchased Power Model '!A277</f>
        <v>41944</v>
      </c>
      <c r="B228" s="557"/>
      <c r="C228" s="518">
        <f>'Purchased Power Model '!C277</f>
        <v>357.59999999999997</v>
      </c>
      <c r="D228" s="518">
        <f>'Purchased Power Model '!D277</f>
        <v>0</v>
      </c>
      <c r="E228" s="518">
        <f>'Purchased Power Model '!F277</f>
        <v>30</v>
      </c>
      <c r="F228" s="518">
        <f>'Purchased Power Model '!H277</f>
        <v>0</v>
      </c>
      <c r="G228" s="518">
        <f>'Purchased Power Model '!I277</f>
        <v>0</v>
      </c>
      <c r="H228" s="518">
        <f>'Purchased Power Model '!M277</f>
        <v>284961.29919266864</v>
      </c>
      <c r="I228" s="519">
        <f>'Purchased Power Model '!O277</f>
        <v>148.64145813312683</v>
      </c>
      <c r="J228" s="654">
        <f>'Purchased Power Model '!T277</f>
        <v>15356223.041868405</v>
      </c>
    </row>
    <row r="229" spans="1:10" ht="15" x14ac:dyDescent="0.25">
      <c r="A229" s="3">
        <f>'Purchased Power Model '!A278</f>
        <v>41974</v>
      </c>
      <c r="B229" s="557"/>
      <c r="C229" s="518">
        <f>'Purchased Power Model '!C278</f>
        <v>536.9382352941177</v>
      </c>
      <c r="D229" s="518">
        <f>'Purchased Power Model '!D278</f>
        <v>0</v>
      </c>
      <c r="E229" s="518">
        <f>'Purchased Power Model '!F278</f>
        <v>31</v>
      </c>
      <c r="F229" s="518">
        <f>'Purchased Power Model '!H278</f>
        <v>0</v>
      </c>
      <c r="G229" s="518">
        <f>'Purchased Power Model '!I278</f>
        <v>0</v>
      </c>
      <c r="H229" s="518">
        <f>'Purchased Power Model '!M278</f>
        <v>284755.18049474317</v>
      </c>
      <c r="I229" s="519">
        <f>'Purchased Power Model '!O278</f>
        <v>148.9233943856953</v>
      </c>
      <c r="J229" s="654">
        <f>'Purchased Power Model '!T278</f>
        <v>16531398.614659065</v>
      </c>
    </row>
  </sheetData>
  <pageMargins left="0.7" right="0.7" top="0.75" bottom="0.75" header="0.3" footer="0.3"/>
  <pageSetup orientation="portrait" r:id="rId1"/>
  <headerFooter>
    <oddHeader>&amp;L&amp;Z&amp;F&amp;A</oddHeader>
    <oddFooter>&amp;L&amp;D&amp;T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X127"/>
  <sheetViews>
    <sheetView topLeftCell="A49" workbookViewId="0">
      <selection activeCell="U76" sqref="U76"/>
    </sheetView>
  </sheetViews>
  <sheetFormatPr defaultRowHeight="12.75" x14ac:dyDescent="0.2"/>
  <cols>
    <col min="13" max="22" width="11.140625" bestFit="1" customWidth="1"/>
  </cols>
  <sheetData>
    <row r="1" spans="1:24" x14ac:dyDescent="0.2">
      <c r="A1" s="20" t="s">
        <v>323</v>
      </c>
    </row>
    <row r="3" spans="1:24" x14ac:dyDescent="0.2">
      <c r="A3" s="213" t="s">
        <v>321</v>
      </c>
      <c r="F3" s="212"/>
      <c r="G3" s="212"/>
    </row>
    <row r="4" spans="1:24" x14ac:dyDescent="0.2">
      <c r="A4" s="213"/>
      <c r="F4" s="212"/>
      <c r="G4" s="212"/>
    </row>
    <row r="5" spans="1:24" x14ac:dyDescent="0.2">
      <c r="A5" s="213"/>
      <c r="F5" s="212"/>
      <c r="G5" s="212"/>
    </row>
    <row r="6" spans="1:24" ht="15.75" thickBot="1" x14ac:dyDescent="0.3">
      <c r="A6" s="218" t="s">
        <v>324</v>
      </c>
      <c r="B6" s="793"/>
      <c r="C6" s="793"/>
      <c r="D6" s="793"/>
      <c r="E6" s="793"/>
      <c r="F6" s="793"/>
      <c r="G6" s="793"/>
      <c r="H6" s="793"/>
      <c r="I6" s="793"/>
      <c r="J6" s="793"/>
      <c r="K6" s="793"/>
      <c r="L6" s="794"/>
      <c r="M6" s="405">
        <f>M26+M46+M66+M86+M106+M126</f>
        <v>166270245.74992317</v>
      </c>
      <c r="N6" s="406">
        <f t="shared" ref="N6:X6" si="0">N26+N46+N66+N86+N106+N126</f>
        <v>169788483</v>
      </c>
      <c r="O6" s="406">
        <f t="shared" si="0"/>
        <v>179968717</v>
      </c>
      <c r="P6" s="406">
        <f t="shared" si="0"/>
        <v>175258854.62746203</v>
      </c>
      <c r="Q6" s="406">
        <f t="shared" si="0"/>
        <v>180475098</v>
      </c>
      <c r="R6" s="406">
        <f t="shared" si="0"/>
        <v>173899397.86240616</v>
      </c>
      <c r="S6" s="406">
        <f t="shared" si="0"/>
        <v>172882903.57852563</v>
      </c>
      <c r="T6" s="406">
        <f>T26+T46+T66+T86+T106</f>
        <v>177644371.28773403</v>
      </c>
      <c r="U6" s="406">
        <f>U26+U46+U66+U86+U106</f>
        <v>183889036.04000002</v>
      </c>
      <c r="V6" s="406">
        <f>V26+V46+V66+V86+V106</f>
        <v>183371442.02000001</v>
      </c>
      <c r="W6" s="220">
        <f t="shared" si="0"/>
        <v>0</v>
      </c>
      <c r="X6" s="220">
        <f t="shared" si="0"/>
        <v>0</v>
      </c>
    </row>
    <row r="7" spans="1:24" ht="13.5" thickTop="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row>
    <row r="8" spans="1:24" x14ac:dyDescent="0.2">
      <c r="A8" s="223" t="s">
        <v>151</v>
      </c>
      <c r="B8" s="223"/>
      <c r="C8" s="223"/>
      <c r="D8" s="223"/>
      <c r="E8" s="223"/>
      <c r="F8" s="217"/>
      <c r="G8" s="217"/>
    </row>
    <row r="9" spans="1:24" x14ac:dyDescent="0.2">
      <c r="A9" s="264"/>
      <c r="B9" s="214"/>
      <c r="C9" s="214"/>
      <c r="D9" s="214"/>
      <c r="E9" s="214"/>
      <c r="F9" s="215"/>
      <c r="G9" s="215"/>
    </row>
    <row r="10" spans="1:24" x14ac:dyDescent="0.2">
      <c r="A10" s="216" t="s">
        <v>192</v>
      </c>
      <c r="B10" s="216">
        <v>1992</v>
      </c>
      <c r="C10" s="216">
        <v>1993</v>
      </c>
      <c r="D10" s="216">
        <v>1994</v>
      </c>
      <c r="E10" s="216">
        <v>1995</v>
      </c>
      <c r="F10" s="216">
        <v>1996</v>
      </c>
      <c r="G10" s="216">
        <v>1997</v>
      </c>
      <c r="H10" s="216">
        <v>1998</v>
      </c>
      <c r="I10" s="216">
        <v>1999</v>
      </c>
      <c r="J10" s="216">
        <v>2000</v>
      </c>
      <c r="K10" s="216">
        <v>2001</v>
      </c>
      <c r="L10" s="216">
        <v>2002</v>
      </c>
      <c r="M10" s="216">
        <v>2003</v>
      </c>
      <c r="N10" s="216">
        <v>2004</v>
      </c>
      <c r="O10" s="216">
        <v>2005</v>
      </c>
      <c r="P10" s="216">
        <v>2006</v>
      </c>
      <c r="Q10" s="216">
        <v>2007</v>
      </c>
      <c r="R10" s="216">
        <v>2008</v>
      </c>
      <c r="S10" s="216">
        <v>2009</v>
      </c>
      <c r="T10" s="216">
        <v>2010</v>
      </c>
      <c r="U10" s="216">
        <v>2011</v>
      </c>
      <c r="V10" s="216">
        <v>2012</v>
      </c>
      <c r="W10" s="216">
        <v>2013</v>
      </c>
      <c r="X10" s="216">
        <v>2014</v>
      </c>
    </row>
    <row r="11" spans="1:24" x14ac:dyDescent="0.2">
      <c r="A11" s="214"/>
      <c r="B11" s="214"/>
      <c r="C11" s="214"/>
      <c r="D11" s="214"/>
      <c r="E11" s="214"/>
      <c r="F11" s="217"/>
      <c r="G11" s="217"/>
    </row>
    <row r="12" spans="1:24" x14ac:dyDescent="0.2">
      <c r="A12" s="218"/>
      <c r="B12" s="218"/>
      <c r="C12" s="218"/>
      <c r="D12" s="218"/>
      <c r="E12" s="218"/>
      <c r="F12" s="217"/>
      <c r="G12" s="217"/>
      <c r="H12" s="217"/>
      <c r="I12" s="217"/>
    </row>
    <row r="13" spans="1:24" x14ac:dyDescent="0.2">
      <c r="A13" s="218" t="s">
        <v>193</v>
      </c>
      <c r="M13" s="219"/>
      <c r="N13" s="219"/>
      <c r="O13" s="219"/>
      <c r="P13" s="219"/>
      <c r="Q13" s="219"/>
      <c r="W13" s="65"/>
      <c r="X13" s="65"/>
    </row>
    <row r="14" spans="1:24" x14ac:dyDescent="0.2">
      <c r="A14" s="218" t="s">
        <v>194</v>
      </c>
      <c r="M14" s="219"/>
      <c r="N14" s="219"/>
      <c r="O14" s="219"/>
      <c r="P14" s="219"/>
      <c r="Q14" s="219"/>
      <c r="W14" s="65"/>
      <c r="X14" s="65"/>
    </row>
    <row r="15" spans="1:24" x14ac:dyDescent="0.2">
      <c r="A15" s="218" t="s">
        <v>195</v>
      </c>
    </row>
    <row r="16" spans="1:24" x14ac:dyDescent="0.2">
      <c r="A16" s="218" t="s">
        <v>196</v>
      </c>
    </row>
    <row r="17" spans="1:24" x14ac:dyDescent="0.2">
      <c r="A17" s="218" t="s">
        <v>86</v>
      </c>
    </row>
    <row r="18" spans="1:24" x14ac:dyDescent="0.2">
      <c r="A18" s="218" t="s">
        <v>197</v>
      </c>
    </row>
    <row r="19" spans="1:24" x14ac:dyDescent="0.2">
      <c r="A19" s="218" t="s">
        <v>198</v>
      </c>
    </row>
    <row r="20" spans="1:24" x14ac:dyDescent="0.2">
      <c r="A20" s="218" t="s">
        <v>199</v>
      </c>
    </row>
    <row r="21" spans="1:24" x14ac:dyDescent="0.2">
      <c r="A21" s="218" t="s">
        <v>200</v>
      </c>
    </row>
    <row r="22" spans="1:24" x14ac:dyDescent="0.2">
      <c r="A22" s="218" t="s">
        <v>201</v>
      </c>
    </row>
    <row r="23" spans="1:24" x14ac:dyDescent="0.2">
      <c r="A23" s="218" t="s">
        <v>202</v>
      </c>
    </row>
    <row r="24" spans="1:24" x14ac:dyDescent="0.2">
      <c r="A24" s="218" t="s">
        <v>203</v>
      </c>
    </row>
    <row r="25" spans="1:24" x14ac:dyDescent="0.2">
      <c r="A25" s="218"/>
      <c r="B25" s="218"/>
      <c r="C25" s="218"/>
      <c r="D25" s="218"/>
      <c r="E25" s="218"/>
      <c r="F25" s="265"/>
      <c r="G25" s="212"/>
      <c r="I25" s="65"/>
      <c r="R25" s="219"/>
      <c r="W25" s="65"/>
      <c r="X25" s="65"/>
    </row>
    <row r="26" spans="1:24" ht="15.75" thickBot="1" x14ac:dyDescent="0.3">
      <c r="A26" s="218" t="s">
        <v>9</v>
      </c>
      <c r="B26" s="793" t="s">
        <v>319</v>
      </c>
      <c r="C26" s="793"/>
      <c r="D26" s="793"/>
      <c r="E26" s="793"/>
      <c r="F26" s="793"/>
      <c r="G26" s="793"/>
      <c r="H26" s="793"/>
      <c r="I26" s="793"/>
      <c r="J26" s="793"/>
      <c r="K26" s="793"/>
      <c r="L26" s="794"/>
      <c r="M26" s="397">
        <f>'[7]2002 to 2012'!$F$24</f>
        <v>59473067.616589859</v>
      </c>
      <c r="N26" s="397">
        <f>'[7]2002 to 2012'!$F$38</f>
        <v>60142431</v>
      </c>
      <c r="O26" s="397">
        <f>'[7]2002 to 2012'!$F$52</f>
        <v>67990535</v>
      </c>
      <c r="P26" s="397">
        <f>'[7]2002 to 2012'!$F$66</f>
        <v>64063446</v>
      </c>
      <c r="Q26" s="397">
        <f>'[7]2002 to 2012'!$F$80</f>
        <v>65499951</v>
      </c>
      <c r="R26" s="397">
        <f>'[7]2002 to 2012'!$F$95</f>
        <v>62980676.951219514</v>
      </c>
      <c r="S26" s="397">
        <f>'[7]2002 to 2012'!$F$109</f>
        <v>63244583.51031895</v>
      </c>
      <c r="T26" s="397">
        <f>'[7]2002 to 2012'!$F$123</f>
        <v>66159480.468461536</v>
      </c>
      <c r="U26" s="397">
        <f>'[7]2002 to 2012'!$F$137</f>
        <v>67609924.159999996</v>
      </c>
      <c r="V26" s="397">
        <f>'[7]2002 to 2012'!$F$151</f>
        <v>67185686.109999999</v>
      </c>
      <c r="W26" s="220">
        <f>SUM(W13:W25)</f>
        <v>0</v>
      </c>
      <c r="X26" s="220">
        <f>SUM(X13:X25)</f>
        <v>0</v>
      </c>
    </row>
    <row r="27" spans="1:24" ht="13.5" thickTop="1" x14ac:dyDescent="0.2">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x14ac:dyDescent="0.2">
      <c r="A28" s="223" t="s">
        <v>322</v>
      </c>
      <c r="B28" s="223"/>
      <c r="C28" s="223"/>
      <c r="D28" s="223"/>
      <c r="E28" s="223"/>
      <c r="F28" s="217"/>
      <c r="G28" s="217"/>
    </row>
    <row r="29" spans="1:24" x14ac:dyDescent="0.2">
      <c r="A29" s="395"/>
      <c r="B29" s="396"/>
      <c r="C29" s="396"/>
      <c r="D29" s="396"/>
      <c r="E29" s="214"/>
      <c r="F29" s="215"/>
      <c r="G29" s="215"/>
    </row>
    <row r="30" spans="1:24" x14ac:dyDescent="0.2">
      <c r="A30" s="216" t="s">
        <v>192</v>
      </c>
      <c r="B30" s="216">
        <v>1992</v>
      </c>
      <c r="C30" s="216">
        <v>1993</v>
      </c>
      <c r="D30" s="216">
        <v>1994</v>
      </c>
      <c r="E30" s="216">
        <v>1995</v>
      </c>
      <c r="F30" s="216">
        <v>1996</v>
      </c>
      <c r="G30" s="216">
        <v>1997</v>
      </c>
      <c r="H30" s="216">
        <v>1998</v>
      </c>
      <c r="I30" s="216">
        <v>1999</v>
      </c>
      <c r="J30" s="216">
        <v>2000</v>
      </c>
      <c r="K30" s="216">
        <v>2001</v>
      </c>
      <c r="L30" s="216">
        <v>2002</v>
      </c>
      <c r="M30" s="216">
        <v>2003</v>
      </c>
      <c r="N30" s="216">
        <v>2004</v>
      </c>
      <c r="O30" s="216">
        <v>2005</v>
      </c>
      <c r="P30" s="216">
        <v>2006</v>
      </c>
      <c r="Q30" s="216">
        <v>2007</v>
      </c>
      <c r="R30" s="216">
        <v>2008</v>
      </c>
      <c r="S30" s="216">
        <v>2009</v>
      </c>
      <c r="T30" s="216">
        <v>2010</v>
      </c>
      <c r="U30" s="216">
        <v>2011</v>
      </c>
      <c r="V30" s="216">
        <v>2012</v>
      </c>
      <c r="W30" s="216">
        <v>2013</v>
      </c>
      <c r="X30" s="216">
        <v>2014</v>
      </c>
    </row>
    <row r="31" spans="1:24" x14ac:dyDescent="0.2">
      <c r="A31" s="214"/>
      <c r="B31" s="214"/>
      <c r="C31" s="214"/>
      <c r="D31" s="214"/>
      <c r="E31" s="214"/>
      <c r="F31" s="217"/>
      <c r="G31" s="217"/>
    </row>
    <row r="32" spans="1:24" x14ac:dyDescent="0.2">
      <c r="A32" s="218"/>
      <c r="B32" s="218"/>
      <c r="C32" s="218"/>
      <c r="D32" s="218"/>
      <c r="E32" s="218"/>
      <c r="F32" s="217"/>
      <c r="G32" s="217"/>
      <c r="H32" s="217"/>
      <c r="I32" s="217"/>
    </row>
    <row r="33" spans="1:24" x14ac:dyDescent="0.2">
      <c r="A33" s="218" t="s">
        <v>193</v>
      </c>
      <c r="W33" s="65"/>
      <c r="X33" s="65"/>
    </row>
    <row r="34" spans="1:24" x14ac:dyDescent="0.2">
      <c r="A34" s="218" t="s">
        <v>194</v>
      </c>
      <c r="W34" s="65"/>
      <c r="X34" s="65"/>
    </row>
    <row r="35" spans="1:24" x14ac:dyDescent="0.2">
      <c r="A35" s="218" t="s">
        <v>195</v>
      </c>
    </row>
    <row r="36" spans="1:24" x14ac:dyDescent="0.2">
      <c r="A36" s="218" t="s">
        <v>196</v>
      </c>
    </row>
    <row r="37" spans="1:24" x14ac:dyDescent="0.2">
      <c r="A37" s="218" t="s">
        <v>86</v>
      </c>
    </row>
    <row r="38" spans="1:24" x14ac:dyDescent="0.2">
      <c r="A38" s="218" t="s">
        <v>197</v>
      </c>
    </row>
    <row r="39" spans="1:24" x14ac:dyDescent="0.2">
      <c r="A39" s="218" t="s">
        <v>198</v>
      </c>
    </row>
    <row r="40" spans="1:24" x14ac:dyDescent="0.2">
      <c r="A40" s="218" t="s">
        <v>199</v>
      </c>
    </row>
    <row r="41" spans="1:24" x14ac:dyDescent="0.2">
      <c r="A41" s="218" t="s">
        <v>200</v>
      </c>
    </row>
    <row r="42" spans="1:24" x14ac:dyDescent="0.2">
      <c r="A42" s="218" t="s">
        <v>201</v>
      </c>
    </row>
    <row r="43" spans="1:24" x14ac:dyDescent="0.2">
      <c r="A43" s="218" t="s">
        <v>202</v>
      </c>
    </row>
    <row r="44" spans="1:24" x14ac:dyDescent="0.2">
      <c r="A44" s="218" t="s">
        <v>203</v>
      </c>
    </row>
    <row r="45" spans="1:24" x14ac:dyDescent="0.2">
      <c r="A45" s="218"/>
      <c r="B45" s="218"/>
      <c r="C45" s="218"/>
      <c r="D45" s="218"/>
      <c r="E45" s="218"/>
      <c r="F45" s="265"/>
      <c r="G45" s="212"/>
      <c r="I45" s="65"/>
      <c r="R45" s="219"/>
      <c r="W45" s="65"/>
      <c r="X45" s="65"/>
    </row>
    <row r="46" spans="1:24" ht="15.75" thickBot="1" x14ac:dyDescent="0.3">
      <c r="A46" s="218" t="s">
        <v>9</v>
      </c>
      <c r="B46" s="793" t="s">
        <v>319</v>
      </c>
      <c r="C46" s="793"/>
      <c r="D46" s="793"/>
      <c r="E46" s="793"/>
      <c r="F46" s="793"/>
      <c r="G46" s="793"/>
      <c r="H46" s="793"/>
      <c r="I46" s="793"/>
      <c r="J46" s="793"/>
      <c r="K46" s="793"/>
      <c r="L46" s="794"/>
      <c r="M46" s="397">
        <f>'[7]2002 to 2012'!$F$25-M106</f>
        <v>35010423</v>
      </c>
      <c r="N46" s="397">
        <f>'[7]2002 to 2012'!$F$39-N106</f>
        <v>34349415</v>
      </c>
      <c r="O46" s="397">
        <f>'[7]2002 to 2012'!$F$53-O106</f>
        <v>34479068</v>
      </c>
      <c r="P46" s="397">
        <f>'[7]2002 to 2012'!$F$67</f>
        <v>30478041</v>
      </c>
      <c r="Q46" s="397">
        <f>'[7]2002 to 2012'!$F$81</f>
        <v>34969161</v>
      </c>
      <c r="R46" s="397">
        <f>'[7]2002 to 2012'!$F$96</f>
        <v>35045141.781299576</v>
      </c>
      <c r="S46" s="397">
        <f>'[7]2002 to 2012'!$F$110</f>
        <v>33688872.79423999</v>
      </c>
      <c r="T46" s="397">
        <f>'[7]2002 to 2012'!$F$124</f>
        <v>33426752.734460428</v>
      </c>
      <c r="U46" s="397">
        <f>'[7]2002 to 2012'!$F$138</f>
        <v>34407699.510000005</v>
      </c>
      <c r="V46" s="397">
        <f>'[7]2002 to 2012'!$F$152</f>
        <v>35564177.82</v>
      </c>
      <c r="W46" s="220"/>
      <c r="X46" s="220">
        <f>SUM(X33:X45)</f>
        <v>0</v>
      </c>
    </row>
    <row r="47" spans="1:24" ht="13.5" thickTop="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row>
    <row r="48" spans="1:24" x14ac:dyDescent="0.2">
      <c r="A48" s="223" t="s">
        <v>317</v>
      </c>
      <c r="B48" s="223"/>
      <c r="C48" s="223"/>
      <c r="D48" s="223"/>
      <c r="E48" s="223"/>
      <c r="F48" s="217"/>
      <c r="G48" s="217"/>
      <c r="Q48" s="66"/>
    </row>
    <row r="49" spans="1:24" x14ac:dyDescent="0.2">
      <c r="A49" s="264"/>
      <c r="B49" s="214"/>
      <c r="C49" s="214"/>
      <c r="D49" s="214"/>
      <c r="E49" s="214"/>
      <c r="F49" s="215"/>
      <c r="G49" s="215"/>
    </row>
    <row r="50" spans="1:24" x14ac:dyDescent="0.2">
      <c r="A50" s="216" t="s">
        <v>192</v>
      </c>
      <c r="B50" s="216">
        <v>1992</v>
      </c>
      <c r="C50" s="216">
        <v>1993</v>
      </c>
      <c r="D50" s="216">
        <v>1994</v>
      </c>
      <c r="E50" s="216">
        <v>1995</v>
      </c>
      <c r="F50" s="216">
        <v>1996</v>
      </c>
      <c r="G50" s="216">
        <v>1997</v>
      </c>
      <c r="H50" s="216">
        <v>1998</v>
      </c>
      <c r="I50" s="216">
        <v>1999</v>
      </c>
      <c r="J50" s="216">
        <v>2000</v>
      </c>
      <c r="K50" s="216">
        <v>2001</v>
      </c>
      <c r="L50" s="216">
        <v>2002</v>
      </c>
      <c r="M50" s="216">
        <v>2003</v>
      </c>
      <c r="N50" s="216">
        <v>2004</v>
      </c>
      <c r="O50" s="216">
        <v>2005</v>
      </c>
      <c r="P50" s="216">
        <v>2006</v>
      </c>
      <c r="Q50" s="216">
        <v>2007</v>
      </c>
      <c r="R50" s="216">
        <v>2008</v>
      </c>
      <c r="S50" s="216">
        <v>2009</v>
      </c>
      <c r="T50" s="216">
        <v>2010</v>
      </c>
      <c r="U50" s="216">
        <v>2011</v>
      </c>
      <c r="V50" s="216">
        <v>2012</v>
      </c>
      <c r="W50" s="216">
        <v>2013</v>
      </c>
      <c r="X50" s="216">
        <v>2014</v>
      </c>
    </row>
    <row r="51" spans="1:24" x14ac:dyDescent="0.2">
      <c r="A51" s="214"/>
      <c r="B51" s="214"/>
      <c r="C51" s="214"/>
      <c r="D51" s="214"/>
      <c r="E51" s="214"/>
      <c r="F51" s="217"/>
      <c r="G51" s="217"/>
    </row>
    <row r="52" spans="1:24" x14ac:dyDescent="0.2">
      <c r="A52" s="218"/>
      <c r="B52" s="218"/>
      <c r="C52" s="218"/>
      <c r="D52" s="218"/>
      <c r="E52" s="218"/>
      <c r="F52" s="217"/>
      <c r="G52" s="217"/>
      <c r="H52" s="217"/>
      <c r="I52" s="217"/>
    </row>
    <row r="53" spans="1:24" x14ac:dyDescent="0.2">
      <c r="A53" s="218" t="s">
        <v>193</v>
      </c>
      <c r="M53" s="219"/>
      <c r="N53" s="219"/>
      <c r="O53" s="219"/>
      <c r="P53" s="219"/>
      <c r="Q53" s="219"/>
      <c r="W53" s="65"/>
      <c r="X53" s="65"/>
    </row>
    <row r="54" spans="1:24" x14ac:dyDescent="0.2">
      <c r="A54" s="218" t="s">
        <v>194</v>
      </c>
      <c r="M54" s="219"/>
      <c r="N54" s="219"/>
      <c r="O54" s="219"/>
      <c r="P54" s="219"/>
      <c r="Q54" s="219"/>
      <c r="W54" s="65"/>
      <c r="X54" s="65"/>
    </row>
    <row r="55" spans="1:24" x14ac:dyDescent="0.2">
      <c r="A55" s="218" t="s">
        <v>195</v>
      </c>
    </row>
    <row r="56" spans="1:24" x14ac:dyDescent="0.2">
      <c r="A56" s="218" t="s">
        <v>196</v>
      </c>
    </row>
    <row r="57" spans="1:24" x14ac:dyDescent="0.2">
      <c r="A57" s="218" t="s">
        <v>86</v>
      </c>
    </row>
    <row r="58" spans="1:24" x14ac:dyDescent="0.2">
      <c r="A58" s="218" t="s">
        <v>197</v>
      </c>
    </row>
    <row r="59" spans="1:24" x14ac:dyDescent="0.2">
      <c r="A59" s="218" t="s">
        <v>198</v>
      </c>
    </row>
    <row r="60" spans="1:24" x14ac:dyDescent="0.2">
      <c r="A60" s="218" t="s">
        <v>199</v>
      </c>
    </row>
    <row r="61" spans="1:24" x14ac:dyDescent="0.2">
      <c r="A61" s="218" t="s">
        <v>200</v>
      </c>
    </row>
    <row r="62" spans="1:24" x14ac:dyDescent="0.2">
      <c r="A62" s="218" t="s">
        <v>201</v>
      </c>
    </row>
    <row r="63" spans="1:24" x14ac:dyDescent="0.2">
      <c r="A63" s="218" t="s">
        <v>202</v>
      </c>
    </row>
    <row r="64" spans="1:24" x14ac:dyDescent="0.2">
      <c r="A64" s="218" t="s">
        <v>203</v>
      </c>
    </row>
    <row r="65" spans="1:24" x14ac:dyDescent="0.2">
      <c r="A65" s="218"/>
      <c r="B65" s="218"/>
      <c r="C65" s="218"/>
      <c r="D65" s="218"/>
      <c r="E65" s="218"/>
      <c r="F65" s="265"/>
      <c r="G65" s="212"/>
      <c r="I65" s="65"/>
      <c r="R65" s="219"/>
      <c r="W65" s="65"/>
      <c r="X65" s="65"/>
    </row>
    <row r="66" spans="1:24" ht="15.75" thickBot="1" x14ac:dyDescent="0.3">
      <c r="A66" s="218" t="s">
        <v>9</v>
      </c>
      <c r="B66" s="793" t="s">
        <v>319</v>
      </c>
      <c r="C66" s="793"/>
      <c r="D66" s="793"/>
      <c r="E66" s="793"/>
      <c r="F66" s="793"/>
      <c r="G66" s="793"/>
      <c r="H66" s="793"/>
      <c r="I66" s="793"/>
      <c r="J66" s="793"/>
      <c r="K66" s="793"/>
      <c r="L66" s="794"/>
      <c r="M66" s="397">
        <f>'[7]2002 to 2012'!$F$26</f>
        <v>70539226</v>
      </c>
      <c r="N66" s="397">
        <f>'[7]2002 to 2012'!$F$40</f>
        <v>73966550</v>
      </c>
      <c r="O66" s="397">
        <f>'[7]2002 to 2012'!$F$54</f>
        <v>76163682</v>
      </c>
      <c r="P66" s="397">
        <f>'[7]2002 to 2012'!$F$68</f>
        <v>79256712</v>
      </c>
      <c r="Q66" s="397">
        <f>'[7]2002 to 2012'!$F$82</f>
        <v>78684896</v>
      </c>
      <c r="R66" s="397">
        <f>'[7]2002 to 2012'!$F$97</f>
        <v>74475846.068181574</v>
      </c>
      <c r="S66" s="397">
        <f>'[7]2002 to 2012'!$F$111</f>
        <v>74591201.455103308</v>
      </c>
      <c r="T66" s="397">
        <f>'[7]2002 to 2012'!$F$125</f>
        <v>76704892.796715111</v>
      </c>
      <c r="U66" s="397">
        <f>'[7]2002 to 2012'!$F$139</f>
        <v>80480195.260000005</v>
      </c>
      <c r="V66" s="397">
        <f>'[7]2002 to 2012'!$F$153</f>
        <v>79222400.810000002</v>
      </c>
      <c r="W66" s="220">
        <f>SUM(W53:W65)</f>
        <v>0</v>
      </c>
      <c r="X66" s="220">
        <f>SUM(X53:X65)</f>
        <v>0</v>
      </c>
    </row>
    <row r="67" spans="1:24" ht="13.5" thickTop="1" x14ac:dyDescent="0.2">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row>
    <row r="68" spans="1:24" x14ac:dyDescent="0.2">
      <c r="A68" s="223" t="s">
        <v>318</v>
      </c>
      <c r="B68" s="223"/>
      <c r="C68" s="223"/>
      <c r="D68" s="223"/>
      <c r="E68" s="223"/>
      <c r="F68" s="217"/>
      <c r="G68" s="217"/>
    </row>
    <row r="69" spans="1:24" x14ac:dyDescent="0.2">
      <c r="A69" s="395"/>
      <c r="B69" s="396"/>
      <c r="C69" s="396"/>
      <c r="D69" s="396"/>
      <c r="E69" s="214"/>
      <c r="F69" s="215"/>
      <c r="G69" s="215"/>
    </row>
    <row r="70" spans="1:24" x14ac:dyDescent="0.2">
      <c r="A70" s="216" t="s">
        <v>192</v>
      </c>
      <c r="B70" s="216">
        <v>1992</v>
      </c>
      <c r="C70" s="216">
        <v>1993</v>
      </c>
      <c r="D70" s="216">
        <v>1994</v>
      </c>
      <c r="E70" s="216">
        <v>1995</v>
      </c>
      <c r="F70" s="216">
        <v>1996</v>
      </c>
      <c r="G70" s="216">
        <v>1997</v>
      </c>
      <c r="H70" s="216">
        <v>1998</v>
      </c>
      <c r="I70" s="216">
        <v>1999</v>
      </c>
      <c r="J70" s="216">
        <v>2000</v>
      </c>
      <c r="K70" s="216">
        <v>2001</v>
      </c>
      <c r="L70" s="216">
        <v>2002</v>
      </c>
      <c r="M70" s="216">
        <v>2003</v>
      </c>
      <c r="N70" s="216">
        <v>2004</v>
      </c>
      <c r="O70" s="216">
        <v>2005</v>
      </c>
      <c r="P70" s="216">
        <v>2006</v>
      </c>
      <c r="Q70" s="216">
        <v>2007</v>
      </c>
      <c r="R70" s="216">
        <v>2008</v>
      </c>
      <c r="S70" s="216">
        <v>2009</v>
      </c>
      <c r="T70" s="216">
        <v>2010</v>
      </c>
      <c r="U70" s="216">
        <v>2011</v>
      </c>
      <c r="V70" s="216">
        <v>2012</v>
      </c>
      <c r="W70" s="216">
        <v>2013</v>
      </c>
      <c r="X70" s="216">
        <v>2014</v>
      </c>
    </row>
    <row r="71" spans="1:24" x14ac:dyDescent="0.2">
      <c r="A71" s="214"/>
      <c r="B71" s="214"/>
      <c r="C71" s="214"/>
      <c r="D71" s="214"/>
      <c r="E71" s="214"/>
      <c r="F71" s="217"/>
      <c r="G71" s="217"/>
    </row>
    <row r="72" spans="1:24" x14ac:dyDescent="0.2">
      <c r="A72" s="218"/>
      <c r="B72" s="218"/>
      <c r="C72" s="218"/>
      <c r="D72" s="218"/>
      <c r="E72" s="218"/>
      <c r="F72" s="217"/>
      <c r="G72" s="217"/>
      <c r="H72" s="217"/>
      <c r="I72" s="217"/>
    </row>
    <row r="73" spans="1:24" x14ac:dyDescent="0.2">
      <c r="A73" s="218" t="s">
        <v>193</v>
      </c>
      <c r="W73" s="65"/>
      <c r="X73" s="65"/>
    </row>
    <row r="74" spans="1:24" x14ac:dyDescent="0.2">
      <c r="A74" s="218" t="s">
        <v>194</v>
      </c>
      <c r="W74" s="65"/>
      <c r="X74" s="65"/>
    </row>
    <row r="75" spans="1:24" x14ac:dyDescent="0.2">
      <c r="A75" s="218" t="s">
        <v>195</v>
      </c>
    </row>
    <row r="76" spans="1:24" x14ac:dyDescent="0.2">
      <c r="A76" s="218" t="s">
        <v>196</v>
      </c>
    </row>
    <row r="77" spans="1:24" x14ac:dyDescent="0.2">
      <c r="A77" s="218" t="s">
        <v>86</v>
      </c>
    </row>
    <row r="78" spans="1:24" x14ac:dyDescent="0.2">
      <c r="A78" s="218" t="s">
        <v>197</v>
      </c>
    </row>
    <row r="79" spans="1:24" x14ac:dyDescent="0.2">
      <c r="A79" s="218" t="s">
        <v>198</v>
      </c>
    </row>
    <row r="80" spans="1:24" x14ac:dyDescent="0.2">
      <c r="A80" s="218" t="s">
        <v>199</v>
      </c>
    </row>
    <row r="81" spans="1:24" x14ac:dyDescent="0.2">
      <c r="A81" s="218" t="s">
        <v>200</v>
      </c>
    </row>
    <row r="82" spans="1:24" x14ac:dyDescent="0.2">
      <c r="A82" s="218" t="s">
        <v>201</v>
      </c>
    </row>
    <row r="83" spans="1:24" x14ac:dyDescent="0.2">
      <c r="A83" s="218" t="s">
        <v>202</v>
      </c>
    </row>
    <row r="84" spans="1:24" x14ac:dyDescent="0.2">
      <c r="A84" s="218" t="s">
        <v>203</v>
      </c>
    </row>
    <row r="85" spans="1:24" x14ac:dyDescent="0.2">
      <c r="A85" s="218"/>
      <c r="B85" s="218"/>
      <c r="C85" s="218"/>
      <c r="D85" s="218"/>
      <c r="E85" s="218"/>
      <c r="F85" s="265"/>
      <c r="G85" s="212"/>
      <c r="I85" s="65"/>
      <c r="R85" s="219"/>
      <c r="W85" s="65"/>
      <c r="X85" s="65"/>
    </row>
    <row r="86" spans="1:24" ht="15.75" thickBot="1" x14ac:dyDescent="0.3">
      <c r="A86" s="218" t="s">
        <v>9</v>
      </c>
      <c r="B86" s="793" t="s">
        <v>319</v>
      </c>
      <c r="C86" s="793"/>
      <c r="D86" s="793"/>
      <c r="E86" s="793"/>
      <c r="F86" s="793"/>
      <c r="G86" s="793"/>
      <c r="H86" s="793"/>
      <c r="I86" s="793"/>
      <c r="J86" s="793"/>
      <c r="K86" s="793"/>
      <c r="L86" s="794"/>
      <c r="M86" s="397">
        <f>'[7]2002 to 2012'!$F$27</f>
        <v>884324.1333333333</v>
      </c>
      <c r="N86" s="397">
        <f>'[7]2002 to 2012'!$F$41</f>
        <v>914682</v>
      </c>
      <c r="O86" s="397">
        <f>'[7]2002 to 2012'!$F$55</f>
        <v>995698</v>
      </c>
      <c r="P86" s="397">
        <f>'[7]2002 to 2012'!$F$69</f>
        <v>1118911</v>
      </c>
      <c r="Q86" s="397">
        <f>'[7]2002 to 2012'!$F$83</f>
        <v>1002185</v>
      </c>
      <c r="R86" s="397">
        <f>'[7]2002 to 2012'!$F$98</f>
        <v>1121118.2660441326</v>
      </c>
      <c r="S86" s="397">
        <f>'[7]2002 to 2012'!$F$112</f>
        <v>1155889.8842094042</v>
      </c>
      <c r="T86" s="397">
        <f>'[7]2002 to 2012'!$F$126</f>
        <v>1135598.169746463</v>
      </c>
      <c r="U86" s="397">
        <f>'[7]2002 to 2012'!$F$140</f>
        <v>1153818.49</v>
      </c>
      <c r="V86" s="397">
        <f>'[7]2002 to 2012'!$F$154</f>
        <v>1163464</v>
      </c>
      <c r="W86" s="220"/>
      <c r="X86" s="220">
        <f>SUM(X73:X85)</f>
        <v>0</v>
      </c>
    </row>
    <row r="87" spans="1:24" ht="13.5" thickTop="1" x14ac:dyDescent="0.2">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row>
    <row r="88" spans="1:24" x14ac:dyDescent="0.2">
      <c r="A88" s="223" t="s">
        <v>155</v>
      </c>
      <c r="B88" s="223"/>
      <c r="C88" s="223"/>
      <c r="D88" s="223"/>
      <c r="E88" s="223"/>
      <c r="F88" s="217"/>
      <c r="G88" s="217"/>
    </row>
    <row r="89" spans="1:24" x14ac:dyDescent="0.2">
      <c r="A89" s="395"/>
      <c r="B89" s="396"/>
      <c r="C89" s="396"/>
      <c r="D89" s="396"/>
      <c r="E89" s="214"/>
      <c r="F89" s="215"/>
      <c r="G89" s="215"/>
    </row>
    <row r="90" spans="1:24" x14ac:dyDescent="0.2">
      <c r="A90" s="216" t="s">
        <v>192</v>
      </c>
      <c r="B90" s="216">
        <v>1992</v>
      </c>
      <c r="C90" s="216">
        <v>1993</v>
      </c>
      <c r="D90" s="216">
        <v>1994</v>
      </c>
      <c r="E90" s="216">
        <v>1995</v>
      </c>
      <c r="F90" s="216">
        <v>1996</v>
      </c>
      <c r="G90" s="216">
        <v>1997</v>
      </c>
      <c r="H90" s="216">
        <v>1998</v>
      </c>
      <c r="I90" s="216">
        <v>1999</v>
      </c>
      <c r="J90" s="216">
        <v>2000</v>
      </c>
      <c r="K90" s="216">
        <v>2001</v>
      </c>
      <c r="L90" s="216">
        <v>2002</v>
      </c>
      <c r="M90" s="216">
        <v>2003</v>
      </c>
      <c r="N90" s="216">
        <v>2004</v>
      </c>
      <c r="O90" s="216">
        <v>2005</v>
      </c>
      <c r="P90" s="216">
        <v>2006</v>
      </c>
      <c r="Q90" s="216">
        <v>2007</v>
      </c>
      <c r="R90" s="216">
        <v>2008</v>
      </c>
      <c r="S90" s="216">
        <v>2009</v>
      </c>
      <c r="T90" s="216">
        <v>2010</v>
      </c>
      <c r="U90" s="216">
        <v>2011</v>
      </c>
      <c r="V90" s="216">
        <v>2012</v>
      </c>
      <c r="W90" s="216">
        <v>2013</v>
      </c>
      <c r="X90" s="216">
        <v>2014</v>
      </c>
    </row>
    <row r="91" spans="1:24" x14ac:dyDescent="0.2">
      <c r="A91" s="214"/>
      <c r="B91" s="214"/>
      <c r="C91" s="214"/>
      <c r="D91" s="214"/>
      <c r="E91" s="214"/>
      <c r="F91" s="217"/>
      <c r="G91" s="217"/>
    </row>
    <row r="92" spans="1:24" x14ac:dyDescent="0.2">
      <c r="A92" s="218"/>
      <c r="B92" s="218"/>
      <c r="C92" s="218"/>
      <c r="D92" s="218"/>
      <c r="E92" s="218"/>
      <c r="F92" s="217"/>
      <c r="G92" s="217"/>
      <c r="H92" s="217"/>
      <c r="I92" s="217"/>
    </row>
    <row r="93" spans="1:24" x14ac:dyDescent="0.2">
      <c r="A93" s="218" t="s">
        <v>193</v>
      </c>
      <c r="W93" s="65"/>
      <c r="X93" s="65"/>
    </row>
    <row r="94" spans="1:24" x14ac:dyDescent="0.2">
      <c r="A94" s="218" t="s">
        <v>194</v>
      </c>
      <c r="W94" s="65"/>
      <c r="X94" s="65"/>
    </row>
    <row r="95" spans="1:24" x14ac:dyDescent="0.2">
      <c r="A95" s="218" t="s">
        <v>195</v>
      </c>
    </row>
    <row r="96" spans="1:24" x14ac:dyDescent="0.2">
      <c r="A96" s="218" t="s">
        <v>196</v>
      </c>
    </row>
    <row r="97" spans="1:24" x14ac:dyDescent="0.2">
      <c r="A97" s="218" t="s">
        <v>86</v>
      </c>
    </row>
    <row r="98" spans="1:24" x14ac:dyDescent="0.2">
      <c r="A98" s="218" t="s">
        <v>197</v>
      </c>
    </row>
    <row r="99" spans="1:24" x14ac:dyDescent="0.2">
      <c r="A99" s="218" t="s">
        <v>198</v>
      </c>
    </row>
    <row r="100" spans="1:24" x14ac:dyDescent="0.2">
      <c r="A100" s="218" t="s">
        <v>199</v>
      </c>
    </row>
    <row r="101" spans="1:24" x14ac:dyDescent="0.2">
      <c r="A101" s="218" t="s">
        <v>200</v>
      </c>
    </row>
    <row r="102" spans="1:24" x14ac:dyDescent="0.2">
      <c r="A102" s="218" t="s">
        <v>201</v>
      </c>
    </row>
    <row r="103" spans="1:24" x14ac:dyDescent="0.2">
      <c r="A103" s="218" t="s">
        <v>202</v>
      </c>
    </row>
    <row r="104" spans="1:24" x14ac:dyDescent="0.2">
      <c r="A104" s="218" t="s">
        <v>203</v>
      </c>
    </row>
    <row r="105" spans="1:24" x14ac:dyDescent="0.2">
      <c r="A105" s="218"/>
      <c r="B105" s="218"/>
      <c r="C105" s="218"/>
      <c r="D105" s="218"/>
      <c r="E105" s="218"/>
      <c r="F105" s="265"/>
      <c r="G105" s="212"/>
      <c r="I105" s="65"/>
      <c r="R105" s="219"/>
      <c r="W105" s="65"/>
      <c r="X105" s="65"/>
    </row>
    <row r="106" spans="1:24" ht="15.75" thickBot="1" x14ac:dyDescent="0.3">
      <c r="A106" s="218" t="s">
        <v>9</v>
      </c>
      <c r="B106" s="793" t="s">
        <v>319</v>
      </c>
      <c r="C106" s="793"/>
      <c r="D106" s="793"/>
      <c r="E106" s="793"/>
      <c r="F106" s="793"/>
      <c r="G106" s="793"/>
      <c r="H106" s="793"/>
      <c r="I106" s="793"/>
      <c r="J106" s="793"/>
      <c r="K106" s="793"/>
      <c r="L106" s="794"/>
      <c r="M106" s="397">
        <v>217931</v>
      </c>
      <c r="N106" s="397">
        <v>217931</v>
      </c>
      <c r="O106" s="397">
        <v>217931</v>
      </c>
      <c r="P106" s="397">
        <v>217931</v>
      </c>
      <c r="Q106" s="397">
        <v>217931</v>
      </c>
      <c r="R106" s="397">
        <f>'[7]2002 to 2012'!$F$100</f>
        <v>211278.88536708895</v>
      </c>
      <c r="S106" s="397">
        <f>'[7]2002 to 2012'!$F$114</f>
        <v>196888.83628239558</v>
      </c>
      <c r="T106" s="397">
        <f>'[7]2002 to 2012'!$F$128</f>
        <v>217647.11835051546</v>
      </c>
      <c r="U106" s="397">
        <f>'[7]2002 to 2012'!$F$142</f>
        <v>237398.62</v>
      </c>
      <c r="V106" s="397">
        <f>'[7]2002 to 2012'!$F$156</f>
        <v>235713.28</v>
      </c>
      <c r="W106" s="220"/>
      <c r="X106" s="220">
        <f>SUM(X93:X105)</f>
        <v>0</v>
      </c>
    </row>
    <row r="107" spans="1:24" ht="13.5" thickTop="1" x14ac:dyDescent="0.2">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row>
    <row r="108" spans="1:24" x14ac:dyDescent="0.2">
      <c r="A108" s="223" t="s">
        <v>98</v>
      </c>
      <c r="B108" s="223"/>
      <c r="C108" s="223"/>
      <c r="D108" s="223"/>
      <c r="E108" s="223"/>
      <c r="F108" s="217"/>
      <c r="G108" s="217"/>
    </row>
    <row r="109" spans="1:24" x14ac:dyDescent="0.2">
      <c r="A109" s="395"/>
      <c r="B109" s="396"/>
      <c r="C109" s="396"/>
      <c r="D109" s="396"/>
      <c r="E109" s="214"/>
      <c r="F109" s="215"/>
      <c r="G109" s="215"/>
    </row>
    <row r="110" spans="1:24" x14ac:dyDescent="0.2">
      <c r="A110" s="216" t="s">
        <v>192</v>
      </c>
      <c r="B110" s="216">
        <v>1992</v>
      </c>
      <c r="C110" s="216">
        <v>1993</v>
      </c>
      <c r="D110" s="216">
        <v>1994</v>
      </c>
      <c r="E110" s="216">
        <v>1995</v>
      </c>
      <c r="F110" s="216">
        <v>1996</v>
      </c>
      <c r="G110" s="216">
        <v>1997</v>
      </c>
      <c r="H110" s="216">
        <v>1998</v>
      </c>
      <c r="I110" s="216">
        <v>1999</v>
      </c>
      <c r="J110" s="216">
        <v>2000</v>
      </c>
      <c r="K110" s="216">
        <v>2001</v>
      </c>
      <c r="L110" s="216">
        <v>2002</v>
      </c>
      <c r="M110" s="216">
        <v>2003</v>
      </c>
      <c r="N110" s="216">
        <v>2004</v>
      </c>
      <c r="O110" s="216">
        <v>2005</v>
      </c>
      <c r="P110" s="216">
        <v>2006</v>
      </c>
      <c r="Q110" s="216">
        <v>2007</v>
      </c>
      <c r="R110" s="216">
        <v>2008</v>
      </c>
      <c r="S110" s="216">
        <v>2009</v>
      </c>
      <c r="T110" s="216">
        <v>2010</v>
      </c>
      <c r="U110" s="216">
        <v>2011</v>
      </c>
      <c r="V110" s="216">
        <v>2012</v>
      </c>
      <c r="W110" s="216">
        <v>2013</v>
      </c>
      <c r="X110" s="216">
        <v>2014</v>
      </c>
    </row>
    <row r="111" spans="1:24" x14ac:dyDescent="0.2">
      <c r="A111" s="214"/>
      <c r="B111" s="214"/>
      <c r="C111" s="214"/>
      <c r="D111" s="214"/>
      <c r="E111" s="214"/>
      <c r="F111" s="217"/>
      <c r="G111" s="217"/>
    </row>
    <row r="112" spans="1:24" x14ac:dyDescent="0.2">
      <c r="A112" s="218"/>
      <c r="B112" s="218"/>
      <c r="C112" s="218"/>
      <c r="D112" s="218"/>
      <c r="E112" s="218"/>
      <c r="F112" s="217"/>
      <c r="G112" s="217"/>
      <c r="H112" s="217"/>
      <c r="I112" s="217"/>
    </row>
    <row r="113" spans="1:24" x14ac:dyDescent="0.2">
      <c r="A113" s="218" t="s">
        <v>193</v>
      </c>
      <c r="W113" s="65"/>
      <c r="X113" s="65"/>
    </row>
    <row r="114" spans="1:24" x14ac:dyDescent="0.2">
      <c r="A114" s="218" t="s">
        <v>194</v>
      </c>
      <c r="W114" s="65"/>
      <c r="X114" s="65"/>
    </row>
    <row r="115" spans="1:24" x14ac:dyDescent="0.2">
      <c r="A115" s="218" t="s">
        <v>195</v>
      </c>
    </row>
    <row r="116" spans="1:24" x14ac:dyDescent="0.2">
      <c r="A116" s="218" t="s">
        <v>196</v>
      </c>
    </row>
    <row r="117" spans="1:24" x14ac:dyDescent="0.2">
      <c r="A117" s="218" t="s">
        <v>86</v>
      </c>
    </row>
    <row r="118" spans="1:24" x14ac:dyDescent="0.2">
      <c r="A118" s="218" t="s">
        <v>197</v>
      </c>
    </row>
    <row r="119" spans="1:24" x14ac:dyDescent="0.2">
      <c r="A119" s="218" t="s">
        <v>198</v>
      </c>
    </row>
    <row r="120" spans="1:24" x14ac:dyDescent="0.2">
      <c r="A120" s="218" t="s">
        <v>199</v>
      </c>
    </row>
    <row r="121" spans="1:24" x14ac:dyDescent="0.2">
      <c r="A121" s="218" t="s">
        <v>200</v>
      </c>
    </row>
    <row r="122" spans="1:24" x14ac:dyDescent="0.2">
      <c r="A122" s="218" t="s">
        <v>201</v>
      </c>
    </row>
    <row r="123" spans="1:24" x14ac:dyDescent="0.2">
      <c r="A123" s="218" t="s">
        <v>202</v>
      </c>
    </row>
    <row r="124" spans="1:24" x14ac:dyDescent="0.2">
      <c r="A124" s="218" t="s">
        <v>203</v>
      </c>
    </row>
    <row r="125" spans="1:24" x14ac:dyDescent="0.2">
      <c r="A125" s="218"/>
      <c r="B125" s="218"/>
      <c r="C125" s="218"/>
      <c r="D125" s="218"/>
      <c r="E125" s="218"/>
      <c r="F125" s="265"/>
      <c r="G125" s="212"/>
      <c r="I125" s="65"/>
      <c r="R125" s="219"/>
      <c r="W125" s="65"/>
      <c r="X125" s="65"/>
    </row>
    <row r="126" spans="1:24" ht="15.75" thickBot="1" x14ac:dyDescent="0.3">
      <c r="A126" s="218" t="s">
        <v>9</v>
      </c>
      <c r="B126" s="793" t="s">
        <v>319</v>
      </c>
      <c r="C126" s="793"/>
      <c r="D126" s="793"/>
      <c r="E126" s="793"/>
      <c r="F126" s="793"/>
      <c r="G126" s="793"/>
      <c r="H126" s="793"/>
      <c r="I126" s="793"/>
      <c r="J126" s="793"/>
      <c r="K126" s="793"/>
      <c r="L126" s="794"/>
      <c r="M126" s="397">
        <f>'[7]2002 to 2012'!$F$28</f>
        <v>145274</v>
      </c>
      <c r="N126" s="397">
        <f>'[7]2002 to 2012'!$F$42</f>
        <v>197474</v>
      </c>
      <c r="O126" s="397">
        <f>'[7]2002 to 2012'!$F$56</f>
        <v>121803</v>
      </c>
      <c r="P126" s="397">
        <f>'[7]2002 to 2012'!$F$70</f>
        <v>123813.62746201461</v>
      </c>
      <c r="Q126" s="397">
        <f>'[7]2002 to 2012'!$F$84</f>
        <v>100974</v>
      </c>
      <c r="R126" s="397">
        <f>'[7]2002 to 2012'!$F$99</f>
        <v>65335.910294257686</v>
      </c>
      <c r="S126" s="397">
        <f>'[7]2002 to 2012'!$F$113</f>
        <v>5467.0983715836583</v>
      </c>
      <c r="T126" s="795" t="s">
        <v>320</v>
      </c>
      <c r="U126" s="796"/>
      <c r="V126" s="796"/>
      <c r="W126" s="796"/>
      <c r="X126" s="796"/>
    </row>
    <row r="127" spans="1:24" ht="13.5" thickTop="1" x14ac:dyDescent="0.2">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row>
  </sheetData>
  <mergeCells count="8">
    <mergeCell ref="B6:L6"/>
    <mergeCell ref="B66:L66"/>
    <mergeCell ref="B86:L86"/>
    <mergeCell ref="B126:L126"/>
    <mergeCell ref="T126:X126"/>
    <mergeCell ref="B26:L26"/>
    <mergeCell ref="B46:L46"/>
    <mergeCell ref="B106:L106"/>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Q30"/>
  <sheetViews>
    <sheetView workbookViewId="0">
      <selection activeCell="H32" sqref="H32"/>
    </sheetView>
  </sheetViews>
  <sheetFormatPr defaultRowHeight="12.75" x14ac:dyDescent="0.2"/>
  <cols>
    <col min="1" max="1" width="28.28515625" bestFit="1" customWidth="1"/>
    <col min="2" max="2" width="14" bestFit="1" customWidth="1"/>
    <col min="3" max="3" width="12.85546875" bestFit="1" customWidth="1"/>
    <col min="4" max="4" width="12.28515625" bestFit="1" customWidth="1"/>
    <col min="5" max="5" width="3.7109375" customWidth="1"/>
    <col min="6" max="6" width="14.140625" bestFit="1" customWidth="1"/>
    <col min="9" max="9" width="12.28515625" customWidth="1"/>
    <col min="10" max="10" width="14" customWidth="1"/>
    <col min="15" max="15" width="11.28515625" bestFit="1" customWidth="1"/>
  </cols>
  <sheetData>
    <row r="1" spans="1:17" ht="13.5" thickBot="1" x14ac:dyDescent="0.25">
      <c r="A1" s="797" t="s">
        <v>394</v>
      </c>
      <c r="B1" s="798"/>
      <c r="C1" s="798"/>
      <c r="D1" s="799"/>
      <c r="F1" s="797" t="s">
        <v>397</v>
      </c>
      <c r="G1" s="799"/>
      <c r="I1" s="797" t="s">
        <v>402</v>
      </c>
      <c r="J1" s="799"/>
    </row>
    <row r="2" spans="1:17" ht="52.5" thickBot="1" x14ac:dyDescent="0.3">
      <c r="A2" s="161" t="s">
        <v>375</v>
      </c>
      <c r="B2" s="161" t="s">
        <v>392</v>
      </c>
      <c r="C2" s="161" t="s">
        <v>387</v>
      </c>
      <c r="D2" s="161" t="s">
        <v>408</v>
      </c>
      <c r="F2" s="161" t="s">
        <v>388</v>
      </c>
      <c r="G2" s="161" t="s">
        <v>393</v>
      </c>
      <c r="I2" s="161" t="s">
        <v>396</v>
      </c>
      <c r="J2" s="161" t="s">
        <v>398</v>
      </c>
    </row>
    <row r="3" spans="1:17" ht="15" x14ac:dyDescent="0.25">
      <c r="A3" s="540">
        <v>1</v>
      </c>
      <c r="B3" s="543">
        <v>4500</v>
      </c>
      <c r="C3" s="544">
        <v>6</v>
      </c>
      <c r="D3" s="556">
        <v>0.55373894999999995</v>
      </c>
      <c r="F3" s="542">
        <f>365*24*C3/12</f>
        <v>4380</v>
      </c>
      <c r="G3" s="541">
        <f>D3*B3</f>
        <v>2491.8252749999997</v>
      </c>
      <c r="I3" s="545">
        <f>B3*C3</f>
        <v>27000</v>
      </c>
      <c r="J3" s="546">
        <f>F3*G3</f>
        <v>10914194.704499999</v>
      </c>
      <c r="L3" t="s">
        <v>451</v>
      </c>
      <c r="M3" s="592" t="s">
        <v>152</v>
      </c>
      <c r="N3" s="593" t="s">
        <v>153</v>
      </c>
      <c r="O3" s="593" t="s">
        <v>454</v>
      </c>
    </row>
    <row r="4" spans="1:17" s="312" customFormat="1" x14ac:dyDescent="0.2">
      <c r="B4" s="539" t="s">
        <v>389</v>
      </c>
      <c r="C4" s="539" t="s">
        <v>390</v>
      </c>
      <c r="D4" s="539" t="s">
        <v>391</v>
      </c>
      <c r="F4" s="539" t="s">
        <v>395</v>
      </c>
      <c r="G4" s="539" t="s">
        <v>401</v>
      </c>
      <c r="I4" s="539" t="s">
        <v>399</v>
      </c>
      <c r="J4" s="539" t="s">
        <v>400</v>
      </c>
      <c r="L4" t="s">
        <v>452</v>
      </c>
      <c r="M4" s="605">
        <v>45.97</v>
      </c>
      <c r="N4">
        <v>328.41</v>
      </c>
      <c r="O4" s="603">
        <f>N4*12/2</f>
        <v>1970.46</v>
      </c>
    </row>
    <row r="5" spans="1:17" x14ac:dyDescent="0.2">
      <c r="L5" t="s">
        <v>453</v>
      </c>
      <c r="M5" s="605">
        <v>1.38E-2</v>
      </c>
      <c r="N5">
        <v>2.5663999999999998</v>
      </c>
      <c r="O5" s="603">
        <f>N5*I3</f>
        <v>69292.799999999988</v>
      </c>
    </row>
    <row r="6" spans="1:17" ht="26.25" thickBot="1" x14ac:dyDescent="0.25">
      <c r="D6" s="161" t="s">
        <v>406</v>
      </c>
      <c r="L6" t="s">
        <v>9</v>
      </c>
      <c r="O6" s="604">
        <f>SUM(O4:O5)</f>
        <v>71263.259999999995</v>
      </c>
    </row>
    <row r="7" spans="1:17" ht="15.75" thickTop="1" x14ac:dyDescent="0.25">
      <c r="B7" s="549"/>
      <c r="C7" s="555" t="s">
        <v>407</v>
      </c>
      <c r="D7" s="549">
        <f>'Rate Class Load Model'!B34</f>
        <v>2.4738426582961966E-3</v>
      </c>
    </row>
    <row r="8" spans="1:17" x14ac:dyDescent="0.2">
      <c r="B8" s="550"/>
      <c r="C8" s="553" t="s">
        <v>403</v>
      </c>
      <c r="D8" s="552">
        <f>I3/J3</f>
        <v>2.4738426178953642E-3</v>
      </c>
    </row>
    <row r="9" spans="1:17" x14ac:dyDescent="0.2">
      <c r="B9" s="551"/>
      <c r="C9" s="480" t="s">
        <v>256</v>
      </c>
      <c r="D9" s="552">
        <f>D7-D8</f>
        <v>4.0400832419101862E-11</v>
      </c>
    </row>
    <row r="10" spans="1:17" x14ac:dyDescent="0.2">
      <c r="C10" s="480" t="s">
        <v>405</v>
      </c>
      <c r="D10" s="554">
        <f>'Exhibit 3 Tables'!J372</f>
        <v>199308.82985908294</v>
      </c>
    </row>
    <row r="11" spans="1:17" x14ac:dyDescent="0.2">
      <c r="C11" s="480" t="s">
        <v>404</v>
      </c>
      <c r="D11" s="554">
        <f>'Exhibit 3 Tables'!D350</f>
        <v>199308.82985908294</v>
      </c>
    </row>
    <row r="12" spans="1:17" x14ac:dyDescent="0.2">
      <c r="C12" s="480" t="s">
        <v>256</v>
      </c>
      <c r="D12" s="554">
        <f>D10-D11</f>
        <v>0</v>
      </c>
    </row>
    <row r="13" spans="1:17" ht="13.5" thickBot="1" x14ac:dyDescent="0.25"/>
    <row r="14" spans="1:17" x14ac:dyDescent="0.2">
      <c r="A14" s="610" t="s">
        <v>457</v>
      </c>
      <c r="B14" s="611"/>
      <c r="C14" s="611"/>
      <c r="D14" s="612"/>
    </row>
    <row r="15" spans="1:17" ht="13.5" thickBot="1" x14ac:dyDescent="0.25">
      <c r="A15" s="613"/>
      <c r="B15" s="614"/>
      <c r="C15" s="614"/>
      <c r="D15" s="615"/>
      <c r="Q15" s="528" t="s">
        <v>189</v>
      </c>
    </row>
    <row r="16" spans="1:17" x14ac:dyDescent="0.2">
      <c r="A16" s="591" t="s">
        <v>449</v>
      </c>
      <c r="B16" s="592" t="s">
        <v>152</v>
      </c>
      <c r="C16" s="593" t="s">
        <v>153</v>
      </c>
      <c r="D16" s="615"/>
    </row>
    <row r="17" spans="1:10" x14ac:dyDescent="0.2">
      <c r="A17" s="589" t="s">
        <v>450</v>
      </c>
      <c r="B17" s="596">
        <v>0</v>
      </c>
      <c r="C17" s="597">
        <v>0</v>
      </c>
      <c r="D17" s="615"/>
    </row>
    <row r="18" spans="1:10" x14ac:dyDescent="0.2">
      <c r="A18" s="589" t="s">
        <v>446</v>
      </c>
      <c r="B18" s="596">
        <f>[22]Sheet1!$C$20</f>
        <v>89</v>
      </c>
      <c r="C18" s="597">
        <f>[22]Sheet1!$D$20</f>
        <v>2</v>
      </c>
      <c r="D18" s="615"/>
    </row>
    <row r="19" spans="1:10" x14ac:dyDescent="0.2">
      <c r="A19" s="589" t="s">
        <v>447</v>
      </c>
      <c r="B19" s="599">
        <f>[22]Sheet1!$O$20</f>
        <v>3744552.2687999993</v>
      </c>
      <c r="C19" s="598">
        <f>[22]Sheet1!$P$20</f>
        <v>151969.91666666672</v>
      </c>
      <c r="D19" s="615"/>
    </row>
    <row r="20" spans="1:10" ht="13.5" thickBot="1" x14ac:dyDescent="0.25">
      <c r="A20" s="590" t="s">
        <v>448</v>
      </c>
      <c r="B20" s="600"/>
      <c r="C20" s="601">
        <f>[22]Sheet1!$Q$20</f>
        <v>0</v>
      </c>
      <c r="D20" s="615"/>
      <c r="F20" s="594">
        <f>C20/C19</f>
        <v>0</v>
      </c>
      <c r="J20" s="609"/>
    </row>
    <row r="21" spans="1:10" x14ac:dyDescent="0.2">
      <c r="A21" s="613"/>
      <c r="B21" s="614"/>
      <c r="C21" s="614"/>
      <c r="D21" s="615"/>
    </row>
    <row r="22" spans="1:10" ht="13.5" thickBot="1" x14ac:dyDescent="0.25">
      <c r="A22" s="616"/>
      <c r="B22" s="617"/>
      <c r="C22" s="617"/>
      <c r="D22" s="618"/>
    </row>
    <row r="23" spans="1:10" x14ac:dyDescent="0.2">
      <c r="A23" s="626" t="s">
        <v>456</v>
      </c>
      <c r="B23" s="592" t="s">
        <v>152</v>
      </c>
      <c r="C23" s="593" t="s">
        <v>153</v>
      </c>
      <c r="D23" s="593" t="s">
        <v>454</v>
      </c>
    </row>
    <row r="24" spans="1:10" x14ac:dyDescent="0.2">
      <c r="A24" s="616" t="s">
        <v>452</v>
      </c>
      <c r="B24" s="617">
        <v>45.97</v>
      </c>
      <c r="C24" s="617">
        <v>328.41</v>
      </c>
      <c r="D24" s="619">
        <f>C24*C18/2*12+B24*B18/2*12</f>
        <v>28488.9</v>
      </c>
    </row>
    <row r="25" spans="1:10" x14ac:dyDescent="0.2">
      <c r="A25" s="620" t="s">
        <v>455</v>
      </c>
      <c r="B25" s="617">
        <v>1.38E-2</v>
      </c>
      <c r="C25" s="617">
        <v>2.5663999999999998</v>
      </c>
      <c r="D25" s="619">
        <f>B25*B19+C25*C19</f>
        <v>441690.41544277343</v>
      </c>
    </row>
    <row r="26" spans="1:10" ht="13.5" thickBot="1" x14ac:dyDescent="0.25">
      <c r="A26" s="616" t="s">
        <v>9</v>
      </c>
      <c r="B26" s="617"/>
      <c r="C26" s="617"/>
      <c r="D26" s="621">
        <f>SUM(D24:D25)</f>
        <v>470179.31544277346</v>
      </c>
    </row>
    <row r="27" spans="1:10" ht="13.5" thickTop="1" x14ac:dyDescent="0.2">
      <c r="A27" s="626" t="s">
        <v>454</v>
      </c>
      <c r="B27" s="617"/>
      <c r="C27" s="617"/>
      <c r="D27" s="618"/>
    </row>
    <row r="28" spans="1:10" x14ac:dyDescent="0.2">
      <c r="A28" s="616" t="s">
        <v>452</v>
      </c>
      <c r="B28" s="622">
        <f>B24*B18*12/2</f>
        <v>24547.98</v>
      </c>
      <c r="C28" s="622">
        <f>C24*C18*12/2</f>
        <v>3940.92</v>
      </c>
      <c r="D28" s="619">
        <f>C28+B28</f>
        <v>28488.9</v>
      </c>
    </row>
    <row r="29" spans="1:10" x14ac:dyDescent="0.2">
      <c r="A29" s="620" t="s">
        <v>455</v>
      </c>
      <c r="B29" s="622">
        <f>B25*B19</f>
        <v>51674.821309439991</v>
      </c>
      <c r="C29" s="622">
        <f>C25*C19</f>
        <v>390015.59413333342</v>
      </c>
      <c r="D29" s="619">
        <f>C29+B29</f>
        <v>441690.41544277343</v>
      </c>
    </row>
    <row r="30" spans="1:10" ht="13.5" thickBot="1" x14ac:dyDescent="0.25">
      <c r="A30" s="623"/>
      <c r="B30" s="624">
        <f t="shared" ref="B30:C30" si="0">SUM(B28:B29)</f>
        <v>76222.801309439994</v>
      </c>
      <c r="C30" s="624">
        <f t="shared" si="0"/>
        <v>393956.5141333334</v>
      </c>
      <c r="D30" s="625">
        <f>SUM(D28:D29)</f>
        <v>470179.31544277346</v>
      </c>
    </row>
  </sheetData>
  <mergeCells count="3">
    <mergeCell ref="A1:D1"/>
    <mergeCell ref="F1:G1"/>
    <mergeCell ref="I1:J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
  <sheetViews>
    <sheetView workbookViewId="0">
      <selection activeCell="L40" sqref="L40"/>
    </sheetView>
  </sheetViews>
  <sheetFormatPr defaultRowHeight="12.75" x14ac:dyDescent="0.2"/>
  <cols>
    <col min="1" max="1" width="29" bestFit="1" customWidth="1"/>
    <col min="2" max="2" width="10.28515625" bestFit="1" customWidth="1"/>
    <col min="3" max="3" width="9.42578125" customWidth="1"/>
    <col min="4" max="4" width="13.140625" customWidth="1"/>
  </cols>
  <sheetData>
    <row r="1" spans="1:4" ht="38.25" x14ac:dyDescent="0.2">
      <c r="A1" s="629" t="s">
        <v>458</v>
      </c>
      <c r="B1" s="630" t="s">
        <v>462</v>
      </c>
      <c r="C1" s="634" t="s">
        <v>463</v>
      </c>
      <c r="D1" s="631" t="s">
        <v>464</v>
      </c>
    </row>
    <row r="2" spans="1:4" x14ac:dyDescent="0.2">
      <c r="A2" s="632" t="s">
        <v>459</v>
      </c>
      <c r="B2" s="596">
        <v>0</v>
      </c>
      <c r="C2" s="596">
        <v>0</v>
      </c>
      <c r="D2" s="597">
        <f>C2+B2</f>
        <v>0</v>
      </c>
    </row>
    <row r="3" spans="1:4" x14ac:dyDescent="0.2">
      <c r="A3" s="632" t="s">
        <v>460</v>
      </c>
      <c r="B3" s="596">
        <v>3</v>
      </c>
      <c r="C3" s="596">
        <v>1</v>
      </c>
      <c r="D3" s="597">
        <f t="shared" ref="D3:D4" si="0">C3+B3</f>
        <v>4</v>
      </c>
    </row>
    <row r="4" spans="1:4" ht="13.5" thickBot="1" x14ac:dyDescent="0.25">
      <c r="A4" s="633" t="s">
        <v>461</v>
      </c>
      <c r="B4" s="628">
        <v>5</v>
      </c>
      <c r="C4" s="628">
        <v>1</v>
      </c>
      <c r="D4" s="627">
        <f t="shared" si="0"/>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O336"/>
  <sheetViews>
    <sheetView workbookViewId="0">
      <selection activeCell="O3" sqref="O3"/>
    </sheetView>
  </sheetViews>
  <sheetFormatPr defaultRowHeight="12.75" x14ac:dyDescent="0.2"/>
  <cols>
    <col min="1" max="1" width="12.7109375" bestFit="1" customWidth="1"/>
    <col min="2" max="2" width="18" style="6" customWidth="1"/>
    <col min="3" max="3" width="11.7109375" style="312" customWidth="1"/>
    <col min="4" max="4" width="13.42578125" style="312" customWidth="1"/>
    <col min="5" max="5" width="12.42578125" style="1" hidden="1" customWidth="1"/>
    <col min="6" max="6" width="10.140625" style="1" customWidth="1"/>
    <col min="7" max="7" width="12.42578125" style="1" hidden="1" customWidth="1"/>
    <col min="8" max="9" width="12.42578125" style="312" customWidth="1"/>
    <col min="10" max="10" width="12.42578125" style="312" hidden="1" customWidth="1"/>
    <col min="11" max="11" width="12.42578125" style="1" hidden="1" customWidth="1"/>
    <col min="12" max="12" width="12.42578125" style="312" hidden="1" customWidth="1"/>
    <col min="13" max="13" width="12.42578125" style="24" customWidth="1"/>
    <col min="14" max="14" width="12.140625" hidden="1" customWidth="1"/>
    <col min="15" max="15" width="12.7109375" style="37" bestFit="1" customWidth="1"/>
    <col min="16" max="19" width="14.42578125" style="37" hidden="1" customWidth="1"/>
    <col min="20" max="20" width="15.42578125" style="1" bestFit="1" customWidth="1"/>
    <col min="21" max="21" width="17" style="1" customWidth="1"/>
    <col min="22" max="22" width="12.42578125" style="1" customWidth="1"/>
    <col min="23" max="23" width="34.140625" customWidth="1"/>
    <col min="24" max="26" width="18" customWidth="1"/>
    <col min="27" max="27" width="17.140625" customWidth="1"/>
    <col min="28" max="29" width="15.7109375" customWidth="1"/>
    <col min="30" max="30" width="16.140625" customWidth="1"/>
    <col min="31" max="31" width="19.28515625" bestFit="1" customWidth="1"/>
    <col min="32" max="32" width="19.140625" bestFit="1" customWidth="1"/>
    <col min="33" max="33" width="26.140625" bestFit="1" customWidth="1"/>
    <col min="34" max="34" width="23" bestFit="1" customWidth="1"/>
    <col min="35" max="35" width="14.7109375" bestFit="1" customWidth="1"/>
    <col min="36" max="36" width="20.140625" bestFit="1" customWidth="1"/>
    <col min="37" max="37" width="12.140625" bestFit="1" customWidth="1"/>
    <col min="38" max="38" width="21" bestFit="1" customWidth="1"/>
    <col min="39" max="39" width="13.140625" bestFit="1" customWidth="1"/>
  </cols>
  <sheetData>
    <row r="1" spans="1:30" s="336" customFormat="1" ht="22.5" x14ac:dyDescent="0.2">
      <c r="A1" s="376" t="s">
        <v>274</v>
      </c>
      <c r="B1" s="376" t="s">
        <v>273</v>
      </c>
      <c r="C1" s="662" t="s">
        <v>275</v>
      </c>
      <c r="D1" s="663"/>
      <c r="E1" s="662" t="s">
        <v>276</v>
      </c>
      <c r="F1" s="664"/>
      <c r="G1" s="664"/>
      <c r="H1" s="664"/>
      <c r="I1" s="664"/>
      <c r="J1" s="663"/>
      <c r="K1" s="376" t="s">
        <v>281</v>
      </c>
      <c r="L1" s="376" t="s">
        <v>282</v>
      </c>
      <c r="M1" s="376" t="s">
        <v>285</v>
      </c>
      <c r="N1" s="376" t="s">
        <v>286</v>
      </c>
      <c r="O1" s="376" t="s">
        <v>287</v>
      </c>
      <c r="P1" s="659" t="s">
        <v>288</v>
      </c>
      <c r="Q1" s="660"/>
      <c r="R1" s="660"/>
      <c r="S1" s="661"/>
      <c r="T1" s="317"/>
      <c r="U1" s="317"/>
      <c r="V1" s="317"/>
    </row>
    <row r="2" spans="1:30" s="316" customFormat="1" ht="51.75" thickBot="1" x14ac:dyDescent="0.25">
      <c r="B2" s="337" t="s">
        <v>284</v>
      </c>
      <c r="C2" s="337" t="s">
        <v>2</v>
      </c>
      <c r="D2" s="337" t="s">
        <v>3</v>
      </c>
      <c r="E2" s="338" t="s">
        <v>278</v>
      </c>
      <c r="F2" s="338" t="s">
        <v>277</v>
      </c>
      <c r="G2" s="338" t="s">
        <v>18</v>
      </c>
      <c r="H2" s="338" t="s">
        <v>279</v>
      </c>
      <c r="I2" s="338" t="s">
        <v>215</v>
      </c>
      <c r="J2" s="338" t="s">
        <v>217</v>
      </c>
      <c r="K2" s="338" t="s">
        <v>283</v>
      </c>
      <c r="L2" s="338" t="s">
        <v>280</v>
      </c>
      <c r="M2" s="337" t="s">
        <v>74</v>
      </c>
      <c r="N2" s="339" t="s">
        <v>349</v>
      </c>
      <c r="O2" s="339" t="s">
        <v>5</v>
      </c>
      <c r="P2" s="339" t="s">
        <v>308</v>
      </c>
      <c r="Q2" s="339" t="s">
        <v>307</v>
      </c>
      <c r="R2" s="339" t="s">
        <v>309</v>
      </c>
      <c r="S2" s="339" t="s">
        <v>310</v>
      </c>
      <c r="T2" s="484" t="s">
        <v>10</v>
      </c>
      <c r="U2" s="338" t="s">
        <v>11</v>
      </c>
      <c r="V2" s="338" t="s">
        <v>12</v>
      </c>
      <c r="W2" s="316" t="s">
        <v>19</v>
      </c>
      <c r="AD2" s="338" t="s">
        <v>369</v>
      </c>
    </row>
    <row r="3" spans="1:30" ht="15" x14ac:dyDescent="0.25">
      <c r="A3" s="3">
        <v>33604</v>
      </c>
      <c r="B3" s="557">
        <f>'DATA-Purchased Power'!B7</f>
        <v>12404630</v>
      </c>
      <c r="C3" s="557">
        <f>'DATA-Degree Days'!B8</f>
        <v>634.4</v>
      </c>
      <c r="D3" s="557">
        <f>'DATA-Degree Days'!B28</f>
        <v>0</v>
      </c>
      <c r="E3" s="557">
        <f>'DATA-Calendar'!B8</f>
        <v>352</v>
      </c>
      <c r="F3" s="557">
        <f>'DATA-Calendar'!B28</f>
        <v>31</v>
      </c>
      <c r="G3" s="557">
        <f>'DATA-Calendar'!B48</f>
        <v>0</v>
      </c>
      <c r="H3" s="557">
        <f>'DATA-Calendar'!B68</f>
        <v>0</v>
      </c>
      <c r="I3" s="557">
        <f>'DATA-Calendar'!B87</f>
        <v>0</v>
      </c>
      <c r="J3" s="557">
        <f>'DATA-Calendar'!B106</f>
        <v>0</v>
      </c>
      <c r="K3" s="557">
        <f>'DATA-Customers'!B25</f>
        <v>5678.9529306599879</v>
      </c>
      <c r="L3" s="557">
        <f>'DATA-Population'!B8</f>
        <v>12979.420817421558</v>
      </c>
      <c r="M3" s="557">
        <v>0</v>
      </c>
      <c r="N3" s="558">
        <f>'DATA-GDP Qrtly'!C80</f>
        <v>83.686789096048116</v>
      </c>
      <c r="O3" s="558">
        <f>'DATA-GDP Annual'!D6</f>
        <v>84.786892247640637</v>
      </c>
      <c r="P3" s="373"/>
      <c r="Q3" s="373"/>
      <c r="R3" s="373"/>
      <c r="S3" s="373"/>
      <c r="T3" s="12"/>
      <c r="U3" s="12"/>
      <c r="V3" s="12"/>
      <c r="W3" s="56" t="s">
        <v>20</v>
      </c>
      <c r="X3" s="56"/>
    </row>
    <row r="4" spans="1:30" ht="15" x14ac:dyDescent="0.25">
      <c r="A4" s="3">
        <v>33635</v>
      </c>
      <c r="B4" s="557">
        <f>'DATA-Purchased Power'!B8</f>
        <v>10898592</v>
      </c>
      <c r="C4" s="557">
        <f>'DATA-Degree Days'!B9</f>
        <v>582.20000000000005</v>
      </c>
      <c r="D4" s="557">
        <f>'DATA-Degree Days'!B29</f>
        <v>0</v>
      </c>
      <c r="E4" s="557">
        <f>'DATA-Calendar'!B9</f>
        <v>320</v>
      </c>
      <c r="F4" s="557">
        <f>'DATA-Calendar'!B29</f>
        <v>29</v>
      </c>
      <c r="G4" s="557">
        <f>'DATA-Calendar'!B49</f>
        <v>0</v>
      </c>
      <c r="H4" s="557">
        <f>'DATA-Calendar'!B69</f>
        <v>0</v>
      </c>
      <c r="I4" s="557">
        <f>'DATA-Calendar'!B88</f>
        <v>0</v>
      </c>
      <c r="J4" s="557">
        <f>'DATA-Calendar'!B107</f>
        <v>0</v>
      </c>
      <c r="K4" s="557">
        <f>'DATA-Customers'!B26</f>
        <v>5685.914384459039</v>
      </c>
      <c r="L4" s="557">
        <f>'DATA-Population'!B9</f>
        <v>12984.345542822364</v>
      </c>
      <c r="M4" s="557">
        <v>0</v>
      </c>
      <c r="N4" s="558">
        <f>'DATA-GDP Qrtly'!C81</f>
        <v>83.751841090324021</v>
      </c>
      <c r="O4" s="558">
        <f>'DATA-GDP Annual'!D7</f>
        <v>84.84928948001577</v>
      </c>
      <c r="P4" s="373"/>
      <c r="Q4" s="373"/>
      <c r="R4" s="373"/>
      <c r="S4" s="373"/>
      <c r="T4" s="12"/>
      <c r="U4" s="12"/>
      <c r="V4" s="12"/>
      <c r="W4" s="39" t="s">
        <v>21</v>
      </c>
      <c r="X4" s="575">
        <f>[6]EXCEL!$B$4</f>
        <v>0.98338766001559264</v>
      </c>
    </row>
    <row r="5" spans="1:30" ht="15" x14ac:dyDescent="0.25">
      <c r="A5" s="3">
        <v>33664</v>
      </c>
      <c r="B5" s="557">
        <f>'DATA-Purchased Power'!B9</f>
        <v>11298721</v>
      </c>
      <c r="C5" s="557">
        <f>'DATA-Degree Days'!B10</f>
        <v>556</v>
      </c>
      <c r="D5" s="557">
        <f>'DATA-Degree Days'!B30</f>
        <v>0</v>
      </c>
      <c r="E5" s="557">
        <f>'DATA-Calendar'!B10</f>
        <v>352</v>
      </c>
      <c r="F5" s="557">
        <f>'DATA-Calendar'!B30</f>
        <v>31</v>
      </c>
      <c r="G5" s="557">
        <f>'DATA-Calendar'!B50</f>
        <v>1</v>
      </c>
      <c r="H5" s="557">
        <f>'DATA-Calendar'!B70</f>
        <v>0</v>
      </c>
      <c r="I5" s="557">
        <f>'DATA-Calendar'!B89</f>
        <v>1</v>
      </c>
      <c r="J5" s="557">
        <f>'DATA-Calendar'!B108</f>
        <v>0</v>
      </c>
      <c r="K5" s="557">
        <f>'DATA-Customers'!B27</f>
        <v>5692.8843718451062</v>
      </c>
      <c r="L5" s="557">
        <f>'DATA-Population'!B10</f>
        <v>12989.272136790391</v>
      </c>
      <c r="M5" s="557">
        <v>0</v>
      </c>
      <c r="N5" s="558">
        <f>'DATA-GDP Qrtly'!C82</f>
        <v>83.816943651266456</v>
      </c>
      <c r="O5" s="558">
        <f>'DATA-GDP Annual'!D8</f>
        <v>84.911732632396991</v>
      </c>
      <c r="P5" s="373"/>
      <c r="Q5" s="373"/>
      <c r="R5" s="373"/>
      <c r="S5" s="373"/>
      <c r="T5" s="12"/>
      <c r="U5" s="12"/>
      <c r="V5" s="12"/>
      <c r="W5" s="39" t="s">
        <v>22</v>
      </c>
      <c r="X5" s="575">
        <f>[6]EXCEL!$B$5</f>
        <v>0.9670512898709428</v>
      </c>
    </row>
    <row r="6" spans="1:30" ht="15" x14ac:dyDescent="0.25">
      <c r="A6" s="3">
        <v>33695</v>
      </c>
      <c r="B6" s="557">
        <f>'DATA-Purchased Power'!B10</f>
        <v>9821830</v>
      </c>
      <c r="C6" s="557">
        <f>'DATA-Degree Days'!B11</f>
        <v>357.5</v>
      </c>
      <c r="D6" s="557">
        <f>'DATA-Degree Days'!B31</f>
        <v>0</v>
      </c>
      <c r="E6" s="557">
        <f>'DATA-Calendar'!B11</f>
        <v>320</v>
      </c>
      <c r="F6" s="557">
        <f>'DATA-Calendar'!B31</f>
        <v>30</v>
      </c>
      <c r="G6" s="557">
        <f>'DATA-Calendar'!B51</f>
        <v>1</v>
      </c>
      <c r="H6" s="557">
        <f>'DATA-Calendar'!B71</f>
        <v>0</v>
      </c>
      <c r="I6" s="557">
        <f>'DATA-Calendar'!B90</f>
        <v>1</v>
      </c>
      <c r="J6" s="557">
        <f>'DATA-Calendar'!B109</f>
        <v>0</v>
      </c>
      <c r="K6" s="557">
        <f>'DATA-Customers'!B28</f>
        <v>5699.8629032789513</v>
      </c>
      <c r="L6" s="557">
        <f>'DATA-Population'!B11</f>
        <v>12994.200600034619</v>
      </c>
      <c r="M6" s="557">
        <v>0</v>
      </c>
      <c r="N6" s="558">
        <f>'DATA-GDP Qrtly'!C83</f>
        <v>83.771468172272975</v>
      </c>
      <c r="O6" s="558">
        <f>'DATA-GDP Annual'!D9</f>
        <v>84.974221738578223</v>
      </c>
      <c r="P6" s="373"/>
      <c r="Q6" s="373"/>
      <c r="R6" s="373"/>
      <c r="S6" s="373"/>
      <c r="T6" s="12"/>
      <c r="U6" s="12"/>
      <c r="V6" s="12"/>
      <c r="W6" s="39" t="s">
        <v>23</v>
      </c>
      <c r="X6" s="575">
        <f>[6]EXCEL!$B$6</f>
        <v>0.96587455022347646</v>
      </c>
    </row>
    <row r="7" spans="1:30" ht="15" x14ac:dyDescent="0.25">
      <c r="A7" s="3">
        <v>33725</v>
      </c>
      <c r="B7" s="557">
        <f>'DATA-Purchased Power'!B11</f>
        <v>9291272</v>
      </c>
      <c r="C7" s="557">
        <f>'DATA-Degree Days'!B12</f>
        <v>167.7</v>
      </c>
      <c r="D7" s="557">
        <f>'DATA-Degree Days'!B32</f>
        <v>4.8</v>
      </c>
      <c r="E7" s="557">
        <f>'DATA-Calendar'!B12</f>
        <v>352</v>
      </c>
      <c r="F7" s="557">
        <f>'DATA-Calendar'!B32</f>
        <v>31</v>
      </c>
      <c r="G7" s="557">
        <f>'DATA-Calendar'!B52</f>
        <v>1</v>
      </c>
      <c r="H7" s="557">
        <f>'DATA-Calendar'!B72</f>
        <v>0</v>
      </c>
      <c r="I7" s="557">
        <f>'DATA-Calendar'!B91</f>
        <v>1</v>
      </c>
      <c r="J7" s="557">
        <f>'DATA-Calendar'!B110</f>
        <v>0</v>
      </c>
      <c r="K7" s="557">
        <f>'DATA-Customers'!B29</f>
        <v>5706.8499892341588</v>
      </c>
      <c r="L7" s="557">
        <f>'DATA-Population'!B12</f>
        <v>12999.130933264301</v>
      </c>
      <c r="M7" s="557">
        <v>0</v>
      </c>
      <c r="N7" s="558">
        <f>'DATA-GDP Qrtly'!C84</f>
        <v>83.726017366324101</v>
      </c>
      <c r="O7" s="558">
        <f>'DATA-GDP Annual'!D10</f>
        <v>85.036756832378245</v>
      </c>
      <c r="P7" s="373"/>
      <c r="Q7" s="373"/>
      <c r="R7" s="373"/>
      <c r="S7" s="373"/>
      <c r="T7" s="12"/>
      <c r="U7" s="12"/>
      <c r="V7" s="12"/>
      <c r="W7" s="39" t="s">
        <v>24</v>
      </c>
      <c r="X7" s="152">
        <f>[6]EXCEL!$B$7</f>
        <v>429065.58266284893</v>
      </c>
    </row>
    <row r="8" spans="1:30" ht="15" x14ac:dyDescent="0.25">
      <c r="A8" s="3">
        <v>33756</v>
      </c>
      <c r="B8" s="557">
        <f>'DATA-Purchased Power'!B12</f>
        <v>9572081</v>
      </c>
      <c r="C8" s="557">
        <f>'DATA-Degree Days'!B13</f>
        <v>56</v>
      </c>
      <c r="D8" s="557">
        <f>'DATA-Degree Days'!B33</f>
        <v>21.2</v>
      </c>
      <c r="E8" s="557">
        <f>'DATA-Calendar'!B13</f>
        <v>352</v>
      </c>
      <c r="F8" s="557">
        <f>'DATA-Calendar'!B33</f>
        <v>30</v>
      </c>
      <c r="G8" s="557">
        <f>'DATA-Calendar'!B53</f>
        <v>0</v>
      </c>
      <c r="H8" s="557">
        <f>'DATA-Calendar'!B73</f>
        <v>0</v>
      </c>
      <c r="I8" s="557">
        <f>'DATA-Calendar'!B92</f>
        <v>0</v>
      </c>
      <c r="J8" s="557">
        <f>'DATA-Calendar'!B111</f>
        <v>0</v>
      </c>
      <c r="K8" s="557">
        <f>'DATA-Customers'!B30</f>
        <v>5713.8456401971525</v>
      </c>
      <c r="L8" s="557">
        <f>'DATA-Population'!B13</f>
        <v>13004.063137188958</v>
      </c>
      <c r="M8" s="557">
        <v>0</v>
      </c>
      <c r="N8" s="558">
        <f>'DATA-GDP Qrtly'!C85</f>
        <v>83.680591220033278</v>
      </c>
      <c r="O8" s="558">
        <f>'DATA-GDP Annual'!D11</f>
        <v>85.099337947640734</v>
      </c>
      <c r="P8" s="373"/>
      <c r="Q8" s="373"/>
      <c r="R8" s="373"/>
      <c r="S8" s="373"/>
      <c r="T8" s="12"/>
      <c r="U8" s="12"/>
      <c r="V8" s="12"/>
      <c r="W8" s="496" t="s">
        <v>368</v>
      </c>
      <c r="X8" s="576">
        <f>ROUND(AD257,2)/100</f>
        <v>2.3199999999999998E-2</v>
      </c>
    </row>
    <row r="9" spans="1:30" ht="15.75" thickBot="1" x14ac:dyDescent="0.3">
      <c r="A9" s="3">
        <v>33786</v>
      </c>
      <c r="B9" s="557">
        <f>'DATA-Purchased Power'!B13</f>
        <v>10768624</v>
      </c>
      <c r="C9" s="557">
        <f>'DATA-Degree Days'!B14</f>
        <v>16.399999999999999</v>
      </c>
      <c r="D9" s="557">
        <f>'DATA-Degree Days'!B34</f>
        <v>41.1</v>
      </c>
      <c r="E9" s="557">
        <f>'DATA-Calendar'!B14</f>
        <v>352</v>
      </c>
      <c r="F9" s="557">
        <f>'DATA-Calendar'!B34</f>
        <v>31</v>
      </c>
      <c r="G9" s="557">
        <f>'DATA-Calendar'!B54</f>
        <v>0</v>
      </c>
      <c r="H9" s="557">
        <f>'DATA-Calendar'!B74</f>
        <v>1</v>
      </c>
      <c r="I9" s="557">
        <f>'DATA-Calendar'!B93</f>
        <v>0</v>
      </c>
      <c r="J9" s="557">
        <f>'DATA-Calendar'!B112</f>
        <v>0</v>
      </c>
      <c r="K9" s="557">
        <f>'DATA-Customers'!B31</f>
        <v>5720.8498666672103</v>
      </c>
      <c r="L9" s="557">
        <f>'DATA-Population'!B14</f>
        <v>13008.997212518378</v>
      </c>
      <c r="M9" s="557">
        <v>0</v>
      </c>
      <c r="N9" s="558">
        <f>'DATA-GDP Qrtly'!C86</f>
        <v>83.486784170522142</v>
      </c>
      <c r="O9" s="558">
        <f>'DATA-GDP Annual'!D12</f>
        <v>85.161965118234278</v>
      </c>
      <c r="P9" s="373"/>
      <c r="Q9" s="373"/>
      <c r="R9" s="373"/>
      <c r="S9" s="373"/>
      <c r="T9" s="12"/>
      <c r="U9" s="12"/>
      <c r="V9" s="12"/>
      <c r="W9" s="54" t="s">
        <v>25</v>
      </c>
      <c r="X9" s="54">
        <f>[6]EXCEL!$B$8</f>
        <v>204</v>
      </c>
    </row>
    <row r="10" spans="1:30" ht="15" x14ac:dyDescent="0.25">
      <c r="A10" s="3">
        <v>33817</v>
      </c>
      <c r="B10" s="557">
        <f>'DATA-Purchased Power'!B14</f>
        <v>11743907</v>
      </c>
      <c r="C10" s="557">
        <f>'DATA-Degree Days'!B15</f>
        <v>20.5</v>
      </c>
      <c r="D10" s="557">
        <f>'DATA-Degree Days'!B35</f>
        <v>46.6</v>
      </c>
      <c r="E10" s="557">
        <f>'DATA-Calendar'!B15</f>
        <v>320</v>
      </c>
      <c r="F10" s="557">
        <f>'DATA-Calendar'!B35</f>
        <v>31</v>
      </c>
      <c r="G10" s="557">
        <f>'DATA-Calendar'!B55</f>
        <v>0</v>
      </c>
      <c r="H10" s="557">
        <f>'DATA-Calendar'!B75</f>
        <v>1</v>
      </c>
      <c r="I10" s="557">
        <f>'DATA-Calendar'!B94</f>
        <v>0</v>
      </c>
      <c r="J10" s="557">
        <f>'DATA-Calendar'!B113</f>
        <v>0</v>
      </c>
      <c r="K10" s="557">
        <f>'DATA-Customers'!B32</f>
        <v>5727.8626791564802</v>
      </c>
      <c r="L10" s="557">
        <f>'DATA-Population'!B15</f>
        <v>13013.93315996262</v>
      </c>
      <c r="M10" s="557">
        <v>0</v>
      </c>
      <c r="N10" s="558">
        <f>'DATA-GDP Qrtly'!C87</f>
        <v>83.293425984623141</v>
      </c>
      <c r="O10" s="558">
        <f>'DATA-GDP Annual'!D13</f>
        <v>85.224638378052376</v>
      </c>
      <c r="P10" s="373"/>
      <c r="Q10" s="373"/>
      <c r="R10" s="373"/>
      <c r="S10" s="373"/>
      <c r="T10" s="12"/>
      <c r="U10" s="12"/>
      <c r="V10" s="12"/>
    </row>
    <row r="11" spans="1:30" ht="15.75" thickBot="1" x14ac:dyDescent="0.3">
      <c r="A11" s="3">
        <v>33848</v>
      </c>
      <c r="B11" s="557">
        <f>'DATA-Purchased Power'!B15</f>
        <v>11259538</v>
      </c>
      <c r="C11" s="557">
        <f>'DATA-Degree Days'!B16</f>
        <v>93.3</v>
      </c>
      <c r="D11" s="557">
        <f>'DATA-Degree Days'!B36</f>
        <v>31.9</v>
      </c>
      <c r="E11" s="557">
        <f>'DATA-Calendar'!B16</f>
        <v>352</v>
      </c>
      <c r="F11" s="557">
        <f>'DATA-Calendar'!B36</f>
        <v>30</v>
      </c>
      <c r="G11" s="557">
        <f>'DATA-Calendar'!B56</f>
        <v>1</v>
      </c>
      <c r="H11" s="557">
        <f>'DATA-Calendar'!B76</f>
        <v>1</v>
      </c>
      <c r="I11" s="557">
        <f>'DATA-Calendar'!B95</f>
        <v>0</v>
      </c>
      <c r="J11" s="557">
        <f>'DATA-Calendar'!B114</f>
        <v>1</v>
      </c>
      <c r="K11" s="557">
        <f>'DATA-Customers'!B33</f>
        <v>5734.8840881899978</v>
      </c>
      <c r="L11" s="557">
        <f>'DATA-Population'!B16</f>
        <v>13018.870980232014</v>
      </c>
      <c r="M11" s="557">
        <v>0</v>
      </c>
      <c r="N11" s="558">
        <f>'DATA-GDP Qrtly'!C88</f>
        <v>83.100515622753136</v>
      </c>
      <c r="O11" s="558">
        <f>'DATA-GDP Annual'!D14</f>
        <v>85.287357761013482</v>
      </c>
      <c r="P11" s="373"/>
      <c r="Q11" s="373"/>
      <c r="R11" s="373"/>
      <c r="S11" s="373"/>
      <c r="T11" s="12"/>
      <c r="U11" s="12"/>
      <c r="V11" s="12"/>
      <c r="W11" t="s">
        <v>26</v>
      </c>
    </row>
    <row r="12" spans="1:30" ht="15" x14ac:dyDescent="0.25">
      <c r="A12" s="3">
        <v>33878</v>
      </c>
      <c r="B12" s="557">
        <f>'DATA-Purchased Power'!B16</f>
        <v>10840516</v>
      </c>
      <c r="C12" s="557">
        <f>'DATA-Degree Days'!B17</f>
        <v>293.2</v>
      </c>
      <c r="D12" s="557">
        <f>'DATA-Degree Days'!B37</f>
        <v>0</v>
      </c>
      <c r="E12" s="557">
        <f>'DATA-Calendar'!B17</f>
        <v>336</v>
      </c>
      <c r="F12" s="557">
        <f>'DATA-Calendar'!B37</f>
        <v>31</v>
      </c>
      <c r="G12" s="557">
        <f>'DATA-Calendar'!B57</f>
        <v>1</v>
      </c>
      <c r="H12" s="557">
        <f>'DATA-Calendar'!B77</f>
        <v>0</v>
      </c>
      <c r="I12" s="557">
        <f>'DATA-Calendar'!B96</f>
        <v>0</v>
      </c>
      <c r="J12" s="557">
        <f>'DATA-Calendar'!B115</f>
        <v>1</v>
      </c>
      <c r="K12" s="557">
        <f>'DATA-Customers'!B34</f>
        <v>5741.9141043056989</v>
      </c>
      <c r="L12" s="557">
        <f>'DATA-Population'!B17</f>
        <v>13023.810674037157</v>
      </c>
      <c r="M12" s="557">
        <v>0</v>
      </c>
      <c r="N12" s="558">
        <f>'DATA-GDP Qrtly'!C89</f>
        <v>83.461439532571575</v>
      </c>
      <c r="O12" s="558">
        <f>'DATA-GDP Annual'!D15</f>
        <v>85.350123301061018</v>
      </c>
      <c r="P12" s="373"/>
      <c r="Q12" s="373"/>
      <c r="R12" s="373"/>
      <c r="S12" s="373"/>
      <c r="T12" s="12"/>
      <c r="U12" s="12"/>
      <c r="V12" s="12"/>
      <c r="W12" s="55"/>
      <c r="X12" s="55" t="s">
        <v>30</v>
      </c>
      <c r="Y12" s="55" t="s">
        <v>31</v>
      </c>
      <c r="Z12" s="55" t="s">
        <v>32</v>
      </c>
      <c r="AA12" s="55" t="s">
        <v>33</v>
      </c>
      <c r="AB12" s="55" t="s">
        <v>34</v>
      </c>
    </row>
    <row r="13" spans="1:30" ht="15" x14ac:dyDescent="0.25">
      <c r="A13" s="3">
        <v>33909</v>
      </c>
      <c r="B13" s="557">
        <f>'DATA-Purchased Power'!B17</f>
        <v>11084819</v>
      </c>
      <c r="C13" s="557">
        <f>'DATA-Degree Days'!B18</f>
        <v>413.1</v>
      </c>
      <c r="D13" s="557">
        <f>'DATA-Degree Days'!B38</f>
        <v>0</v>
      </c>
      <c r="E13" s="557">
        <f>'DATA-Calendar'!B18</f>
        <v>336</v>
      </c>
      <c r="F13" s="557">
        <f>'DATA-Calendar'!B38</f>
        <v>30</v>
      </c>
      <c r="G13" s="557">
        <f>'DATA-Calendar'!B58</f>
        <v>1</v>
      </c>
      <c r="H13" s="557">
        <f>'DATA-Calendar'!B78</f>
        <v>0</v>
      </c>
      <c r="I13" s="557">
        <f>'DATA-Calendar'!B97</f>
        <v>0</v>
      </c>
      <c r="J13" s="557">
        <f>'DATA-Calendar'!B116</f>
        <v>1</v>
      </c>
      <c r="K13" s="557">
        <f>'DATA-Customers'!B35</f>
        <v>5748.9527380544378</v>
      </c>
      <c r="L13" s="557">
        <f>'DATA-Population'!B18</f>
        <v>13028.752242088916</v>
      </c>
      <c r="M13" s="557">
        <v>0</v>
      </c>
      <c r="N13" s="558">
        <f>'DATA-GDP Qrtly'!C90</f>
        <v>83.82393101471736</v>
      </c>
      <c r="O13" s="558">
        <f>'DATA-GDP Annual'!D16</f>
        <v>85.412935032163361</v>
      </c>
      <c r="P13" s="373"/>
      <c r="Q13" s="373"/>
      <c r="R13" s="373"/>
      <c r="S13" s="373"/>
      <c r="T13" s="12"/>
      <c r="U13" s="12"/>
      <c r="V13" s="12"/>
      <c r="W13" s="39" t="s">
        <v>27</v>
      </c>
      <c r="X13" s="39">
        <f>[6]XLSTAT!N65</f>
        <v>7</v>
      </c>
      <c r="Y13" s="39">
        <f>[6]XLSTAT!O65</f>
        <v>1059045259667958.4</v>
      </c>
      <c r="Z13" s="39">
        <f>[6]XLSTAT!P65</f>
        <v>151292179952565.47</v>
      </c>
      <c r="AA13" s="39">
        <f>[6]XLSTAT!Q65</f>
        <v>821.80564915371008</v>
      </c>
      <c r="AB13" s="39" t="str">
        <f>[6]XLSTAT!R65</f>
        <v>&lt; 0.0001</v>
      </c>
    </row>
    <row r="14" spans="1:30" ht="15" x14ac:dyDescent="0.25">
      <c r="A14" s="3">
        <v>33939</v>
      </c>
      <c r="B14" s="557">
        <f>'DATA-Purchased Power'!B18</f>
        <v>12003053</v>
      </c>
      <c r="C14" s="557">
        <f>'DATA-Degree Days'!B19</f>
        <v>568.5</v>
      </c>
      <c r="D14" s="557">
        <f>'DATA-Degree Days'!B39</f>
        <v>0</v>
      </c>
      <c r="E14" s="557">
        <f>'DATA-Calendar'!B19</f>
        <v>336</v>
      </c>
      <c r="F14" s="557">
        <f>'DATA-Calendar'!B39</f>
        <v>31</v>
      </c>
      <c r="G14" s="557">
        <f>'DATA-Calendar'!B59</f>
        <v>0</v>
      </c>
      <c r="H14" s="557">
        <f>'DATA-Calendar'!B79</f>
        <v>0</v>
      </c>
      <c r="I14" s="557">
        <f>'DATA-Calendar'!B98</f>
        <v>0</v>
      </c>
      <c r="J14" s="557">
        <f>'DATA-Calendar'!B117</f>
        <v>0</v>
      </c>
      <c r="K14" s="557">
        <f>'DATA-Customers'!B36</f>
        <v>5756</v>
      </c>
      <c r="L14" s="557">
        <f>'DATA-Population'!B19</f>
        <v>13033.69568509843</v>
      </c>
      <c r="M14" s="557">
        <v>0</v>
      </c>
      <c r="N14" s="558">
        <f>'DATA-GDP Qrtly'!C91</f>
        <v>84.18799687750365</v>
      </c>
      <c r="O14" s="558">
        <f>'DATA-GDP Annual'!D17</f>
        <v>85.47579298831387</v>
      </c>
      <c r="P14" s="373"/>
      <c r="Q14" s="373"/>
      <c r="R14" s="373"/>
      <c r="S14" s="373"/>
      <c r="T14" s="12"/>
      <c r="U14" s="12"/>
      <c r="V14" s="12"/>
      <c r="W14" s="39" t="s">
        <v>28</v>
      </c>
      <c r="X14" s="39">
        <f>[6]XLSTAT!N66</f>
        <v>196</v>
      </c>
      <c r="Y14" s="39">
        <f>[6]XLSTAT!O66</f>
        <v>36083065748257.594</v>
      </c>
      <c r="Z14" s="39">
        <f>[6]XLSTAT!P66</f>
        <v>184097274225.80405</v>
      </c>
      <c r="AA14" s="39"/>
      <c r="AB14" s="39"/>
    </row>
    <row r="15" spans="1:30" ht="15.75" thickBot="1" x14ac:dyDescent="0.3">
      <c r="A15" s="3">
        <v>33970</v>
      </c>
      <c r="B15" s="557">
        <f>'DATA-Purchased Power'!C7</f>
        <v>11893018</v>
      </c>
      <c r="C15" s="557">
        <f>'DATA-Degree Days'!C8</f>
        <v>615.5</v>
      </c>
      <c r="D15" s="557">
        <f>'DATA-Degree Days'!C28</f>
        <v>0</v>
      </c>
      <c r="E15" s="557">
        <f>'DATA-Calendar'!C8</f>
        <v>320</v>
      </c>
      <c r="F15" s="557">
        <f>'DATA-Calendar'!C28</f>
        <v>31</v>
      </c>
      <c r="G15" s="557">
        <f>'DATA-Calendar'!C48</f>
        <v>0</v>
      </c>
      <c r="H15" s="557">
        <f>'DATA-Calendar'!C68</f>
        <v>0</v>
      </c>
      <c r="I15" s="557">
        <f>'DATA-Calendar'!C87</f>
        <v>0</v>
      </c>
      <c r="J15" s="557">
        <f>'DATA-Calendar'!C106</f>
        <v>0</v>
      </c>
      <c r="K15" s="557">
        <f>'DATA-Customers'!C25</f>
        <v>5764.2677047675043</v>
      </c>
      <c r="L15" s="557">
        <f>'DATA-Population'!C8</f>
        <v>13038.641003777104</v>
      </c>
      <c r="M15" s="557">
        <v>0</v>
      </c>
      <c r="N15" s="558">
        <f>'DATA-GDP Qrtly'!D80</f>
        <v>84.019637930681753</v>
      </c>
      <c r="O15" s="558">
        <f>'DATA-GDP Annual'!E6</f>
        <v>85.545043949434969</v>
      </c>
      <c r="P15" s="373"/>
      <c r="Q15" s="373"/>
      <c r="R15" s="373"/>
      <c r="S15" s="373"/>
      <c r="T15" s="12"/>
      <c r="U15" s="12"/>
      <c r="V15" s="12"/>
      <c r="W15" s="54" t="s">
        <v>9</v>
      </c>
      <c r="X15" s="54">
        <f>[6]XLSTAT!N67</f>
        <v>203</v>
      </c>
      <c r="Y15" s="54">
        <f>[6]XLSTAT!O67</f>
        <v>1095128325416216</v>
      </c>
      <c r="Z15" s="54"/>
      <c r="AA15" s="54"/>
      <c r="AB15" s="54"/>
    </row>
    <row r="16" spans="1:30" ht="15.75" thickBot="1" x14ac:dyDescent="0.3">
      <c r="A16" s="3">
        <v>34001</v>
      </c>
      <c r="B16" s="557">
        <f>'DATA-Purchased Power'!C8</f>
        <v>10954358</v>
      </c>
      <c r="C16" s="557">
        <f>'DATA-Degree Days'!C9</f>
        <v>692.9</v>
      </c>
      <c r="D16" s="557">
        <f>'DATA-Degree Days'!C29</f>
        <v>0</v>
      </c>
      <c r="E16" s="557">
        <f>'DATA-Calendar'!C9</f>
        <v>320</v>
      </c>
      <c r="F16" s="557">
        <f>'DATA-Calendar'!C29</f>
        <v>28</v>
      </c>
      <c r="G16" s="557">
        <f>'DATA-Calendar'!C49</f>
        <v>0</v>
      </c>
      <c r="H16" s="557">
        <f>'DATA-Calendar'!C69</f>
        <v>0</v>
      </c>
      <c r="I16" s="557">
        <f>'DATA-Calendar'!C88</f>
        <v>0</v>
      </c>
      <c r="J16" s="557">
        <f>'DATA-Calendar'!C107</f>
        <v>0</v>
      </c>
      <c r="K16" s="557">
        <f>'DATA-Customers'!C26</f>
        <v>5772.5472849592834</v>
      </c>
      <c r="L16" s="557">
        <f>'DATA-Population'!C9</f>
        <v>13043.588198836616</v>
      </c>
      <c r="M16" s="557">
        <v>0</v>
      </c>
      <c r="N16" s="558">
        <f>'DATA-GDP Qrtly'!D81</f>
        <v>83.851615667663083</v>
      </c>
      <c r="O16" s="558">
        <f>'DATA-GDP Annual'!E7</f>
        <v>85.61435101644814</v>
      </c>
      <c r="P16" s="373"/>
      <c r="Q16" s="373"/>
      <c r="R16" s="373"/>
      <c r="S16" s="373"/>
      <c r="T16" s="12"/>
      <c r="U16" s="12"/>
      <c r="V16" s="12"/>
    </row>
    <row r="17" spans="1:29" ht="15" x14ac:dyDescent="0.25">
      <c r="A17" s="3">
        <v>34029</v>
      </c>
      <c r="B17" s="557">
        <f>'DATA-Purchased Power'!C9</f>
        <v>11326647</v>
      </c>
      <c r="C17" s="557">
        <f>'DATA-Degree Days'!C10</f>
        <v>609.5</v>
      </c>
      <c r="D17" s="557">
        <f>'DATA-Degree Days'!C30</f>
        <v>0</v>
      </c>
      <c r="E17" s="557">
        <f>'DATA-Calendar'!C10</f>
        <v>368</v>
      </c>
      <c r="F17" s="557">
        <f>'DATA-Calendar'!C30</f>
        <v>31</v>
      </c>
      <c r="G17" s="557">
        <f>'DATA-Calendar'!C50</f>
        <v>1</v>
      </c>
      <c r="H17" s="557">
        <f>'DATA-Calendar'!C70</f>
        <v>0</v>
      </c>
      <c r="I17" s="557">
        <f>'DATA-Calendar'!C89</f>
        <v>1</v>
      </c>
      <c r="J17" s="557">
        <f>'DATA-Calendar'!C108</f>
        <v>0</v>
      </c>
      <c r="K17" s="557">
        <f>'DATA-Customers'!C27</f>
        <v>5780.838757632755</v>
      </c>
      <c r="L17" s="557">
        <f>'DATA-Population'!C10</f>
        <v>13048.537270988914</v>
      </c>
      <c r="M17" s="557">
        <v>0</v>
      </c>
      <c r="N17" s="558">
        <f>'DATA-GDP Qrtly'!D82</f>
        <v>83.683929415148214</v>
      </c>
      <c r="O17" s="558">
        <f>'DATA-GDP Annual'!E8</f>
        <v>85.683714234809372</v>
      </c>
      <c r="P17" s="373"/>
      <c r="Q17" s="373"/>
      <c r="R17" s="373"/>
      <c r="S17" s="373"/>
      <c r="T17" s="485" t="s">
        <v>351</v>
      </c>
      <c r="U17" s="485" t="s">
        <v>350</v>
      </c>
      <c r="V17"/>
      <c r="W17" s="55"/>
      <c r="X17" s="55" t="s">
        <v>35</v>
      </c>
      <c r="Y17" s="55" t="s">
        <v>24</v>
      </c>
      <c r="Z17" s="55" t="s">
        <v>36</v>
      </c>
      <c r="AA17" s="55" t="s">
        <v>37</v>
      </c>
      <c r="AB17" s="55" t="s">
        <v>38</v>
      </c>
      <c r="AC17" s="55" t="s">
        <v>39</v>
      </c>
    </row>
    <row r="18" spans="1:29" ht="15" x14ac:dyDescent="0.25">
      <c r="A18" s="3">
        <v>34060</v>
      </c>
      <c r="B18" s="557">
        <f>'DATA-Purchased Power'!C10</f>
        <v>9404358</v>
      </c>
      <c r="C18" s="557">
        <f>'DATA-Degree Days'!C11</f>
        <v>317.5</v>
      </c>
      <c r="D18" s="557">
        <f>'DATA-Degree Days'!C31</f>
        <v>0</v>
      </c>
      <c r="E18" s="557">
        <f>'DATA-Calendar'!C11</f>
        <v>320</v>
      </c>
      <c r="F18" s="557">
        <f>'DATA-Calendar'!C31</f>
        <v>30</v>
      </c>
      <c r="G18" s="557">
        <f>'DATA-Calendar'!C51</f>
        <v>1</v>
      </c>
      <c r="H18" s="557">
        <f>'DATA-Calendar'!C71</f>
        <v>0</v>
      </c>
      <c r="I18" s="557">
        <f>'DATA-Calendar'!C90</f>
        <v>1</v>
      </c>
      <c r="J18" s="557">
        <f>'DATA-Calendar'!C109</f>
        <v>0</v>
      </c>
      <c r="K18" s="557">
        <f>'DATA-Customers'!C28</f>
        <v>5789.1421398698385</v>
      </c>
      <c r="L18" s="557">
        <f>'DATA-Population'!C11</f>
        <v>13053.488220946216</v>
      </c>
      <c r="M18" s="557">
        <v>0</v>
      </c>
      <c r="N18" s="558">
        <f>'DATA-GDP Qrtly'!D83</f>
        <v>83.814770294115192</v>
      </c>
      <c r="O18" s="558">
        <f>'DATA-GDP Annual'!E9</f>
        <v>85.753133650011492</v>
      </c>
      <c r="P18" s="373"/>
      <c r="Q18" s="373"/>
      <c r="R18" s="373"/>
      <c r="S18" s="373"/>
      <c r="T18" s="485"/>
      <c r="U18" s="485">
        <v>18</v>
      </c>
      <c r="V18"/>
      <c r="W18" s="488" t="s">
        <v>29</v>
      </c>
      <c r="X18" s="489">
        <f>[6]XLSTAT!N$74</f>
        <v>-15344496.002066933</v>
      </c>
      <c r="Y18" s="489">
        <f>[6]XLSTAT!O$74</f>
        <v>1234248.1451511448</v>
      </c>
      <c r="Z18" s="489">
        <f>[6]XLSTAT!P$74</f>
        <v>-12.432261747647075</v>
      </c>
      <c r="AA18" s="577" t="str">
        <f>[6]XLSTAT!Q$74</f>
        <v>&lt; 0.0001</v>
      </c>
      <c r="AB18" s="489">
        <f>[6]XLSTAT!R$74</f>
        <v>-17778607.64687942</v>
      </c>
      <c r="AC18" s="489">
        <f>[6]XLSTAT!S$74</f>
        <v>-12910384.357254446</v>
      </c>
    </row>
    <row r="19" spans="1:29" ht="15" x14ac:dyDescent="0.25">
      <c r="A19" s="3">
        <v>34090</v>
      </c>
      <c r="B19" s="557">
        <f>'DATA-Purchased Power'!C11</f>
        <v>8816912</v>
      </c>
      <c r="C19" s="557">
        <f>'DATA-Degree Days'!C12</f>
        <v>166.6</v>
      </c>
      <c r="D19" s="557">
        <f>'DATA-Degree Days'!C32</f>
        <v>2.5</v>
      </c>
      <c r="E19" s="557">
        <f>'DATA-Calendar'!C12</f>
        <v>320</v>
      </c>
      <c r="F19" s="557">
        <f>'DATA-Calendar'!C32</f>
        <v>31</v>
      </c>
      <c r="G19" s="557">
        <f>'DATA-Calendar'!C52</f>
        <v>1</v>
      </c>
      <c r="H19" s="557">
        <f>'DATA-Calendar'!C72</f>
        <v>0</v>
      </c>
      <c r="I19" s="557">
        <f>'DATA-Calendar'!C91</f>
        <v>1</v>
      </c>
      <c r="J19" s="557">
        <f>'DATA-Calendar'!C110</f>
        <v>0</v>
      </c>
      <c r="K19" s="557">
        <f>'DATA-Customers'!C29</f>
        <v>5797.4574487769896</v>
      </c>
      <c r="L19" s="557">
        <f>'DATA-Population'!C12</f>
        <v>13058.441049421006</v>
      </c>
      <c r="M19" s="557">
        <v>0</v>
      </c>
      <c r="N19" s="558">
        <f>'DATA-GDP Qrtly'!D84</f>
        <v>83.945815744446449</v>
      </c>
      <c r="O19" s="558">
        <f>'DATA-GDP Annual'!E10</f>
        <v>85.822609307584173</v>
      </c>
      <c r="P19" s="373"/>
      <c r="Q19" s="373"/>
      <c r="R19" s="373"/>
      <c r="S19" s="373"/>
      <c r="T19" s="485" t="s">
        <v>352</v>
      </c>
      <c r="U19" s="485">
        <v>19</v>
      </c>
      <c r="V19"/>
      <c r="W19" s="490" t="s">
        <v>2</v>
      </c>
      <c r="X19" s="489">
        <f>[6]XLSTAT!N$75</f>
        <v>3680.5617562101411</v>
      </c>
      <c r="Y19" s="486">
        <f>[6]XLSTAT!O$75</f>
        <v>190.03726619235874</v>
      </c>
      <c r="Z19" s="487">
        <f>[6]XLSTAT!P$75</f>
        <v>19.367578948881626</v>
      </c>
      <c r="AA19" s="578" t="str">
        <f>[6]XLSTAT!Q$75</f>
        <v>&lt; 0.0001</v>
      </c>
      <c r="AB19" s="486">
        <f>[6]XLSTAT!R$75</f>
        <v>3305.7814299002284</v>
      </c>
      <c r="AC19" s="486">
        <f>[6]XLSTAT!S$75</f>
        <v>4055.3420825200537</v>
      </c>
    </row>
    <row r="20" spans="1:29" ht="15" x14ac:dyDescent="0.25">
      <c r="A20" s="3">
        <v>34121</v>
      </c>
      <c r="B20" s="557">
        <f>'DATA-Purchased Power'!C12</f>
        <v>9383725</v>
      </c>
      <c r="C20" s="557">
        <f>'DATA-Degree Days'!C13</f>
        <v>43.4</v>
      </c>
      <c r="D20" s="557">
        <f>'DATA-Degree Days'!C33</f>
        <v>38.6</v>
      </c>
      <c r="E20" s="557">
        <f>'DATA-Calendar'!C13</f>
        <v>352</v>
      </c>
      <c r="F20" s="557">
        <f>'DATA-Calendar'!C33</f>
        <v>30</v>
      </c>
      <c r="G20" s="557">
        <f>'DATA-Calendar'!C53</f>
        <v>0</v>
      </c>
      <c r="H20" s="557">
        <f>'DATA-Calendar'!C73</f>
        <v>0</v>
      </c>
      <c r="I20" s="557">
        <f>'DATA-Calendar'!C92</f>
        <v>0</v>
      </c>
      <c r="J20" s="557">
        <f>'DATA-Calendar'!C111</f>
        <v>0</v>
      </c>
      <c r="K20" s="557">
        <f>'DATA-Customers'!C30</f>
        <v>5805.784701485235</v>
      </c>
      <c r="L20" s="557">
        <f>'DATA-Population'!C13</f>
        <v>13063.395757126043</v>
      </c>
      <c r="M20" s="557">
        <v>0</v>
      </c>
      <c r="N20" s="558">
        <f>'DATA-GDP Qrtly'!D85</f>
        <v>84.077066085991902</v>
      </c>
      <c r="O20" s="558">
        <f>'DATA-GDP Annual'!E11</f>
        <v>85.892141253093982</v>
      </c>
      <c r="P20" s="373"/>
      <c r="Q20" s="373"/>
      <c r="R20" s="373"/>
      <c r="S20" s="373"/>
      <c r="T20" s="485" t="s">
        <v>353</v>
      </c>
      <c r="U20" s="485">
        <v>20</v>
      </c>
      <c r="V20"/>
      <c r="W20" s="490" t="s">
        <v>3</v>
      </c>
      <c r="X20" s="489">
        <f>[6]XLSTAT!N$76</f>
        <v>32879.06928415304</v>
      </c>
      <c r="Y20" s="486">
        <f>[6]XLSTAT!O$76</f>
        <v>1065.9180106472852</v>
      </c>
      <c r="Z20" s="487">
        <f>[6]XLSTAT!P$76</f>
        <v>30.845777025746123</v>
      </c>
      <c r="AA20" s="578" t="str">
        <f>[6]XLSTAT!Q$76</f>
        <v>&lt; 0.0001</v>
      </c>
      <c r="AB20" s="486">
        <f>[6]XLSTAT!R$76</f>
        <v>30776.92843644353</v>
      </c>
      <c r="AC20" s="486">
        <f>[6]XLSTAT!S$76</f>
        <v>34981.21013186255</v>
      </c>
    </row>
    <row r="21" spans="1:29" ht="15" x14ac:dyDescent="0.25">
      <c r="A21" s="3">
        <v>34151</v>
      </c>
      <c r="B21" s="557">
        <f>'DATA-Purchased Power'!C13</f>
        <v>11854822</v>
      </c>
      <c r="C21" s="557">
        <f>'DATA-Degree Days'!C14</f>
        <v>1.3</v>
      </c>
      <c r="D21" s="557">
        <f>'DATA-Degree Days'!C34</f>
        <v>136.69999999999999</v>
      </c>
      <c r="E21" s="557">
        <f>'DATA-Calendar'!C14</f>
        <v>336</v>
      </c>
      <c r="F21" s="557">
        <f>'DATA-Calendar'!C34</f>
        <v>31</v>
      </c>
      <c r="G21" s="557">
        <f>'DATA-Calendar'!C54</f>
        <v>0</v>
      </c>
      <c r="H21" s="557">
        <f>'DATA-Calendar'!C74</f>
        <v>1</v>
      </c>
      <c r="I21" s="557">
        <f>'DATA-Calendar'!C93</f>
        <v>0</v>
      </c>
      <c r="J21" s="557">
        <f>'DATA-Calendar'!C112</f>
        <v>0</v>
      </c>
      <c r="K21" s="557">
        <f>'DATA-Customers'!C31</f>
        <v>5814.1239151502059</v>
      </c>
      <c r="L21" s="557">
        <f>'DATA-Population'!C14</f>
        <v>13068.352344774357</v>
      </c>
      <c r="M21" s="557">
        <v>0</v>
      </c>
      <c r="N21" s="558">
        <f>'DATA-GDP Qrtly'!D86</f>
        <v>84.372016793147552</v>
      </c>
      <c r="O21" s="558">
        <f>'DATA-GDP Annual'!E12</f>
        <v>85.961729532144389</v>
      </c>
      <c r="P21" s="373"/>
      <c r="Q21" s="373"/>
      <c r="R21" s="373"/>
      <c r="S21" s="373"/>
      <c r="T21" s="485" t="s">
        <v>367</v>
      </c>
      <c r="U21" s="485">
        <v>21</v>
      </c>
      <c r="V21"/>
      <c r="W21" s="491" t="s">
        <v>5</v>
      </c>
      <c r="X21" s="489">
        <f>[6]XLSTAT!N$81</f>
        <v>103951.59910560434</v>
      </c>
      <c r="Y21" s="486">
        <f>[6]XLSTAT!O$81</f>
        <v>2679.0392285937614</v>
      </c>
      <c r="Z21" s="487">
        <f>[6]XLSTAT!P$81</f>
        <v>38.80182044223703</v>
      </c>
      <c r="AA21" s="578" t="str">
        <f>[6]XLSTAT!Q$81</f>
        <v>&lt; 0.0001</v>
      </c>
      <c r="AB21" s="486">
        <f>[6]XLSTAT!R$81</f>
        <v>98668.155408444916</v>
      </c>
      <c r="AC21" s="486">
        <f>[6]XLSTAT!S$81</f>
        <v>109235.04280276377</v>
      </c>
    </row>
    <row r="22" spans="1:29" ht="15" x14ac:dyDescent="0.25">
      <c r="A22" s="3">
        <v>34182</v>
      </c>
      <c r="B22" s="557">
        <f>'DATA-Purchased Power'!C14</f>
        <v>12398437</v>
      </c>
      <c r="C22" s="557">
        <f>'DATA-Degree Days'!C15</f>
        <v>6.8</v>
      </c>
      <c r="D22" s="557">
        <f>'DATA-Degree Days'!C35</f>
        <v>122.5</v>
      </c>
      <c r="E22" s="557">
        <f>'DATA-Calendar'!C15</f>
        <v>336</v>
      </c>
      <c r="F22" s="557">
        <f>'DATA-Calendar'!C35</f>
        <v>31</v>
      </c>
      <c r="G22" s="557">
        <f>'DATA-Calendar'!C55</f>
        <v>0</v>
      </c>
      <c r="H22" s="557">
        <f>'DATA-Calendar'!C75</f>
        <v>1</v>
      </c>
      <c r="I22" s="557">
        <f>'DATA-Calendar'!C94</f>
        <v>0</v>
      </c>
      <c r="J22" s="557">
        <f>'DATA-Calendar'!C113</f>
        <v>0</v>
      </c>
      <c r="K22" s="557">
        <f>'DATA-Customers'!C32</f>
        <v>5822.4751069521781</v>
      </c>
      <c r="L22" s="557">
        <f>'DATA-Population'!C15</f>
        <v>13073.310813079246</v>
      </c>
      <c r="M22" s="557">
        <v>0</v>
      </c>
      <c r="N22" s="558">
        <f>'DATA-GDP Qrtly'!D87</f>
        <v>84.668002216709255</v>
      </c>
      <c r="O22" s="558">
        <f>'DATA-GDP Annual'!E13</f>
        <v>86.031374190375828</v>
      </c>
      <c r="P22" s="373"/>
      <c r="Q22" s="373"/>
      <c r="R22" s="373"/>
      <c r="S22" s="373"/>
      <c r="T22" s="485" t="s">
        <v>354</v>
      </c>
      <c r="U22" s="485">
        <v>22</v>
      </c>
      <c r="V22"/>
      <c r="W22" s="488" t="s">
        <v>215</v>
      </c>
      <c r="X22" s="489">
        <f>[6]XLSTAT!N$79</f>
        <v>-908059.84532999666</v>
      </c>
      <c r="Y22" s="486">
        <f>[6]XLSTAT!O$79</f>
        <v>77415.142630754752</v>
      </c>
      <c r="Z22" s="487">
        <f>[6]XLSTAT!P$79</f>
        <v>-11.729744523770357</v>
      </c>
      <c r="AA22" s="578" t="str">
        <f>[6]XLSTAT!Q$79</f>
        <v>&lt; 0.0001</v>
      </c>
      <c r="AB22" s="486">
        <f>[6]XLSTAT!R$79</f>
        <v>-1060733.4392929545</v>
      </c>
      <c r="AC22" s="486">
        <f>[6]XLSTAT!S$79</f>
        <v>-755386.25136703881</v>
      </c>
    </row>
    <row r="23" spans="1:29" ht="15" x14ac:dyDescent="0.25">
      <c r="A23" s="3">
        <v>34213</v>
      </c>
      <c r="B23" s="557">
        <f>'DATA-Purchased Power'!C15</f>
        <v>10077845</v>
      </c>
      <c r="C23" s="557">
        <f>'DATA-Degree Days'!C16</f>
        <v>112.5</v>
      </c>
      <c r="D23" s="557">
        <f>'DATA-Degree Days'!C36</f>
        <v>25.4</v>
      </c>
      <c r="E23" s="557">
        <f>'DATA-Calendar'!C16</f>
        <v>336</v>
      </c>
      <c r="F23" s="557">
        <f>'DATA-Calendar'!C36</f>
        <v>30</v>
      </c>
      <c r="G23" s="557">
        <f>'DATA-Calendar'!C56</f>
        <v>1</v>
      </c>
      <c r="H23" s="557">
        <f>'DATA-Calendar'!C76</f>
        <v>1</v>
      </c>
      <c r="I23" s="557">
        <f>'DATA-Calendar'!C95</f>
        <v>0</v>
      </c>
      <c r="J23" s="557">
        <f>'DATA-Calendar'!C114</f>
        <v>1</v>
      </c>
      <c r="K23" s="557">
        <f>'DATA-Customers'!C33</f>
        <v>5830.8382940961019</v>
      </c>
      <c r="L23" s="557">
        <f>'DATA-Population'!C16</f>
        <v>13078.271162754278</v>
      </c>
      <c r="M23" s="557">
        <v>0</v>
      </c>
      <c r="N23" s="558">
        <f>'DATA-GDP Qrtly'!D88</f>
        <v>84.965025986565053</v>
      </c>
      <c r="O23" s="558">
        <f>'DATA-GDP Annual'!E14</f>
        <v>86.10107527346571</v>
      </c>
      <c r="P23" s="373"/>
      <c r="Q23" s="373"/>
      <c r="R23" s="373"/>
      <c r="S23" s="373"/>
      <c r="T23" s="485" t="s">
        <v>355</v>
      </c>
      <c r="U23" s="485">
        <v>23</v>
      </c>
      <c r="V23"/>
      <c r="W23" s="488" t="s">
        <v>279</v>
      </c>
      <c r="X23" s="489">
        <f>[6]XLSTAT!N$78</f>
        <v>598193.32544841163</v>
      </c>
      <c r="Y23" s="486">
        <f>[6]XLSTAT!O$78</f>
        <v>120647.94202280573</v>
      </c>
      <c r="Z23" s="487">
        <f>[6]XLSTAT!P$78</f>
        <v>4.958172641977904</v>
      </c>
      <c r="AA23" s="578" t="str">
        <f>[6]XLSTAT!Q$78</f>
        <v>&lt; 0.0001</v>
      </c>
      <c r="AB23" s="486">
        <f>[6]XLSTAT!R$78</f>
        <v>360258.54567654443</v>
      </c>
      <c r="AC23" s="486">
        <f>[6]XLSTAT!S$78</f>
        <v>836128.10522027884</v>
      </c>
    </row>
    <row r="24" spans="1:29" ht="15" x14ac:dyDescent="0.25">
      <c r="A24" s="3">
        <v>34243</v>
      </c>
      <c r="B24" s="557">
        <f>'DATA-Purchased Power'!C16</f>
        <v>9690527</v>
      </c>
      <c r="C24" s="557">
        <f>'DATA-Degree Days'!C17</f>
        <v>280.10000000000002</v>
      </c>
      <c r="D24" s="557">
        <f>'DATA-Degree Days'!C37</f>
        <v>1.4</v>
      </c>
      <c r="E24" s="557">
        <f>'DATA-Calendar'!C17</f>
        <v>336</v>
      </c>
      <c r="F24" s="557">
        <f>'DATA-Calendar'!C37</f>
        <v>31</v>
      </c>
      <c r="G24" s="557">
        <f>'DATA-Calendar'!C57</f>
        <v>1</v>
      </c>
      <c r="H24" s="557">
        <f>'DATA-Calendar'!C77</f>
        <v>0</v>
      </c>
      <c r="I24" s="557">
        <f>'DATA-Calendar'!C96</f>
        <v>0</v>
      </c>
      <c r="J24" s="557">
        <f>'DATA-Calendar'!C115</f>
        <v>1</v>
      </c>
      <c r="K24" s="557">
        <f>'DATA-Customers'!C34</f>
        <v>5839.2134938116415</v>
      </c>
      <c r="L24" s="557">
        <f>'DATA-Population'!C17</f>
        <v>13083.233394513294</v>
      </c>
      <c r="M24" s="557">
        <v>0</v>
      </c>
      <c r="N24" s="558">
        <f>'DATA-GDP Qrtly'!D89</f>
        <v>85.063346126736278</v>
      </c>
      <c r="O24" s="558">
        <f>'DATA-GDP Annual'!E15</f>
        <v>86.17083282712845</v>
      </c>
      <c r="P24" s="373"/>
      <c r="Q24" s="373"/>
      <c r="R24" s="373"/>
      <c r="S24" s="373"/>
      <c r="T24" s="485" t="s">
        <v>356</v>
      </c>
      <c r="U24" s="485">
        <v>24</v>
      </c>
      <c r="V24"/>
      <c r="W24" s="490" t="s">
        <v>74</v>
      </c>
      <c r="X24" s="492">
        <f>[6]XLSTAT!N$80</f>
        <v>-2.2017872935928944</v>
      </c>
      <c r="Y24" s="492">
        <f>[6]XLSTAT!O$80</f>
        <v>0.4070953160719637</v>
      </c>
      <c r="Z24" s="487">
        <f>[6]XLSTAT!P$80</f>
        <v>-5.4085301566173669</v>
      </c>
      <c r="AA24" s="578" t="str">
        <f>[6]XLSTAT!Q$80</f>
        <v>&lt; 0.0001</v>
      </c>
      <c r="AB24" s="492">
        <f>[6]XLSTAT!R$80</f>
        <v>-3.0046367475639517</v>
      </c>
      <c r="AC24" s="492">
        <f>[6]XLSTAT!S$80</f>
        <v>-1.3989378396218373</v>
      </c>
    </row>
    <row r="25" spans="1:29" ht="15.75" thickBot="1" x14ac:dyDescent="0.3">
      <c r="A25" s="3">
        <v>34274</v>
      </c>
      <c r="B25" s="557">
        <f>'DATA-Purchased Power'!C17</f>
        <v>10036675</v>
      </c>
      <c r="C25" s="557">
        <f>'DATA-Degree Days'!C18</f>
        <v>423.6</v>
      </c>
      <c r="D25" s="557">
        <f>'DATA-Degree Days'!C38</f>
        <v>0</v>
      </c>
      <c r="E25" s="557">
        <f>'DATA-Calendar'!C18</f>
        <v>352</v>
      </c>
      <c r="F25" s="557">
        <f>'DATA-Calendar'!C38</f>
        <v>30</v>
      </c>
      <c r="G25" s="557">
        <f>'DATA-Calendar'!C58</f>
        <v>1</v>
      </c>
      <c r="H25" s="557">
        <f>'DATA-Calendar'!C78</f>
        <v>0</v>
      </c>
      <c r="I25" s="557">
        <f>'DATA-Calendar'!C97</f>
        <v>0</v>
      </c>
      <c r="J25" s="557">
        <f>'DATA-Calendar'!C116</f>
        <v>1</v>
      </c>
      <c r="K25" s="557">
        <f>'DATA-Customers'!C35</f>
        <v>5847.6007233532091</v>
      </c>
      <c r="L25" s="557">
        <f>'DATA-Population'!C18</f>
        <v>13088.197509070405</v>
      </c>
      <c r="M25" s="557">
        <v>0</v>
      </c>
      <c r="N25" s="558">
        <f>'DATA-GDP Qrtly'!D90</f>
        <v>85.161780041367663</v>
      </c>
      <c r="O25" s="558">
        <f>'DATA-GDP Annual'!E16</f>
        <v>86.240646897115496</v>
      </c>
      <c r="P25" s="373"/>
      <c r="Q25" s="373"/>
      <c r="R25" s="373"/>
      <c r="S25" s="373"/>
      <c r="T25" s="485" t="s">
        <v>366</v>
      </c>
      <c r="U25" s="485">
        <v>25</v>
      </c>
      <c r="V25"/>
      <c r="W25" s="493" t="s">
        <v>277</v>
      </c>
      <c r="X25" s="523">
        <f>[6]XLSTAT!N$77</f>
        <v>485348.56871051533</v>
      </c>
      <c r="Y25" s="494">
        <f>[6]XLSTAT!O$77</f>
        <v>39412.736953171989</v>
      </c>
      <c r="Z25" s="495">
        <f>[6]XLSTAT!P$77</f>
        <v>12.314510643784505</v>
      </c>
      <c r="AA25" s="579" t="str">
        <f>[6]XLSTAT!Q$77</f>
        <v>&lt; 0.0001</v>
      </c>
      <c r="AB25" s="494">
        <f>[6]XLSTAT!R$77</f>
        <v>407621.08550664206</v>
      </c>
      <c r="AC25" s="494">
        <f>[6]XLSTAT!S$77</f>
        <v>563076.05191438855</v>
      </c>
    </row>
    <row r="26" spans="1:29" ht="15" x14ac:dyDescent="0.25">
      <c r="A26" s="3">
        <v>34304</v>
      </c>
      <c r="B26" s="557">
        <f>'DATA-Purchased Power'!C18</f>
        <v>11205261</v>
      </c>
      <c r="C26" s="557">
        <f>'DATA-Degree Days'!C19</f>
        <v>609.29999999999995</v>
      </c>
      <c r="D26" s="557">
        <f>'DATA-Degree Days'!C39</f>
        <v>0</v>
      </c>
      <c r="E26" s="557">
        <f>'DATA-Calendar'!C19</f>
        <v>336</v>
      </c>
      <c r="F26" s="557">
        <f>'DATA-Calendar'!C39</f>
        <v>31</v>
      </c>
      <c r="G26" s="557">
        <f>'DATA-Calendar'!C59</f>
        <v>0</v>
      </c>
      <c r="H26" s="557">
        <f>'DATA-Calendar'!C79</f>
        <v>0</v>
      </c>
      <c r="I26" s="557">
        <f>'DATA-Calendar'!C98</f>
        <v>0</v>
      </c>
      <c r="J26" s="557">
        <f>'DATA-Calendar'!C117</f>
        <v>0</v>
      </c>
      <c r="K26" s="557">
        <f>'DATA-Customers'!C36</f>
        <v>5856</v>
      </c>
      <c r="L26" s="557">
        <f>'DATA-Population'!C19</f>
        <v>13093.163507139992</v>
      </c>
      <c r="M26" s="557">
        <v>0</v>
      </c>
      <c r="N26" s="558">
        <f>'DATA-GDP Qrtly'!D91</f>
        <v>85.260327862117137</v>
      </c>
      <c r="O26" s="558">
        <f>'DATA-GDP Annual'!E17</f>
        <v>86.31051752921536</v>
      </c>
      <c r="P26" s="373"/>
      <c r="Q26" s="373"/>
      <c r="R26" s="373"/>
      <c r="S26" s="373"/>
      <c r="T26" s="485"/>
      <c r="U26" s="485"/>
      <c r="V26"/>
      <c r="Y26" s="152"/>
      <c r="Z26" s="71"/>
      <c r="AA26" s="39"/>
      <c r="AB26" s="152"/>
      <c r="AC26" s="152"/>
    </row>
    <row r="27" spans="1:29" ht="15" x14ac:dyDescent="0.25">
      <c r="A27" s="3">
        <v>34335</v>
      </c>
      <c r="B27" s="557">
        <f>'DATA-Purchased Power'!D7</f>
        <v>12464719</v>
      </c>
      <c r="C27" s="557">
        <f>'DATA-Degree Days'!D8</f>
        <v>840.2</v>
      </c>
      <c r="D27" s="557">
        <f>'DATA-Degree Days'!D28</f>
        <v>0</v>
      </c>
      <c r="E27" s="557">
        <f>'DATA-Calendar'!D8</f>
        <v>320</v>
      </c>
      <c r="F27" s="557">
        <f>'DATA-Calendar'!D28</f>
        <v>31</v>
      </c>
      <c r="G27" s="557">
        <f>'DATA-Calendar'!D48</f>
        <v>0</v>
      </c>
      <c r="H27" s="557">
        <f>'DATA-Calendar'!D68</f>
        <v>0</v>
      </c>
      <c r="I27" s="557">
        <f>'DATA-Calendar'!D87</f>
        <v>0</v>
      </c>
      <c r="J27" s="557">
        <f>'DATA-Calendar'!D106</f>
        <v>0</v>
      </c>
      <c r="K27" s="557">
        <f>'DATA-Customers'!D25</f>
        <v>5855.3329155430192</v>
      </c>
      <c r="L27" s="557">
        <f>'DATA-Population'!D8</f>
        <v>13098.13138943671</v>
      </c>
      <c r="M27" s="557">
        <v>0</v>
      </c>
      <c r="N27" s="558">
        <f>'DATA-GDP Qrtly'!E80</f>
        <v>85.85735497958332</v>
      </c>
      <c r="O27" s="558">
        <f>'DATA-GDP Annual'!F6</f>
        <v>86.72377734139485</v>
      </c>
      <c r="P27" s="373"/>
      <c r="Q27" s="373"/>
      <c r="R27" s="373"/>
      <c r="S27" s="373"/>
      <c r="T27" s="12"/>
      <c r="U27" s="12"/>
      <c r="V27" s="12"/>
    </row>
    <row r="28" spans="1:29" ht="15" x14ac:dyDescent="0.25">
      <c r="A28" s="3">
        <v>34366</v>
      </c>
      <c r="B28" s="557">
        <f>'DATA-Purchased Power'!D8</f>
        <v>10399869</v>
      </c>
      <c r="C28" s="557">
        <f>'DATA-Degree Days'!D9</f>
        <v>678.1</v>
      </c>
      <c r="D28" s="557">
        <f>'DATA-Degree Days'!D29</f>
        <v>0</v>
      </c>
      <c r="E28" s="557">
        <f>'DATA-Calendar'!D9</f>
        <v>320</v>
      </c>
      <c r="F28" s="557">
        <f>'DATA-Calendar'!D29</f>
        <v>28</v>
      </c>
      <c r="G28" s="557">
        <f>'DATA-Calendar'!D49</f>
        <v>0</v>
      </c>
      <c r="H28" s="557">
        <f>'DATA-Calendar'!D69</f>
        <v>0</v>
      </c>
      <c r="I28" s="557">
        <f>'DATA-Calendar'!D88</f>
        <v>0</v>
      </c>
      <c r="J28" s="557">
        <f>'DATA-Calendar'!D107</f>
        <v>0</v>
      </c>
      <c r="K28" s="557">
        <f>'DATA-Customers'!D26</f>
        <v>5854.665907076761</v>
      </c>
      <c r="L28" s="557">
        <f>'DATA-Population'!D9</f>
        <v>13103.101156675482</v>
      </c>
      <c r="M28" s="557">
        <v>0</v>
      </c>
      <c r="N28" s="558">
        <f>'DATA-GDP Qrtly'!E81</f>
        <v>86.458562721120842</v>
      </c>
      <c r="O28" s="558">
        <f>'DATA-GDP Annual'!F7</f>
        <v>87.139015865755113</v>
      </c>
      <c r="P28" s="373"/>
      <c r="Q28" s="373"/>
      <c r="R28" s="373"/>
      <c r="S28" s="373"/>
      <c r="T28" s="12"/>
      <c r="U28" s="12"/>
      <c r="V28" s="12"/>
    </row>
    <row r="29" spans="1:29" ht="15" x14ac:dyDescent="0.25">
      <c r="A29" s="3">
        <v>34394</v>
      </c>
      <c r="B29" s="557">
        <f>'DATA-Purchased Power'!D9</f>
        <v>10109508</v>
      </c>
      <c r="C29" s="557">
        <f>'DATA-Degree Days'!D10</f>
        <v>553.1</v>
      </c>
      <c r="D29" s="557">
        <f>'DATA-Degree Days'!D30</f>
        <v>0</v>
      </c>
      <c r="E29" s="557">
        <f>'DATA-Calendar'!D10</f>
        <v>368</v>
      </c>
      <c r="F29" s="557">
        <f>'DATA-Calendar'!D30</f>
        <v>31</v>
      </c>
      <c r="G29" s="557">
        <f>'DATA-Calendar'!D50</f>
        <v>1</v>
      </c>
      <c r="H29" s="557">
        <f>'DATA-Calendar'!D70</f>
        <v>0</v>
      </c>
      <c r="I29" s="557">
        <f>'DATA-Calendar'!D89</f>
        <v>1</v>
      </c>
      <c r="J29" s="557">
        <f>'DATA-Calendar'!D108</f>
        <v>0</v>
      </c>
      <c r="K29" s="557">
        <f>'DATA-Customers'!D27</f>
        <v>5853.9989745925695</v>
      </c>
      <c r="L29" s="557">
        <f>'DATA-Population'!D10</f>
        <v>13108.072809571504</v>
      </c>
      <c r="M29" s="557">
        <v>0</v>
      </c>
      <c r="N29" s="558">
        <f>'DATA-GDP Qrtly'!E82</f>
        <v>87.063980361141361</v>
      </c>
      <c r="O29" s="558">
        <f>'DATA-GDP Annual'!F8</f>
        <v>87.556242576485914</v>
      </c>
      <c r="P29" s="373"/>
      <c r="Q29" s="373"/>
      <c r="R29" s="373"/>
      <c r="S29" s="373"/>
      <c r="T29" s="12"/>
      <c r="U29" s="12"/>
      <c r="V29" s="12"/>
    </row>
    <row r="30" spans="1:29" ht="15" x14ac:dyDescent="0.25">
      <c r="A30" s="3">
        <v>34425</v>
      </c>
      <c r="B30" s="557">
        <f>'DATA-Purchased Power'!D10</f>
        <v>8711926</v>
      </c>
      <c r="C30" s="557">
        <f>'DATA-Degree Days'!D11</f>
        <v>295.10000000000002</v>
      </c>
      <c r="D30" s="557">
        <f>'DATA-Degree Days'!D31</f>
        <v>0</v>
      </c>
      <c r="E30" s="557">
        <f>'DATA-Calendar'!D11</f>
        <v>304</v>
      </c>
      <c r="F30" s="557">
        <f>'DATA-Calendar'!D31</f>
        <v>30</v>
      </c>
      <c r="G30" s="557">
        <f>'DATA-Calendar'!D51</f>
        <v>1</v>
      </c>
      <c r="H30" s="557">
        <f>'DATA-Calendar'!D71</f>
        <v>0</v>
      </c>
      <c r="I30" s="557">
        <f>'DATA-Calendar'!D90</f>
        <v>1</v>
      </c>
      <c r="J30" s="557">
        <f>'DATA-Calendar'!D109</f>
        <v>0</v>
      </c>
      <c r="K30" s="557">
        <f>'DATA-Customers'!D28</f>
        <v>5853.3321180817884</v>
      </c>
      <c r="L30" s="557">
        <f>'DATA-Population'!D11</f>
        <v>13113.04634884024</v>
      </c>
      <c r="M30" s="557">
        <v>0</v>
      </c>
      <c r="N30" s="558">
        <f>'DATA-GDP Qrtly'!E83</f>
        <v>87.585460854523546</v>
      </c>
      <c r="O30" s="558">
        <f>'DATA-GDP Annual'!F9</f>
        <v>87.975466993140046</v>
      </c>
      <c r="P30" s="373"/>
      <c r="Q30" s="373"/>
      <c r="R30" s="373"/>
      <c r="S30" s="373"/>
      <c r="T30" s="12"/>
      <c r="U30" s="12"/>
      <c r="V30" s="12"/>
    </row>
    <row r="31" spans="1:29" ht="15" x14ac:dyDescent="0.25">
      <c r="A31" s="3">
        <v>34455</v>
      </c>
      <c r="B31" s="557">
        <f>'DATA-Purchased Power'!D11</f>
        <v>8774172</v>
      </c>
      <c r="C31" s="557">
        <f>'DATA-Degree Days'!D12</f>
        <v>205.1</v>
      </c>
      <c r="D31" s="557">
        <f>'DATA-Degree Days'!D32</f>
        <v>7.5</v>
      </c>
      <c r="E31" s="557">
        <f>'DATA-Calendar'!D12</f>
        <v>336</v>
      </c>
      <c r="F31" s="557">
        <f>'DATA-Calendar'!D32</f>
        <v>31</v>
      </c>
      <c r="G31" s="557">
        <f>'DATA-Calendar'!D52</f>
        <v>1</v>
      </c>
      <c r="H31" s="557">
        <f>'DATA-Calendar'!D72</f>
        <v>0</v>
      </c>
      <c r="I31" s="557">
        <f>'DATA-Calendar'!D91</f>
        <v>1</v>
      </c>
      <c r="J31" s="557">
        <f>'DATA-Calendar'!D110</f>
        <v>0</v>
      </c>
      <c r="K31" s="557">
        <f>'DATA-Customers'!D29</f>
        <v>5852.6653375357637</v>
      </c>
      <c r="L31" s="557">
        <f>'DATA-Population'!D12</f>
        <v>13118.021775197431</v>
      </c>
      <c r="M31" s="557">
        <v>0</v>
      </c>
      <c r="N31" s="558">
        <f>'DATA-GDP Qrtly'!E84</f>
        <v>88.110064819907009</v>
      </c>
      <c r="O31" s="558">
        <f>'DATA-GDP Annual'!F10</f>
        <v>88.396698680850434</v>
      </c>
      <c r="P31" s="373"/>
      <c r="Q31" s="373"/>
      <c r="R31" s="373"/>
      <c r="S31" s="373"/>
      <c r="T31" s="12"/>
      <c r="U31" s="12"/>
      <c r="V31" s="12"/>
    </row>
    <row r="32" spans="1:29" ht="15" x14ac:dyDescent="0.25">
      <c r="A32" s="3">
        <v>34486</v>
      </c>
      <c r="B32" s="557">
        <f>'DATA-Purchased Power'!D12</f>
        <v>9767981</v>
      </c>
      <c r="C32" s="557">
        <f>'DATA-Degree Days'!D13</f>
        <v>34.200000000000003</v>
      </c>
      <c r="D32" s="557">
        <f>'DATA-Degree Days'!D33</f>
        <v>73</v>
      </c>
      <c r="E32" s="557">
        <f>'DATA-Calendar'!D13</f>
        <v>352</v>
      </c>
      <c r="F32" s="557">
        <f>'DATA-Calendar'!D33</f>
        <v>30</v>
      </c>
      <c r="G32" s="557">
        <f>'DATA-Calendar'!D53</f>
        <v>0</v>
      </c>
      <c r="H32" s="557">
        <f>'DATA-Calendar'!D73</f>
        <v>0</v>
      </c>
      <c r="I32" s="557">
        <f>'DATA-Calendar'!D92</f>
        <v>0</v>
      </c>
      <c r="J32" s="557">
        <f>'DATA-Calendar'!D111</f>
        <v>0</v>
      </c>
      <c r="K32" s="557">
        <f>'DATA-Customers'!D30</f>
        <v>5851.9986329458425</v>
      </c>
      <c r="L32" s="557">
        <f>'DATA-Population'!D13</f>
        <v>13122.999089359086</v>
      </c>
      <c r="M32" s="557">
        <v>0</v>
      </c>
      <c r="N32" s="558">
        <f>'DATA-GDP Qrtly'!E85</f>
        <v>88.637810965714166</v>
      </c>
      <c r="O32" s="558">
        <f>'DATA-GDP Annual'!F11</f>
        <v>88.819947250548452</v>
      </c>
      <c r="P32" s="373"/>
      <c r="Q32" s="373"/>
      <c r="R32" s="373"/>
      <c r="S32" s="373"/>
      <c r="T32" s="12"/>
      <c r="U32" s="12"/>
      <c r="V32" s="12"/>
    </row>
    <row r="33" spans="1:22" ht="15" x14ac:dyDescent="0.25">
      <c r="A33" s="3">
        <v>34516</v>
      </c>
      <c r="B33" s="557">
        <f>'DATA-Purchased Power'!D13</f>
        <v>11398453</v>
      </c>
      <c r="C33" s="557">
        <f>'DATA-Degree Days'!D14</f>
        <v>0.2</v>
      </c>
      <c r="D33" s="557">
        <f>'DATA-Degree Days'!D34</f>
        <v>130.69999999999999</v>
      </c>
      <c r="E33" s="557">
        <f>'DATA-Calendar'!D14</f>
        <v>320</v>
      </c>
      <c r="F33" s="557">
        <f>'DATA-Calendar'!D34</f>
        <v>31</v>
      </c>
      <c r="G33" s="557">
        <f>'DATA-Calendar'!D54</f>
        <v>0</v>
      </c>
      <c r="H33" s="557">
        <f>'DATA-Calendar'!D74</f>
        <v>1</v>
      </c>
      <c r="I33" s="557">
        <f>'DATA-Calendar'!D93</f>
        <v>0</v>
      </c>
      <c r="J33" s="557">
        <f>'DATA-Calendar'!D112</f>
        <v>0</v>
      </c>
      <c r="K33" s="557">
        <f>'DATA-Customers'!D31</f>
        <v>5851.3320043033709</v>
      </c>
      <c r="L33" s="557">
        <f>'DATA-Population'!D14</f>
        <v>13127.978292041487</v>
      </c>
      <c r="M33" s="557">
        <v>0</v>
      </c>
      <c r="N33" s="558">
        <f>'DATA-GDP Qrtly'!E86</f>
        <v>89.235840499349607</v>
      </c>
      <c r="O33" s="558">
        <f>'DATA-GDP Annual'!F12</f>
        <v>89.24522235918316</v>
      </c>
      <c r="P33" s="373"/>
      <c r="Q33" s="373"/>
      <c r="R33" s="373"/>
      <c r="S33" s="373"/>
      <c r="T33" s="12"/>
      <c r="U33" s="12"/>
      <c r="V33" s="12"/>
    </row>
    <row r="34" spans="1:22" ht="15" x14ac:dyDescent="0.25">
      <c r="A34" s="3">
        <v>34547</v>
      </c>
      <c r="B34" s="557">
        <f>'DATA-Purchased Power'!D14</f>
        <v>11883970</v>
      </c>
      <c r="C34" s="557">
        <f>'DATA-Degree Days'!D15</f>
        <v>15.1</v>
      </c>
      <c r="D34" s="557">
        <f>'DATA-Degree Days'!D35</f>
        <v>63.5</v>
      </c>
      <c r="E34" s="557">
        <f>'DATA-Calendar'!D15</f>
        <v>352</v>
      </c>
      <c r="F34" s="557">
        <f>'DATA-Calendar'!D35</f>
        <v>31</v>
      </c>
      <c r="G34" s="557">
        <f>'DATA-Calendar'!D55</f>
        <v>0</v>
      </c>
      <c r="H34" s="557">
        <f>'DATA-Calendar'!D75</f>
        <v>1</v>
      </c>
      <c r="I34" s="557">
        <f>'DATA-Calendar'!D94</f>
        <v>0</v>
      </c>
      <c r="J34" s="557">
        <f>'DATA-Calendar'!D113</f>
        <v>0</v>
      </c>
      <c r="K34" s="557">
        <f>'DATA-Customers'!D32</f>
        <v>5850.6654515996988</v>
      </c>
      <c r="L34" s="557">
        <f>'DATA-Population'!D15</f>
        <v>13132.959383961188</v>
      </c>
      <c r="M34" s="557">
        <v>0</v>
      </c>
      <c r="N34" s="558">
        <f>'DATA-GDP Qrtly'!E87</f>
        <v>89.837904872284483</v>
      </c>
      <c r="O34" s="558">
        <f>'DATA-GDP Annual'!F13</f>
        <v>89.672533709941646</v>
      </c>
      <c r="P34" s="373"/>
      <c r="Q34" s="373"/>
      <c r="R34" s="373"/>
      <c r="S34" s="373"/>
      <c r="T34" s="12"/>
      <c r="U34" s="12"/>
      <c r="V34" s="12"/>
    </row>
    <row r="35" spans="1:22" ht="15" x14ac:dyDescent="0.25">
      <c r="A35" s="3">
        <v>34578</v>
      </c>
      <c r="B35" s="557">
        <f>'DATA-Purchased Power'!D15</f>
        <v>10661009</v>
      </c>
      <c r="C35" s="557">
        <f>'DATA-Degree Days'!D16</f>
        <v>67.599999999999994</v>
      </c>
      <c r="D35" s="557">
        <f>'DATA-Degree Days'!D36</f>
        <v>19.600000000000001</v>
      </c>
      <c r="E35" s="557">
        <f>'DATA-Calendar'!D16</f>
        <v>336</v>
      </c>
      <c r="F35" s="557">
        <f>'DATA-Calendar'!D36</f>
        <v>30</v>
      </c>
      <c r="G35" s="557">
        <f>'DATA-Calendar'!D56</f>
        <v>1</v>
      </c>
      <c r="H35" s="557">
        <f>'DATA-Calendar'!D76</f>
        <v>1</v>
      </c>
      <c r="I35" s="557">
        <f>'DATA-Calendar'!D95</f>
        <v>0</v>
      </c>
      <c r="J35" s="557">
        <f>'DATA-Calendar'!D114</f>
        <v>1</v>
      </c>
      <c r="K35" s="557">
        <f>'DATA-Customers'!D33</f>
        <v>5849.9989748261751</v>
      </c>
      <c r="L35" s="557">
        <f>'DATA-Population'!D16</f>
        <v>13137.942365835012</v>
      </c>
      <c r="M35" s="557">
        <v>0</v>
      </c>
      <c r="N35" s="558">
        <f>'DATA-GDP Qrtly'!E88</f>
        <v>90.444031307134495</v>
      </c>
      <c r="O35" s="558">
        <f>'DATA-GDP Annual'!F14</f>
        <v>90.101891052470449</v>
      </c>
      <c r="P35" s="373"/>
      <c r="Q35" s="373"/>
      <c r="R35" s="373"/>
      <c r="S35" s="373"/>
      <c r="T35" s="12"/>
      <c r="U35" s="12"/>
      <c r="V35" s="12"/>
    </row>
    <row r="36" spans="1:22" ht="15" x14ac:dyDescent="0.25">
      <c r="A36" s="3">
        <v>34608</v>
      </c>
      <c r="B36" s="557">
        <f>'DATA-Purchased Power'!D16</f>
        <v>10064356</v>
      </c>
      <c r="C36" s="557">
        <f>'DATA-Degree Days'!D17</f>
        <v>230.4</v>
      </c>
      <c r="D36" s="557">
        <f>'DATA-Degree Days'!D37</f>
        <v>1.9</v>
      </c>
      <c r="E36" s="557">
        <f>'DATA-Calendar'!D17</f>
        <v>320</v>
      </c>
      <c r="F36" s="557">
        <f>'DATA-Calendar'!D37</f>
        <v>31</v>
      </c>
      <c r="G36" s="557">
        <f>'DATA-Calendar'!D57</f>
        <v>1</v>
      </c>
      <c r="H36" s="557">
        <f>'DATA-Calendar'!D77</f>
        <v>0</v>
      </c>
      <c r="I36" s="557">
        <f>'DATA-Calendar'!D96</f>
        <v>0</v>
      </c>
      <c r="J36" s="557">
        <f>'DATA-Calendar'!D115</f>
        <v>1</v>
      </c>
      <c r="K36" s="557">
        <f>'DATA-Customers'!D34</f>
        <v>5849.3325739741495</v>
      </c>
      <c r="L36" s="557">
        <f>'DATA-Population'!D17</f>
        <v>13142.927238380056</v>
      </c>
      <c r="M36" s="557">
        <v>0</v>
      </c>
      <c r="N36" s="558">
        <f>'DATA-GDP Qrtly'!E89</f>
        <v>90.89856237390137</v>
      </c>
      <c r="O36" s="558">
        <f>'DATA-GDP Annual'!F15</f>
        <v>90.533304183097982</v>
      </c>
      <c r="P36" s="373"/>
      <c r="Q36" s="373"/>
      <c r="R36" s="373"/>
      <c r="S36" s="373"/>
      <c r="T36" s="12"/>
      <c r="U36" s="12"/>
      <c r="V36" s="12"/>
    </row>
    <row r="37" spans="1:22" ht="15" x14ac:dyDescent="0.25">
      <c r="A37" s="3">
        <v>34639</v>
      </c>
      <c r="B37" s="557">
        <f>'DATA-Purchased Power'!D17</f>
        <v>10600882</v>
      </c>
      <c r="C37" s="557">
        <f>'DATA-Degree Days'!D18</f>
        <v>335.8</v>
      </c>
      <c r="D37" s="557">
        <f>'DATA-Degree Days'!D38</f>
        <v>0</v>
      </c>
      <c r="E37" s="557">
        <f>'DATA-Calendar'!D18</f>
        <v>352</v>
      </c>
      <c r="F37" s="557">
        <f>'DATA-Calendar'!D38</f>
        <v>30</v>
      </c>
      <c r="G37" s="557">
        <f>'DATA-Calendar'!D58</f>
        <v>1</v>
      </c>
      <c r="H37" s="557">
        <f>'DATA-Calendar'!D78</f>
        <v>0</v>
      </c>
      <c r="I37" s="557">
        <f>'DATA-Calendar'!D97</f>
        <v>0</v>
      </c>
      <c r="J37" s="557">
        <f>'DATA-Calendar'!D116</f>
        <v>1</v>
      </c>
      <c r="K37" s="557">
        <f>'DATA-Customers'!D35</f>
        <v>5848.6662490349745</v>
      </c>
      <c r="L37" s="557">
        <f>'DATA-Population'!D18</f>
        <v>13147.914002313692</v>
      </c>
      <c r="M37" s="557">
        <v>0</v>
      </c>
      <c r="N37" s="558">
        <f>'DATA-GDP Qrtly'!E90</f>
        <v>91.35537770959867</v>
      </c>
      <c r="O37" s="558">
        <f>'DATA-GDP Annual'!F16</f>
        <v>90.966782945058043</v>
      </c>
      <c r="P37" s="373"/>
      <c r="Q37" s="373"/>
      <c r="R37" s="373"/>
      <c r="S37" s="373"/>
      <c r="T37" s="12"/>
      <c r="U37" s="12"/>
      <c r="V37" s="12"/>
    </row>
    <row r="38" spans="1:22" ht="15" x14ac:dyDescent="0.25">
      <c r="A38" s="3">
        <v>34669</v>
      </c>
      <c r="B38" s="557">
        <f>'DATA-Purchased Power'!D18</f>
        <v>11779137</v>
      </c>
      <c r="C38" s="557">
        <f>'DATA-Degree Days'!D19</f>
        <v>526.70000000000005</v>
      </c>
      <c r="D38" s="557">
        <f>'DATA-Degree Days'!D39</f>
        <v>0</v>
      </c>
      <c r="E38" s="557">
        <f>'DATA-Calendar'!D19</f>
        <v>320</v>
      </c>
      <c r="F38" s="557">
        <f>'DATA-Calendar'!D39</f>
        <v>31</v>
      </c>
      <c r="G38" s="557">
        <f>'DATA-Calendar'!D59</f>
        <v>0</v>
      </c>
      <c r="H38" s="557">
        <f>'DATA-Calendar'!D79</f>
        <v>0</v>
      </c>
      <c r="I38" s="557">
        <f>'DATA-Calendar'!D98</f>
        <v>0</v>
      </c>
      <c r="J38" s="557">
        <f>'DATA-Calendar'!D117</f>
        <v>0</v>
      </c>
      <c r="K38" s="557">
        <f>'DATA-Customers'!D36</f>
        <v>5848</v>
      </c>
      <c r="L38" s="557">
        <f>'DATA-Population'!D19</f>
        <v>13152.902658353558</v>
      </c>
      <c r="M38" s="557">
        <v>0</v>
      </c>
      <c r="N38" s="558">
        <f>'DATA-GDP Qrtly'!E91</f>
        <v>91.81448879393578</v>
      </c>
      <c r="O38" s="558">
        <f>'DATA-GDP Annual'!F17</f>
        <v>91.402337228714515</v>
      </c>
      <c r="P38" s="373"/>
      <c r="Q38" s="373"/>
      <c r="R38" s="373"/>
      <c r="S38" s="373"/>
      <c r="T38" s="12"/>
      <c r="U38" s="12"/>
      <c r="V38" s="12"/>
    </row>
    <row r="39" spans="1:22" ht="15" x14ac:dyDescent="0.25">
      <c r="A39" s="3">
        <v>34700</v>
      </c>
      <c r="B39" s="557">
        <f>'DATA-Purchased Power'!E7</f>
        <v>11880494</v>
      </c>
      <c r="C39" s="557">
        <f>'DATA-Degree Days'!E8</f>
        <v>572.5</v>
      </c>
      <c r="D39" s="557">
        <f>'DATA-Degree Days'!E28</f>
        <v>0</v>
      </c>
      <c r="E39" s="557">
        <f>'DATA-Calendar'!E8</f>
        <v>336</v>
      </c>
      <c r="F39" s="557">
        <f>'DATA-Calendar'!E28</f>
        <v>31</v>
      </c>
      <c r="G39" s="557">
        <f>'DATA-Calendar'!E48</f>
        <v>0</v>
      </c>
      <c r="H39" s="557">
        <f>'DATA-Calendar'!E68</f>
        <v>0</v>
      </c>
      <c r="I39" s="557">
        <f>'DATA-Calendar'!E87</f>
        <v>0</v>
      </c>
      <c r="J39" s="557">
        <f>'DATA-Calendar'!E106</f>
        <v>0</v>
      </c>
      <c r="K39" s="557">
        <f>'DATA-Customers'!E25</f>
        <v>5855.858327212296</v>
      </c>
      <c r="L39" s="557">
        <f>'DATA-Population'!E8</f>
        <v>13157.89320721757</v>
      </c>
      <c r="M39" s="557">
        <v>0</v>
      </c>
      <c r="N39" s="558">
        <f>'DATA-GDP Qrtly'!F80</f>
        <v>91.815601512155439</v>
      </c>
      <c r="O39" s="558">
        <f>'DATA-GDP Annual'!G6</f>
        <v>91.667046632406738</v>
      </c>
      <c r="P39" s="373"/>
      <c r="Q39" s="373"/>
      <c r="R39" s="373"/>
      <c r="S39" s="373"/>
      <c r="T39" s="12"/>
      <c r="U39" s="12"/>
      <c r="V39" s="12"/>
    </row>
    <row r="40" spans="1:22" ht="15" x14ac:dyDescent="0.25">
      <c r="A40" s="3">
        <v>34731</v>
      </c>
      <c r="B40" s="557">
        <f>'DATA-Purchased Power'!E8</f>
        <v>11221439</v>
      </c>
      <c r="C40" s="557">
        <f>'DATA-Degree Days'!E9</f>
        <v>622.65</v>
      </c>
      <c r="D40" s="557">
        <f>'DATA-Degree Days'!E29</f>
        <v>0</v>
      </c>
      <c r="E40" s="557">
        <f>'DATA-Calendar'!E9</f>
        <v>320</v>
      </c>
      <c r="F40" s="557">
        <f>'DATA-Calendar'!E29</f>
        <v>28</v>
      </c>
      <c r="G40" s="557">
        <f>'DATA-Calendar'!E49</f>
        <v>0</v>
      </c>
      <c r="H40" s="557">
        <f>'DATA-Calendar'!E69</f>
        <v>0</v>
      </c>
      <c r="I40" s="557">
        <f>'DATA-Calendar'!E88</f>
        <v>0</v>
      </c>
      <c r="J40" s="557">
        <f>'DATA-Calendar'!E107</f>
        <v>0</v>
      </c>
      <c r="K40" s="557">
        <f>'DATA-Customers'!E26</f>
        <v>5863.7272141555386</v>
      </c>
      <c r="L40" s="557">
        <f>'DATA-Population'!E9</f>
        <v>13162.885649623913</v>
      </c>
      <c r="M40" s="557">
        <v>0</v>
      </c>
      <c r="N40" s="558">
        <f>'DATA-GDP Qrtly'!F81</f>
        <v>91.816714243860361</v>
      </c>
      <c r="O40" s="558">
        <f>'DATA-GDP Annual'!G7</f>
        <v>91.932522658381586</v>
      </c>
      <c r="P40" s="373"/>
      <c r="Q40" s="373"/>
      <c r="R40" s="373"/>
      <c r="S40" s="373"/>
      <c r="T40" s="12"/>
      <c r="U40" s="12"/>
      <c r="V40" s="12"/>
    </row>
    <row r="41" spans="1:22" ht="15" x14ac:dyDescent="0.25">
      <c r="A41" s="3">
        <v>34759</v>
      </c>
      <c r="B41" s="557">
        <f>'DATA-Purchased Power'!E9</f>
        <v>10466825</v>
      </c>
      <c r="C41" s="557">
        <f>'DATA-Degree Days'!E10</f>
        <v>474</v>
      </c>
      <c r="D41" s="557">
        <f>'DATA-Degree Days'!E30</f>
        <v>0</v>
      </c>
      <c r="E41" s="557">
        <f>'DATA-Calendar'!E10</f>
        <v>368</v>
      </c>
      <c r="F41" s="557">
        <f>'DATA-Calendar'!E30</f>
        <v>31</v>
      </c>
      <c r="G41" s="557">
        <f>'DATA-Calendar'!E50</f>
        <v>1</v>
      </c>
      <c r="H41" s="557">
        <f>'DATA-Calendar'!E70</f>
        <v>0</v>
      </c>
      <c r="I41" s="557">
        <f>'DATA-Calendar'!E89</f>
        <v>1</v>
      </c>
      <c r="J41" s="557">
        <f>'DATA-Calendar'!E108</f>
        <v>0</v>
      </c>
      <c r="K41" s="557">
        <f>'DATA-Customers'!E27</f>
        <v>5871.606675019505</v>
      </c>
      <c r="L41" s="557">
        <f>'DATA-Population'!E10</f>
        <v>13167.879986291047</v>
      </c>
      <c r="M41" s="557">
        <v>0</v>
      </c>
      <c r="N41" s="558">
        <f>'DATA-GDP Qrtly'!F82</f>
        <v>91.817826989050715</v>
      </c>
      <c r="O41" s="558">
        <f>'DATA-GDP Annual'!G8</f>
        <v>92.198767526846254</v>
      </c>
      <c r="P41" s="373"/>
      <c r="Q41" s="373"/>
      <c r="R41" s="373"/>
      <c r="S41" s="373"/>
      <c r="T41" s="12"/>
      <c r="U41" s="12"/>
      <c r="V41" s="12"/>
    </row>
    <row r="42" spans="1:22" ht="15" x14ac:dyDescent="0.25">
      <c r="A42" s="3">
        <v>34790</v>
      </c>
      <c r="B42" s="557">
        <f>'DATA-Purchased Power'!E10</f>
        <v>9791904</v>
      </c>
      <c r="C42" s="557">
        <f>'DATA-Degree Days'!E11</f>
        <v>392.85</v>
      </c>
      <c r="D42" s="557">
        <f>'DATA-Degree Days'!E31</f>
        <v>0</v>
      </c>
      <c r="E42" s="557">
        <f>'DATA-Calendar'!E11</f>
        <v>288</v>
      </c>
      <c r="F42" s="557">
        <f>'DATA-Calendar'!E31</f>
        <v>30</v>
      </c>
      <c r="G42" s="557">
        <f>'DATA-Calendar'!E51</f>
        <v>1</v>
      </c>
      <c r="H42" s="557">
        <f>'DATA-Calendar'!E71</f>
        <v>0</v>
      </c>
      <c r="I42" s="557">
        <f>'DATA-Calendar'!E90</f>
        <v>1</v>
      </c>
      <c r="J42" s="557">
        <f>'DATA-Calendar'!E109</f>
        <v>0</v>
      </c>
      <c r="K42" s="557">
        <f>'DATA-Customers'!E28</f>
        <v>5879.4967240130418</v>
      </c>
      <c r="L42" s="557">
        <f>'DATA-Population'!E11</f>
        <v>13172.876217937703</v>
      </c>
      <c r="M42" s="557">
        <v>0</v>
      </c>
      <c r="N42" s="558">
        <f>'DATA-GDP Qrtly'!F83</f>
        <v>91.844610331232246</v>
      </c>
      <c r="O42" s="558">
        <f>'DATA-GDP Annual'!G9</f>
        <v>92.465783464437862</v>
      </c>
      <c r="P42" s="373"/>
      <c r="Q42" s="373"/>
      <c r="R42" s="373"/>
      <c r="S42" s="373"/>
      <c r="T42" s="12"/>
      <c r="U42" s="12"/>
      <c r="V42" s="12"/>
    </row>
    <row r="43" spans="1:22" ht="15" x14ac:dyDescent="0.25">
      <c r="A43" s="3">
        <v>34820</v>
      </c>
      <c r="B43" s="557">
        <f>'DATA-Purchased Power'!E11</f>
        <v>9318234</v>
      </c>
      <c r="C43" s="557">
        <f>'DATA-Degree Days'!E12</f>
        <v>153</v>
      </c>
      <c r="D43" s="557">
        <f>'DATA-Degree Days'!E32</f>
        <v>0.8</v>
      </c>
      <c r="E43" s="557">
        <f>'DATA-Calendar'!E12</f>
        <v>352</v>
      </c>
      <c r="F43" s="557">
        <f>'DATA-Calendar'!E32</f>
        <v>31</v>
      </c>
      <c r="G43" s="557">
        <f>'DATA-Calendar'!E52</f>
        <v>1</v>
      </c>
      <c r="H43" s="557">
        <f>'DATA-Calendar'!E72</f>
        <v>0</v>
      </c>
      <c r="I43" s="557">
        <f>'DATA-Calendar'!E91</f>
        <v>1</v>
      </c>
      <c r="J43" s="557">
        <f>'DATA-Calendar'!E110</f>
        <v>0</v>
      </c>
      <c r="K43" s="557">
        <f>'DATA-Customers'!E29</f>
        <v>5887.3973753640876</v>
      </c>
      <c r="L43" s="557">
        <f>'DATA-Population'!E12</f>
        <v>13177.874345282882</v>
      </c>
      <c r="M43" s="557">
        <v>0</v>
      </c>
      <c r="N43" s="558">
        <f>'DATA-GDP Qrtly'!F84</f>
        <v>91.871401486138623</v>
      </c>
      <c r="O43" s="558">
        <f>'DATA-GDP Annual'!G10</f>
        <v>92.733572704242079</v>
      </c>
      <c r="P43" s="373"/>
      <c r="Q43" s="373"/>
      <c r="R43" s="373"/>
      <c r="S43" s="373"/>
      <c r="T43" s="12"/>
      <c r="U43" s="12"/>
      <c r="V43" s="12"/>
    </row>
    <row r="44" spans="1:22" ht="15" x14ac:dyDescent="0.25">
      <c r="A44" s="3">
        <v>34851</v>
      </c>
      <c r="B44" s="557">
        <f>'DATA-Purchased Power'!E12</f>
        <v>10890647</v>
      </c>
      <c r="C44" s="557">
        <f>'DATA-Degree Days'!E13</f>
        <v>23.6</v>
      </c>
      <c r="D44" s="557">
        <f>'DATA-Degree Days'!E33</f>
        <v>52.05</v>
      </c>
      <c r="E44" s="557">
        <f>'DATA-Calendar'!E13</f>
        <v>352</v>
      </c>
      <c r="F44" s="557">
        <f>'DATA-Calendar'!E33</f>
        <v>30</v>
      </c>
      <c r="G44" s="557">
        <f>'DATA-Calendar'!E53</f>
        <v>0</v>
      </c>
      <c r="H44" s="557">
        <f>'DATA-Calendar'!E73</f>
        <v>0</v>
      </c>
      <c r="I44" s="557">
        <f>'DATA-Calendar'!E92</f>
        <v>0</v>
      </c>
      <c r="J44" s="557">
        <f>'DATA-Calendar'!E111</f>
        <v>0</v>
      </c>
      <c r="K44" s="557">
        <f>'DATA-Customers'!E30</f>
        <v>5895.3086433197004</v>
      </c>
      <c r="L44" s="557">
        <f>'DATA-Population'!E13</f>
        <v>13182.874369045863</v>
      </c>
      <c r="M44" s="557">
        <v>0</v>
      </c>
      <c r="N44" s="558">
        <f>'DATA-GDP Qrtly'!F85</f>
        <v>91.898200456048812</v>
      </c>
      <c r="O44" s="558">
        <f>'DATA-GDP Annual'!G11</f>
        <v>93.002137485811772</v>
      </c>
      <c r="P44" s="373"/>
      <c r="Q44" s="373"/>
      <c r="R44" s="373"/>
      <c r="S44" s="373"/>
      <c r="T44" s="12"/>
      <c r="U44" s="12"/>
      <c r="V44" s="12"/>
    </row>
    <row r="45" spans="1:22" ht="15" x14ac:dyDescent="0.25">
      <c r="A45" s="3">
        <v>34881</v>
      </c>
      <c r="B45" s="557">
        <f>'DATA-Purchased Power'!E13</f>
        <v>13138999</v>
      </c>
      <c r="C45" s="557">
        <f>'DATA-Degree Days'!E14</f>
        <v>4.2</v>
      </c>
      <c r="D45" s="557">
        <f>'DATA-Degree Days'!E34</f>
        <v>143.94999999999999</v>
      </c>
      <c r="E45" s="557">
        <f>'DATA-Calendar'!E14</f>
        <v>320</v>
      </c>
      <c r="F45" s="557">
        <f>'DATA-Calendar'!E34</f>
        <v>31</v>
      </c>
      <c r="G45" s="557">
        <f>'DATA-Calendar'!E54</f>
        <v>0</v>
      </c>
      <c r="H45" s="557">
        <f>'DATA-Calendar'!E74</f>
        <v>1</v>
      </c>
      <c r="I45" s="557">
        <f>'DATA-Calendar'!E93</f>
        <v>0</v>
      </c>
      <c r="J45" s="557">
        <f>'DATA-Calendar'!E112</f>
        <v>0</v>
      </c>
      <c r="K45" s="557">
        <f>'DATA-Customers'!E31</f>
        <v>5903.2305421460824</v>
      </c>
      <c r="L45" s="557">
        <f>'DATA-Population'!E14</f>
        <v>13187.876289946196</v>
      </c>
      <c r="M45" s="557">
        <v>0</v>
      </c>
      <c r="N45" s="558">
        <f>'DATA-GDP Qrtly'!F86</f>
        <v>92.219426134546836</v>
      </c>
      <c r="O45" s="558">
        <f>'DATA-GDP Annual'!G12</f>
        <v>93.271480055185776</v>
      </c>
      <c r="P45" s="373"/>
      <c r="Q45" s="373"/>
      <c r="R45" s="373"/>
      <c r="S45" s="373"/>
      <c r="T45" s="12"/>
      <c r="U45" s="12"/>
      <c r="V45" s="12"/>
    </row>
    <row r="46" spans="1:22" ht="15" x14ac:dyDescent="0.25">
      <c r="A46" s="3">
        <v>34912</v>
      </c>
      <c r="B46" s="557">
        <f>'DATA-Purchased Power'!E14</f>
        <v>14373881</v>
      </c>
      <c r="C46" s="557">
        <f>'DATA-Degree Days'!E15</f>
        <v>0</v>
      </c>
      <c r="D46" s="557">
        <f>'DATA-Degree Days'!E35</f>
        <v>156</v>
      </c>
      <c r="E46" s="557">
        <f>'DATA-Calendar'!E15</f>
        <v>352</v>
      </c>
      <c r="F46" s="557">
        <f>'DATA-Calendar'!E35</f>
        <v>31</v>
      </c>
      <c r="G46" s="557">
        <f>'DATA-Calendar'!E55</f>
        <v>0</v>
      </c>
      <c r="H46" s="557">
        <f>'DATA-Calendar'!E75</f>
        <v>1</v>
      </c>
      <c r="I46" s="557">
        <f>'DATA-Calendar'!E94</f>
        <v>0</v>
      </c>
      <c r="J46" s="557">
        <f>'DATA-Calendar'!E113</f>
        <v>0</v>
      </c>
      <c r="K46" s="557">
        <f>'DATA-Customers'!E32</f>
        <v>5911.1630861286067</v>
      </c>
      <c r="L46" s="557">
        <f>'DATA-Population'!E15</f>
        <v>13192.880108703703</v>
      </c>
      <c r="M46" s="557">
        <v>0</v>
      </c>
      <c r="N46" s="558">
        <f>'DATA-GDP Qrtly'!F87</f>
        <v>92.541774641740247</v>
      </c>
      <c r="O46" s="558">
        <f>'DATA-GDP Annual'!G13</f>
        <v>93.541602664907657</v>
      </c>
      <c r="P46" s="373"/>
      <c r="Q46" s="373"/>
      <c r="R46" s="373"/>
      <c r="S46" s="373"/>
      <c r="T46" s="12"/>
      <c r="U46" s="12"/>
      <c r="V46" s="12"/>
    </row>
    <row r="47" spans="1:22" ht="15" x14ac:dyDescent="0.25">
      <c r="A47" s="3">
        <v>34943</v>
      </c>
      <c r="B47" s="557">
        <f>'DATA-Purchased Power'!E15</f>
        <v>10873136</v>
      </c>
      <c r="C47" s="557">
        <f>'DATA-Degree Days'!E16</f>
        <v>67.599999999999994</v>
      </c>
      <c r="D47" s="557">
        <f>'DATA-Degree Days'!E36</f>
        <v>29.2</v>
      </c>
      <c r="E47" s="557">
        <f>'DATA-Calendar'!E16</f>
        <v>320</v>
      </c>
      <c r="F47" s="557">
        <f>'DATA-Calendar'!E36</f>
        <v>30</v>
      </c>
      <c r="G47" s="557">
        <f>'DATA-Calendar'!E56</f>
        <v>1</v>
      </c>
      <c r="H47" s="557">
        <f>'DATA-Calendar'!E76</f>
        <v>1</v>
      </c>
      <c r="I47" s="557">
        <f>'DATA-Calendar'!E95</f>
        <v>0</v>
      </c>
      <c r="J47" s="557">
        <f>'DATA-Calendar'!E114</f>
        <v>1</v>
      </c>
      <c r="K47" s="557">
        <f>'DATA-Customers'!E33</f>
        <v>5919.1062895718424</v>
      </c>
      <c r="L47" s="557">
        <f>'DATA-Population'!E16</f>
        <v>13197.885826038479</v>
      </c>
      <c r="M47" s="557">
        <v>0</v>
      </c>
      <c r="N47" s="558">
        <f>'DATA-GDP Qrtly'!F88</f>
        <v>92.865249902421994</v>
      </c>
      <c r="O47" s="558">
        <f>'DATA-GDP Annual'!G14</f>
        <v>93.812507574044531</v>
      </c>
      <c r="P47" s="373"/>
      <c r="Q47" s="373"/>
      <c r="R47" s="373"/>
      <c r="S47" s="373"/>
      <c r="T47" s="12"/>
      <c r="U47" s="12"/>
      <c r="V47" s="12"/>
    </row>
    <row r="48" spans="1:22" ht="15" x14ac:dyDescent="0.25">
      <c r="A48" s="3">
        <v>34973</v>
      </c>
      <c r="B48" s="557">
        <f>'DATA-Purchased Power'!E16</f>
        <v>10399847</v>
      </c>
      <c r="C48" s="557">
        <f>'DATA-Degree Days'!E17</f>
        <v>142</v>
      </c>
      <c r="D48" s="557">
        <f>'DATA-Degree Days'!E37</f>
        <v>12.6</v>
      </c>
      <c r="E48" s="557">
        <f>'DATA-Calendar'!E17</f>
        <v>336</v>
      </c>
      <c r="F48" s="557">
        <f>'DATA-Calendar'!E37</f>
        <v>31</v>
      </c>
      <c r="G48" s="557">
        <f>'DATA-Calendar'!E57</f>
        <v>1</v>
      </c>
      <c r="H48" s="557">
        <f>'DATA-Calendar'!E77</f>
        <v>0</v>
      </c>
      <c r="I48" s="557">
        <f>'DATA-Calendar'!E96</f>
        <v>0</v>
      </c>
      <c r="J48" s="557">
        <f>'DATA-Calendar'!E115</f>
        <v>1</v>
      </c>
      <c r="K48" s="557">
        <f>'DATA-Customers'!E34</f>
        <v>5927.0601667995807</v>
      </c>
      <c r="L48" s="557">
        <f>'DATA-Population'!E17</f>
        <v>13202.893442670893</v>
      </c>
      <c r="M48" s="557">
        <v>0</v>
      </c>
      <c r="N48" s="558">
        <f>'DATA-GDP Qrtly'!F89</f>
        <v>93.241538339816486</v>
      </c>
      <c r="O48" s="558">
        <f>'DATA-GDP Annual'!G15</f>
        <v>94.084197048205993</v>
      </c>
      <c r="P48" s="373"/>
      <c r="Q48" s="373"/>
      <c r="R48" s="373"/>
      <c r="S48" s="373"/>
      <c r="T48" s="12"/>
      <c r="U48" s="12"/>
      <c r="V48" s="12"/>
    </row>
    <row r="49" spans="1:30" ht="15" x14ac:dyDescent="0.25">
      <c r="A49" s="3">
        <v>35004</v>
      </c>
      <c r="B49" s="557">
        <f>'DATA-Purchased Power'!E17</f>
        <v>11016174</v>
      </c>
      <c r="C49" s="557">
        <f>'DATA-Degree Days'!E18</f>
        <v>447.55</v>
      </c>
      <c r="D49" s="557">
        <f>'DATA-Degree Days'!E38</f>
        <v>0</v>
      </c>
      <c r="E49" s="557">
        <f>'DATA-Calendar'!E18</f>
        <v>352</v>
      </c>
      <c r="F49" s="557">
        <f>'DATA-Calendar'!E38</f>
        <v>30</v>
      </c>
      <c r="G49" s="557">
        <f>'DATA-Calendar'!E58</f>
        <v>1</v>
      </c>
      <c r="H49" s="557">
        <f>'DATA-Calendar'!E78</f>
        <v>0</v>
      </c>
      <c r="I49" s="557">
        <f>'DATA-Calendar'!E97</f>
        <v>0</v>
      </c>
      <c r="J49" s="557">
        <f>'DATA-Calendar'!E116</f>
        <v>1</v>
      </c>
      <c r="K49" s="557">
        <f>'DATA-Customers'!E35</f>
        <v>5935.0247321548604</v>
      </c>
      <c r="L49" s="557">
        <f>'DATA-Population'!E18</f>
        <v>13207.902959321587</v>
      </c>
      <c r="M49" s="557">
        <v>0</v>
      </c>
      <c r="N49" s="558">
        <f>'DATA-GDP Qrtly'!F90</f>
        <v>93.619351491657625</v>
      </c>
      <c r="O49" s="558">
        <f>'DATA-GDP Annual'!G16</f>
        <v>94.356673359563032</v>
      </c>
      <c r="P49" s="373"/>
      <c r="Q49" s="373"/>
      <c r="R49" s="373"/>
      <c r="S49" s="373"/>
      <c r="T49" s="12"/>
      <c r="U49" s="12"/>
      <c r="V49" s="12"/>
    </row>
    <row r="50" spans="1:30" ht="15" x14ac:dyDescent="0.25">
      <c r="A50" s="3">
        <v>35034</v>
      </c>
      <c r="B50" s="557">
        <f>'DATA-Purchased Power'!E18</f>
        <v>12624848</v>
      </c>
      <c r="C50" s="557">
        <f>'DATA-Degree Days'!E19</f>
        <v>632.29999999999995</v>
      </c>
      <c r="D50" s="557">
        <f>'DATA-Degree Days'!E39</f>
        <v>0</v>
      </c>
      <c r="E50" s="557">
        <f>'DATA-Calendar'!E19</f>
        <v>304</v>
      </c>
      <c r="F50" s="557">
        <f>'DATA-Calendar'!E39</f>
        <v>31</v>
      </c>
      <c r="G50" s="557">
        <f>'DATA-Calendar'!E59</f>
        <v>0</v>
      </c>
      <c r="H50" s="557">
        <f>'DATA-Calendar'!E79</f>
        <v>0</v>
      </c>
      <c r="I50" s="557">
        <f>'DATA-Calendar'!E98</f>
        <v>0</v>
      </c>
      <c r="J50" s="557">
        <f>'DATA-Calendar'!E117</f>
        <v>0</v>
      </c>
      <c r="K50" s="557">
        <f>'DATA-Customers'!E36</f>
        <v>5943</v>
      </c>
      <c r="L50" s="557">
        <f>'DATA-Population'!E19</f>
        <v>13212.914376711478</v>
      </c>
      <c r="M50" s="557">
        <v>0</v>
      </c>
      <c r="N50" s="558">
        <f>'DATA-GDP Qrtly'!F91</f>
        <v>93.998695536062783</v>
      </c>
      <c r="O50" s="558">
        <f>'DATA-GDP Annual'!G17</f>
        <v>94.629938786867015</v>
      </c>
      <c r="P50" s="373"/>
      <c r="Q50" s="373"/>
      <c r="R50" s="373"/>
      <c r="S50" s="373"/>
      <c r="T50" s="12"/>
      <c r="U50" s="12"/>
      <c r="V50" s="12"/>
    </row>
    <row r="51" spans="1:30" ht="15" x14ac:dyDescent="0.25">
      <c r="A51" s="3">
        <v>35065</v>
      </c>
      <c r="B51" s="518">
        <f>'DATA-Purchased Power'!F7</f>
        <v>12502629</v>
      </c>
      <c r="C51" s="518">
        <f>'DATA-Degree Days'!F8</f>
        <v>705.05</v>
      </c>
      <c r="D51" s="518">
        <f>'DATA-Degree Days'!F28</f>
        <v>0</v>
      </c>
      <c r="E51" s="518">
        <f>'DATA-Calendar'!F8</f>
        <v>352</v>
      </c>
      <c r="F51" s="518">
        <f>'DATA-Calendar'!F28</f>
        <v>31</v>
      </c>
      <c r="G51" s="518">
        <f>'DATA-Calendar'!F48</f>
        <v>0</v>
      </c>
      <c r="H51" s="518">
        <f>'DATA-Calendar'!F68</f>
        <v>0</v>
      </c>
      <c r="I51" s="518">
        <f>'DATA-Calendar'!F87</f>
        <v>0</v>
      </c>
      <c r="J51" s="518">
        <f>'DATA-Calendar'!F106</f>
        <v>0</v>
      </c>
      <c r="K51" s="518">
        <f>'DATA-Customers'!F25</f>
        <v>5953.4327916477769</v>
      </c>
      <c r="L51" s="518">
        <f>'DATA-Population'!F8</f>
        <v>13217.927695561755</v>
      </c>
      <c r="M51" s="518">
        <v>0</v>
      </c>
      <c r="N51" s="519">
        <f>'DATA-GDP Qrtly'!G80</f>
        <v>93.657734717608022</v>
      </c>
      <c r="O51" s="519">
        <f>'DATA-GDP Annual'!H6</f>
        <v>94.715305091666934</v>
      </c>
      <c r="P51" s="374"/>
      <c r="Q51" s="374"/>
      <c r="R51" s="374"/>
      <c r="S51" s="374"/>
      <c r="T51" s="513">
        <f>$X$18+C51*$X$19+D51*$X$20+O51*$X$21+I51*$X$22+H51*$X$23+M51*$X$24+F51*$X$25</f>
        <v>12142097.11822897</v>
      </c>
      <c r="U51" s="40">
        <f t="shared" ref="U51" si="0">T51-B51</f>
        <v>-360531.8817710299</v>
      </c>
      <c r="V51" s="5">
        <f t="shared" ref="V51" si="1">U51/B51</f>
        <v>-2.8836485652020058E-2</v>
      </c>
      <c r="AD51">
        <f>ABS(B51-T51)/B51*100</f>
        <v>2.8836485652020056</v>
      </c>
    </row>
    <row r="52" spans="1:30" ht="15" x14ac:dyDescent="0.25">
      <c r="A52" s="3">
        <v>35096</v>
      </c>
      <c r="B52" s="518">
        <f>'DATA-Purchased Power'!F8</f>
        <v>11504822</v>
      </c>
      <c r="C52" s="518">
        <f>'DATA-Degree Days'!F9</f>
        <v>623.70000000000005</v>
      </c>
      <c r="D52" s="518">
        <f>'DATA-Degree Days'!F29</f>
        <v>0</v>
      </c>
      <c r="E52" s="518">
        <f>'DATA-Calendar'!F9</f>
        <v>336</v>
      </c>
      <c r="F52" s="518">
        <f>'DATA-Calendar'!F29</f>
        <v>29</v>
      </c>
      <c r="G52" s="518">
        <f>'DATA-Calendar'!F49</f>
        <v>0</v>
      </c>
      <c r="H52" s="518">
        <f>'DATA-Calendar'!F69</f>
        <v>0</v>
      </c>
      <c r="I52" s="518">
        <f>'DATA-Calendar'!F88</f>
        <v>0</v>
      </c>
      <c r="J52" s="518">
        <f>'DATA-Calendar'!F107</f>
        <v>0</v>
      </c>
      <c r="K52" s="518">
        <f>'DATA-Customers'!F26</f>
        <v>5963.8838978070071</v>
      </c>
      <c r="L52" s="518">
        <f>'DATA-Population'!F9</f>
        <v>13222.942916593882</v>
      </c>
      <c r="M52" s="518">
        <v>0</v>
      </c>
      <c r="N52" s="519">
        <f>'DATA-GDP Qrtly'!G81</f>
        <v>93.3180106639728</v>
      </c>
      <c r="O52" s="519">
        <f>'DATA-GDP Annual'!H7</f>
        <v>94.800748405985075</v>
      </c>
      <c r="P52" s="374"/>
      <c r="Q52" s="374"/>
      <c r="R52" s="374"/>
      <c r="S52" s="374"/>
      <c r="T52" s="513">
        <f t="shared" ref="T52:T115" si="2">$X$18+C52*$X$19+D52*$X$20+O52*$X$21+I52*$X$22+H52*$X$23+M52*$X$24+F52*$X$25</f>
        <v>10880868.251096498</v>
      </c>
      <c r="U52" s="40">
        <f t="shared" ref="U52:U115" si="3">T52-B52</f>
        <v>-623953.74890350178</v>
      </c>
      <c r="V52" s="5">
        <f t="shared" ref="V52:V115" si="4">U52/B52</f>
        <v>-5.4234107133817606E-2</v>
      </c>
      <c r="AD52">
        <f t="shared" ref="AD52:AD115" si="5">ABS(B52-T52)/B52*100</f>
        <v>5.4234107133817604</v>
      </c>
    </row>
    <row r="53" spans="1:30" ht="15" x14ac:dyDescent="0.25">
      <c r="A53" s="3">
        <v>35125</v>
      </c>
      <c r="B53" s="518">
        <f>'DATA-Purchased Power'!F9</f>
        <v>11558341</v>
      </c>
      <c r="C53" s="518">
        <f>'DATA-Degree Days'!F10</f>
        <v>585.35</v>
      </c>
      <c r="D53" s="518">
        <f>'DATA-Degree Days'!F30</f>
        <v>0</v>
      </c>
      <c r="E53" s="518">
        <f>'DATA-Calendar'!F10</f>
        <v>336</v>
      </c>
      <c r="F53" s="518">
        <f>'DATA-Calendar'!F30</f>
        <v>31</v>
      </c>
      <c r="G53" s="518">
        <f>'DATA-Calendar'!F50</f>
        <v>1</v>
      </c>
      <c r="H53" s="518">
        <f>'DATA-Calendar'!F70</f>
        <v>0</v>
      </c>
      <c r="I53" s="518">
        <f>'DATA-Calendar'!F89</f>
        <v>1</v>
      </c>
      <c r="J53" s="518">
        <f>'DATA-Calendar'!F108</f>
        <v>0</v>
      </c>
      <c r="K53" s="518">
        <f>'DATA-Customers'!F27</f>
        <v>5974.3533506283684</v>
      </c>
      <c r="L53" s="518">
        <f>'DATA-Population'!F10</f>
        <v>13227.960040529593</v>
      </c>
      <c r="M53" s="518">
        <v>0</v>
      </c>
      <c r="N53" s="519">
        <f>'DATA-GDP Qrtly'!G82</f>
        <v>92.979518889048663</v>
      </c>
      <c r="O53" s="519">
        <f>'DATA-GDP Annual'!H8</f>
        <v>94.886268799292239</v>
      </c>
      <c r="P53" s="375">
        <f>'DATA-Employment'!F10</f>
        <v>164.6</v>
      </c>
      <c r="Q53" s="375">
        <f>'DATA-Employment'!F28</f>
        <v>156.6</v>
      </c>
      <c r="R53" s="375">
        <f>'DATA-Employment'!F46</f>
        <v>17.100000000000001</v>
      </c>
      <c r="S53" s="375">
        <f>'DATA-Employment'!F64</f>
        <v>19.2</v>
      </c>
      <c r="T53" s="513">
        <f t="shared" si="2"/>
        <v>10811245.981477292</v>
      </c>
      <c r="U53" s="40">
        <f t="shared" si="3"/>
        <v>-747095.01852270775</v>
      </c>
      <c r="V53" s="5">
        <f t="shared" si="4"/>
        <v>-6.4636872932084949E-2</v>
      </c>
      <c r="AD53">
        <f t="shared" si="5"/>
        <v>6.463687293208495</v>
      </c>
    </row>
    <row r="54" spans="1:30" ht="15" x14ac:dyDescent="0.25">
      <c r="A54" s="3">
        <v>35156</v>
      </c>
      <c r="B54" s="518">
        <f>'DATA-Purchased Power'!F10</f>
        <v>10081641</v>
      </c>
      <c r="C54" s="518">
        <f>'DATA-Degree Days'!F11</f>
        <v>395.7</v>
      </c>
      <c r="D54" s="518">
        <f>'DATA-Degree Days'!F31</f>
        <v>0</v>
      </c>
      <c r="E54" s="518">
        <f>'DATA-Calendar'!F11</f>
        <v>336</v>
      </c>
      <c r="F54" s="518">
        <f>'DATA-Calendar'!F31</f>
        <v>30</v>
      </c>
      <c r="G54" s="518">
        <f>'DATA-Calendar'!F51</f>
        <v>1</v>
      </c>
      <c r="H54" s="518">
        <f>'DATA-Calendar'!F71</f>
        <v>0</v>
      </c>
      <c r="I54" s="518">
        <f>'DATA-Calendar'!F90</f>
        <v>1</v>
      </c>
      <c r="J54" s="518">
        <f>'DATA-Calendar'!F109</f>
        <v>0</v>
      </c>
      <c r="K54" s="518">
        <f>'DATA-Customers'!F28</f>
        <v>5984.8411823189799</v>
      </c>
      <c r="L54" s="518">
        <f>'DATA-Population'!F11</f>
        <v>13232.979068090901</v>
      </c>
      <c r="M54" s="518">
        <v>0</v>
      </c>
      <c r="N54" s="519">
        <f>'DATA-GDP Qrtly'!G83</f>
        <v>93.106880524106785</v>
      </c>
      <c r="O54" s="519">
        <f>'DATA-GDP Annual'!H9</f>
        <v>94.971866341121896</v>
      </c>
      <c r="P54" s="375">
        <f>'DATA-Employment'!F11</f>
        <v>165.7</v>
      </c>
      <c r="Q54" s="375">
        <f>'DATA-Employment'!F29</f>
        <v>159.80000000000001</v>
      </c>
      <c r="R54" s="375">
        <f>'DATA-Employment'!F47</f>
        <v>17</v>
      </c>
      <c r="S54" s="375">
        <f>'DATA-Employment'!F65</f>
        <v>18.5</v>
      </c>
      <c r="T54" s="513">
        <f t="shared" si="2"/>
        <v>9636776.8770542257</v>
      </c>
      <c r="U54" s="40">
        <f t="shared" si="3"/>
        <v>-444864.12294577435</v>
      </c>
      <c r="V54" s="5">
        <f t="shared" si="4"/>
        <v>-4.4126161896240336E-2</v>
      </c>
      <c r="AD54">
        <f t="shared" si="5"/>
        <v>4.4126161896240337</v>
      </c>
    </row>
    <row r="55" spans="1:30" ht="15" x14ac:dyDescent="0.25">
      <c r="A55" s="3">
        <v>35186</v>
      </c>
      <c r="B55" s="518">
        <f>'DATA-Purchased Power'!F11</f>
        <v>9844919</v>
      </c>
      <c r="C55" s="518">
        <f>'DATA-Degree Days'!F12</f>
        <v>240.4</v>
      </c>
      <c r="D55" s="518">
        <f>'DATA-Degree Days'!F32</f>
        <v>3.2</v>
      </c>
      <c r="E55" s="518">
        <f>'DATA-Calendar'!F12</f>
        <v>352</v>
      </c>
      <c r="F55" s="518">
        <f>'DATA-Calendar'!F32</f>
        <v>31</v>
      </c>
      <c r="G55" s="518">
        <f>'DATA-Calendar'!F52</f>
        <v>1</v>
      </c>
      <c r="H55" s="518">
        <f>'DATA-Calendar'!F72</f>
        <v>0</v>
      </c>
      <c r="I55" s="518">
        <f>'DATA-Calendar'!F91</f>
        <v>1</v>
      </c>
      <c r="J55" s="518">
        <f>'DATA-Calendar'!F110</f>
        <v>0</v>
      </c>
      <c r="K55" s="518">
        <f>'DATA-Customers'!F29</f>
        <v>5995.3474251424987</v>
      </c>
      <c r="L55" s="518">
        <f>'DATA-Population'!F12</f>
        <v>13238</v>
      </c>
      <c r="M55" s="518">
        <v>0</v>
      </c>
      <c r="N55" s="519">
        <f>'DATA-GDP Qrtly'!G84</f>
        <v>93.234416616790398</v>
      </c>
      <c r="O55" s="519">
        <f>'DATA-GDP Annual'!H10</f>
        <v>95.057541101070257</v>
      </c>
      <c r="P55" s="375">
        <f>'DATA-Employment'!F12</f>
        <v>167</v>
      </c>
      <c r="Q55" s="375">
        <f>'DATA-Employment'!F30</f>
        <v>164.9</v>
      </c>
      <c r="R55" s="375">
        <f>'DATA-Employment'!F48</f>
        <v>16.8</v>
      </c>
      <c r="S55" s="375">
        <f>'DATA-Employment'!F66</f>
        <v>17.7</v>
      </c>
      <c r="T55" s="513">
        <f t="shared" si="2"/>
        <v>9664653.2550342176</v>
      </c>
      <c r="U55" s="40">
        <f t="shared" si="3"/>
        <v>-180265.74496578239</v>
      </c>
      <c r="V55" s="5">
        <f t="shared" si="4"/>
        <v>-1.8310536121808864E-2</v>
      </c>
      <c r="AD55">
        <f t="shared" si="5"/>
        <v>1.8310536121808865</v>
      </c>
    </row>
    <row r="56" spans="1:30" ht="15" x14ac:dyDescent="0.25">
      <c r="A56" s="3">
        <v>35217</v>
      </c>
      <c r="B56" s="518">
        <f>'DATA-Purchased Power'!F12</f>
        <v>10453919</v>
      </c>
      <c r="C56" s="518">
        <f>'DATA-Degree Days'!F13</f>
        <v>37.299999999999997</v>
      </c>
      <c r="D56" s="518">
        <f>'DATA-Degree Days'!F33</f>
        <v>21.9</v>
      </c>
      <c r="E56" s="518">
        <f>'DATA-Calendar'!F13</f>
        <v>320</v>
      </c>
      <c r="F56" s="518">
        <f>'DATA-Calendar'!F33</f>
        <v>30</v>
      </c>
      <c r="G56" s="518">
        <f>'DATA-Calendar'!F53</f>
        <v>0</v>
      </c>
      <c r="H56" s="518">
        <f>'DATA-Calendar'!F73</f>
        <v>0</v>
      </c>
      <c r="I56" s="518">
        <f>'DATA-Calendar'!F92</f>
        <v>0</v>
      </c>
      <c r="J56" s="518">
        <f>'DATA-Calendar'!F111</f>
        <v>0</v>
      </c>
      <c r="K56" s="518">
        <f>'DATA-Customers'!F30</f>
        <v>6005.8721114192185</v>
      </c>
      <c r="L56" s="518">
        <f>'DATA-Population'!F13</f>
        <v>13247.79957137085</v>
      </c>
      <c r="M56" s="518">
        <v>0</v>
      </c>
      <c r="N56" s="519">
        <f>'DATA-GDP Qrtly'!G85</f>
        <v>93.362127406068325</v>
      </c>
      <c r="O56" s="519">
        <f>'DATA-GDP Annual'!H11</f>
        <v>95.143293148796303</v>
      </c>
      <c r="P56" s="375">
        <f>'DATA-Employment'!F13</f>
        <v>169</v>
      </c>
      <c r="Q56" s="375">
        <f>'DATA-Employment'!F31</f>
        <v>172.5</v>
      </c>
      <c r="R56" s="375">
        <f>'DATA-Employment'!F49</f>
        <v>16.600000000000001</v>
      </c>
      <c r="S56" s="375">
        <f>'DATA-Employment'!F67</f>
        <v>15.7</v>
      </c>
      <c r="T56" s="513">
        <f t="shared" si="2"/>
        <v>9963595.097068781</v>
      </c>
      <c r="U56" s="40">
        <f t="shared" si="3"/>
        <v>-490323.90293121897</v>
      </c>
      <c r="V56" s="5">
        <f t="shared" si="4"/>
        <v>-4.69033577676677E-2</v>
      </c>
      <c r="AD56">
        <f t="shared" si="5"/>
        <v>4.6903357767667702</v>
      </c>
    </row>
    <row r="57" spans="1:30" ht="15" x14ac:dyDescent="0.25">
      <c r="A57" s="3">
        <v>35247</v>
      </c>
      <c r="B57" s="518">
        <f>'DATA-Purchased Power'!F13</f>
        <v>11888649</v>
      </c>
      <c r="C57" s="518">
        <f>'DATA-Degree Days'!F14</f>
        <v>2.6</v>
      </c>
      <c r="D57" s="518">
        <f>'DATA-Degree Days'!F34</f>
        <v>77.099999999999994</v>
      </c>
      <c r="E57" s="518">
        <f>'DATA-Calendar'!F14</f>
        <v>352</v>
      </c>
      <c r="F57" s="518">
        <f>'DATA-Calendar'!F34</f>
        <v>31</v>
      </c>
      <c r="G57" s="518">
        <f>'DATA-Calendar'!F54</f>
        <v>0</v>
      </c>
      <c r="H57" s="518">
        <f>'DATA-Calendar'!F74</f>
        <v>1</v>
      </c>
      <c r="I57" s="518">
        <f>'DATA-Calendar'!F93</f>
        <v>0</v>
      </c>
      <c r="J57" s="518">
        <f>'DATA-Calendar'!F112</f>
        <v>0</v>
      </c>
      <c r="K57" s="518">
        <f>'DATA-Customers'!F31</f>
        <v>6016.4152735261732</v>
      </c>
      <c r="L57" s="518">
        <f>'DATA-Population'!F14</f>
        <v>13257.606396979427</v>
      </c>
      <c r="M57" s="518">
        <v>0</v>
      </c>
      <c r="N57" s="519">
        <f>'DATA-GDP Qrtly'!G86</f>
        <v>93.602031655475102</v>
      </c>
      <c r="O57" s="519">
        <f>'DATA-GDP Annual'!H12</f>
        <v>95.22912255402187</v>
      </c>
      <c r="P57" s="375">
        <f>'DATA-Employment'!F14</f>
        <v>169.1</v>
      </c>
      <c r="Q57" s="375">
        <f>'DATA-Employment'!F32</f>
        <v>175.8</v>
      </c>
      <c r="R57" s="375">
        <f>'DATA-Employment'!F50</f>
        <v>16.899999999999999</v>
      </c>
      <c r="S57" s="375">
        <f>'DATA-Employment'!F68</f>
        <v>16.399999999999999</v>
      </c>
      <c r="T57" s="513">
        <f t="shared" si="2"/>
        <v>12743268.226695947</v>
      </c>
      <c r="U57" s="40">
        <f t="shared" si="3"/>
        <v>854619.22669594735</v>
      </c>
      <c r="V57" s="5">
        <f t="shared" si="4"/>
        <v>7.1885310660273288E-2</v>
      </c>
      <c r="AD57">
        <f t="shared" si="5"/>
        <v>7.1885310660273287</v>
      </c>
    </row>
    <row r="58" spans="1:30" ht="15" x14ac:dyDescent="0.25">
      <c r="A58" s="3">
        <v>35278</v>
      </c>
      <c r="B58" s="518">
        <f>'DATA-Purchased Power'!F14</f>
        <v>13630712</v>
      </c>
      <c r="C58" s="518">
        <f>'DATA-Degree Days'!F15</f>
        <v>0</v>
      </c>
      <c r="D58" s="518">
        <f>'DATA-Degree Days'!F35</f>
        <v>145.44999999999999</v>
      </c>
      <c r="E58" s="518">
        <f>'DATA-Calendar'!F15</f>
        <v>336</v>
      </c>
      <c r="F58" s="518">
        <f>'DATA-Calendar'!F35</f>
        <v>31</v>
      </c>
      <c r="G58" s="518">
        <f>'DATA-Calendar'!F55</f>
        <v>0</v>
      </c>
      <c r="H58" s="518">
        <f>'DATA-Calendar'!F75</f>
        <v>1</v>
      </c>
      <c r="I58" s="518">
        <f>'DATA-Calendar'!F94</f>
        <v>0</v>
      </c>
      <c r="J58" s="518">
        <f>'DATA-Calendar'!F113</f>
        <v>0</v>
      </c>
      <c r="K58" s="518">
        <f>'DATA-Customers'!F32</f>
        <v>6026.9769438972316</v>
      </c>
      <c r="L58" s="518">
        <f>'DATA-Population'!F15</f>
        <v>13267.420482195761</v>
      </c>
      <c r="M58" s="518">
        <v>0</v>
      </c>
      <c r="N58" s="519">
        <f>'DATA-GDP Qrtly'!G87</f>
        <v>93.84255236522273</v>
      </c>
      <c r="O58" s="519">
        <f>'DATA-GDP Annual'!H13</f>
        <v>95.315029386531663</v>
      </c>
      <c r="P58" s="375">
        <f>'DATA-Employment'!F15</f>
        <v>170.7</v>
      </c>
      <c r="Q58" s="375">
        <f>'DATA-Employment'!F33</f>
        <v>178.7</v>
      </c>
      <c r="R58" s="375">
        <f>'DATA-Employment'!F51</f>
        <v>16.600000000000001</v>
      </c>
      <c r="S58" s="375">
        <f>'DATA-Employment'!F69</f>
        <v>16.7</v>
      </c>
      <c r="T58" s="513">
        <f t="shared" si="2"/>
        <v>14989913.30431515</v>
      </c>
      <c r="U58" s="40">
        <f t="shared" si="3"/>
        <v>1359201.3043151498</v>
      </c>
      <c r="V58" s="5">
        <f t="shared" si="4"/>
        <v>9.9716089982324452E-2</v>
      </c>
      <c r="AD58">
        <f t="shared" si="5"/>
        <v>9.9716089982324458</v>
      </c>
    </row>
    <row r="59" spans="1:30" ht="15" x14ac:dyDescent="0.25">
      <c r="A59" s="3">
        <v>35309</v>
      </c>
      <c r="B59" s="518">
        <f>'DATA-Purchased Power'!F15</f>
        <v>11568448</v>
      </c>
      <c r="C59" s="518">
        <f>'DATA-Degree Days'!F16</f>
        <v>30.9</v>
      </c>
      <c r="D59" s="518">
        <f>'DATA-Degree Days'!F36</f>
        <v>44.75</v>
      </c>
      <c r="E59" s="518">
        <f>'DATA-Calendar'!F16</f>
        <v>320</v>
      </c>
      <c r="F59" s="518">
        <f>'DATA-Calendar'!F36</f>
        <v>30</v>
      </c>
      <c r="G59" s="518">
        <f>'DATA-Calendar'!F56</f>
        <v>1</v>
      </c>
      <c r="H59" s="518">
        <f>'DATA-Calendar'!F76</f>
        <v>1</v>
      </c>
      <c r="I59" s="518">
        <f>'DATA-Calendar'!F95</f>
        <v>0</v>
      </c>
      <c r="J59" s="518">
        <f>'DATA-Calendar'!F114</f>
        <v>1</v>
      </c>
      <c r="K59" s="518">
        <f>'DATA-Customers'!F33</f>
        <v>6037.5571550232007</v>
      </c>
      <c r="L59" s="518">
        <f>'DATA-Population'!F16</f>
        <v>13277.241832393853</v>
      </c>
      <c r="M59" s="518">
        <v>0</v>
      </c>
      <c r="N59" s="519">
        <f>'DATA-GDP Qrtly'!G88</f>
        <v>94.083691119373853</v>
      </c>
      <c r="O59" s="519">
        <f>'DATA-GDP Annual'!H14</f>
        <v>95.401013716173367</v>
      </c>
      <c r="P59" s="375">
        <f>'DATA-Employment'!F16</f>
        <v>171.9</v>
      </c>
      <c r="Q59" s="375">
        <f>'DATA-Employment'!F34</f>
        <v>177.2</v>
      </c>
      <c r="R59" s="375">
        <f>'DATA-Employment'!F52</f>
        <v>16.2</v>
      </c>
      <c r="S59" s="375">
        <f>'DATA-Employment'!F70</f>
        <v>16.5</v>
      </c>
      <c r="T59" s="513">
        <f t="shared" si="2"/>
        <v>11316310.025521595</v>
      </c>
      <c r="U59" s="40">
        <f t="shared" si="3"/>
        <v>-252137.97447840497</v>
      </c>
      <c r="V59" s="5">
        <f t="shared" si="4"/>
        <v>-2.1795315540892344E-2</v>
      </c>
      <c r="AD59">
        <f t="shared" si="5"/>
        <v>2.1795315540892344</v>
      </c>
    </row>
    <row r="60" spans="1:30" ht="15" x14ac:dyDescent="0.25">
      <c r="A60" s="3">
        <v>35339</v>
      </c>
      <c r="B60" s="518">
        <f>'DATA-Purchased Power'!F16</f>
        <v>10739347</v>
      </c>
      <c r="C60" s="518">
        <f>'DATA-Degree Days'!F17</f>
        <v>142.1</v>
      </c>
      <c r="D60" s="518">
        <f>'DATA-Degree Days'!F37</f>
        <v>7.3</v>
      </c>
      <c r="E60" s="518">
        <f>'DATA-Calendar'!F17</f>
        <v>352</v>
      </c>
      <c r="F60" s="518">
        <f>'DATA-Calendar'!F37</f>
        <v>31</v>
      </c>
      <c r="G60" s="518">
        <f>'DATA-Calendar'!F57</f>
        <v>1</v>
      </c>
      <c r="H60" s="518">
        <f>'DATA-Calendar'!F77</f>
        <v>0</v>
      </c>
      <c r="I60" s="518">
        <f>'DATA-Calendar'!F96</f>
        <v>0</v>
      </c>
      <c r="J60" s="518">
        <f>'DATA-Calendar'!F115</f>
        <v>1</v>
      </c>
      <c r="K60" s="518">
        <f>'DATA-Customers'!F34</f>
        <v>6048.1559394519236</v>
      </c>
      <c r="L60" s="518">
        <f>'DATA-Population'!F17</f>
        <v>13287.070452951684</v>
      </c>
      <c r="M60" s="518">
        <v>0</v>
      </c>
      <c r="N60" s="519">
        <f>'DATA-GDP Qrtly'!G89</f>
        <v>94.134164936902565</v>
      </c>
      <c r="O60" s="519">
        <f>'DATA-GDP Annual'!H15</f>
        <v>95.487075612857652</v>
      </c>
      <c r="P60" s="375">
        <f>'DATA-Employment'!F17</f>
        <v>174.4</v>
      </c>
      <c r="Q60" s="375">
        <f>'DATA-Employment'!F35</f>
        <v>177.5</v>
      </c>
      <c r="R60" s="375">
        <f>'DATA-Employment'!F53</f>
        <v>16.3</v>
      </c>
      <c r="S60" s="375">
        <f>'DATA-Employment'!F71</f>
        <v>15.8</v>
      </c>
      <c r="T60" s="513">
        <f t="shared" si="2"/>
        <v>10390368.863165127</v>
      </c>
      <c r="U60" s="40">
        <f t="shared" si="3"/>
        <v>-348978.13683487289</v>
      </c>
      <c r="V60" s="5">
        <f t="shared" si="4"/>
        <v>-3.2495284567569414E-2</v>
      </c>
      <c r="AD60">
        <f t="shared" si="5"/>
        <v>3.2495284567569414</v>
      </c>
    </row>
    <row r="61" spans="1:30" ht="15" x14ac:dyDescent="0.25">
      <c r="A61" s="3">
        <v>35370</v>
      </c>
      <c r="B61" s="518">
        <f>'DATA-Purchased Power'!F17</f>
        <v>11382512</v>
      </c>
      <c r="C61" s="518">
        <f>'DATA-Degree Days'!F18</f>
        <v>435.7</v>
      </c>
      <c r="D61" s="518">
        <f>'DATA-Degree Days'!F38</f>
        <v>0</v>
      </c>
      <c r="E61" s="518">
        <f>'DATA-Calendar'!F18</f>
        <v>320</v>
      </c>
      <c r="F61" s="518">
        <f>'DATA-Calendar'!F38</f>
        <v>30</v>
      </c>
      <c r="G61" s="518">
        <f>'DATA-Calendar'!F58</f>
        <v>1</v>
      </c>
      <c r="H61" s="518">
        <f>'DATA-Calendar'!F78</f>
        <v>0</v>
      </c>
      <c r="I61" s="518">
        <f>'DATA-Calendar'!F97</f>
        <v>0</v>
      </c>
      <c r="J61" s="518">
        <f>'DATA-Calendar'!F116</f>
        <v>1</v>
      </c>
      <c r="K61" s="518">
        <f>'DATA-Customers'!F35</f>
        <v>6058.7733297883815</v>
      </c>
      <c r="L61" s="518">
        <f>'DATA-Population'!F18</f>
        <v>13296.906349251216</v>
      </c>
      <c r="M61" s="518">
        <v>0</v>
      </c>
      <c r="N61" s="519">
        <f>'DATA-GDP Qrtly'!G90</f>
        <v>94.184665832517027</v>
      </c>
      <c r="O61" s="519">
        <f>'DATA-GDP Annual'!H16</f>
        <v>95.573215146558283</v>
      </c>
      <c r="P61" s="375">
        <f>'DATA-Employment'!F18</f>
        <v>173.8</v>
      </c>
      <c r="Q61" s="375">
        <f>'DATA-Employment'!F36</f>
        <v>173.9</v>
      </c>
      <c r="R61" s="375">
        <f>'DATA-Employment'!F54</f>
        <v>16.399999999999999</v>
      </c>
      <c r="S61" s="375">
        <f>'DATA-Employment'!F72</f>
        <v>15.5</v>
      </c>
      <c r="T61" s="513">
        <f t="shared" si="2"/>
        <v>10754570.362577984</v>
      </c>
      <c r="U61" s="40">
        <f t="shared" si="3"/>
        <v>-627941.63742201589</v>
      </c>
      <c r="V61" s="5">
        <f t="shared" si="4"/>
        <v>-5.5167228237669848E-2</v>
      </c>
      <c r="AD61">
        <f t="shared" si="5"/>
        <v>5.516722823766985</v>
      </c>
    </row>
    <row r="62" spans="1:30" ht="15" x14ac:dyDescent="0.25">
      <c r="A62" s="3">
        <v>35400</v>
      </c>
      <c r="B62" s="518">
        <f>'DATA-Purchased Power'!F18</f>
        <v>11982545</v>
      </c>
      <c r="C62" s="518">
        <f>'DATA-Degree Days'!F19</f>
        <v>512.79999999999995</v>
      </c>
      <c r="D62" s="518">
        <f>'DATA-Degree Days'!F39</f>
        <v>0</v>
      </c>
      <c r="E62" s="518">
        <f>'DATA-Calendar'!F19</f>
        <v>320</v>
      </c>
      <c r="F62" s="518">
        <f>'DATA-Calendar'!F39</f>
        <v>31</v>
      </c>
      <c r="G62" s="518">
        <f>'DATA-Calendar'!F59</f>
        <v>0</v>
      </c>
      <c r="H62" s="518">
        <f>'DATA-Calendar'!F79</f>
        <v>0</v>
      </c>
      <c r="I62" s="518">
        <f>'DATA-Calendar'!F98</f>
        <v>0</v>
      </c>
      <c r="J62" s="518">
        <f>'DATA-Calendar'!F117</f>
        <v>0</v>
      </c>
      <c r="K62" s="518">
        <f>'DATA-Customers'!F36</f>
        <v>6069.4093586947911</v>
      </c>
      <c r="L62" s="518">
        <f>'DATA-Population'!F19</f>
        <v>13306.749526678394</v>
      </c>
      <c r="M62" s="518">
        <v>0</v>
      </c>
      <c r="N62" s="519">
        <f>'DATA-GDP Qrtly'!G91</f>
        <v>94.235193820744058</v>
      </c>
      <c r="O62" s="519">
        <f>'DATA-GDP Annual'!H17</f>
        <v>95.659432387312208</v>
      </c>
      <c r="P62" s="375">
        <f>'DATA-Employment'!F19</f>
        <v>172</v>
      </c>
      <c r="Q62" s="375">
        <f>'DATA-Employment'!F37</f>
        <v>170.2</v>
      </c>
      <c r="R62" s="375">
        <f>'DATA-Employment'!F55</f>
        <v>17.100000000000001</v>
      </c>
      <c r="S62" s="375">
        <f>'DATA-Employment'!F73</f>
        <v>16.2</v>
      </c>
      <c r="T62" s="513">
        <f t="shared" si="2"/>
        <v>11532652.662739145</v>
      </c>
      <c r="U62" s="40">
        <f t="shared" si="3"/>
        <v>-449892.33726085536</v>
      </c>
      <c r="V62" s="5">
        <f t="shared" si="4"/>
        <v>-3.7545641369246298E-2</v>
      </c>
      <c r="AD62">
        <f t="shared" si="5"/>
        <v>3.7545641369246296</v>
      </c>
    </row>
    <row r="63" spans="1:30" ht="15" x14ac:dyDescent="0.25">
      <c r="A63" s="3">
        <v>35431</v>
      </c>
      <c r="B63" s="518">
        <f>'DATA-Purchased Power'!G7</f>
        <v>12523563</v>
      </c>
      <c r="C63" s="518">
        <f>'DATA-Degree Days'!G8</f>
        <v>663.65</v>
      </c>
      <c r="D63" s="518">
        <f>'DATA-Degree Days'!G28</f>
        <v>0</v>
      </c>
      <c r="E63" s="518">
        <f>'DATA-Calendar'!G8</f>
        <v>352</v>
      </c>
      <c r="F63" s="518">
        <f>'DATA-Calendar'!G28</f>
        <v>31</v>
      </c>
      <c r="G63" s="518">
        <f>'DATA-Calendar'!G48</f>
        <v>0</v>
      </c>
      <c r="H63" s="518">
        <f>'DATA-Calendar'!G68</f>
        <v>0</v>
      </c>
      <c r="I63" s="518">
        <f>'DATA-Calendar'!G87</f>
        <v>0</v>
      </c>
      <c r="J63" s="518">
        <f>'DATA-Calendar'!G106</f>
        <v>0</v>
      </c>
      <c r="K63" s="518">
        <f>'DATA-Customers'!G25</f>
        <v>6080.0640588907072</v>
      </c>
      <c r="L63" s="518">
        <f>'DATA-Population'!G8</f>
        <v>13316.59999062315</v>
      </c>
      <c r="M63" s="518">
        <v>0</v>
      </c>
      <c r="N63" s="519">
        <f>'DATA-GDP Qrtly'!H80</f>
        <v>94.798795908977795</v>
      </c>
      <c r="O63" s="519">
        <f>'DATA-GDP Annual'!I6</f>
        <v>96.013834907485574</v>
      </c>
      <c r="P63" s="375">
        <f>'DATA-Employment'!G8</f>
        <v>169.2</v>
      </c>
      <c r="Q63" s="375">
        <f>'DATA-Employment'!G26</f>
        <v>164.5</v>
      </c>
      <c r="R63" s="375">
        <f>'DATA-Employment'!G44</f>
        <v>17.899999999999999</v>
      </c>
      <c r="S63" s="375">
        <f>'DATA-Employment'!G62</f>
        <v>17.8</v>
      </c>
      <c r="T63" s="513">
        <f t="shared" si="2"/>
        <v>12124706.112362523</v>
      </c>
      <c r="U63" s="40">
        <f t="shared" si="3"/>
        <v>-398856.88763747737</v>
      </c>
      <c r="V63" s="5">
        <f t="shared" si="4"/>
        <v>-3.184851528574395E-2</v>
      </c>
      <c r="AD63">
        <f t="shared" si="5"/>
        <v>3.184851528574395</v>
      </c>
    </row>
    <row r="64" spans="1:30" ht="15" x14ac:dyDescent="0.25">
      <c r="A64" s="3">
        <v>35462</v>
      </c>
      <c r="B64" s="518">
        <f>'DATA-Purchased Power'!G8</f>
        <v>10534404</v>
      </c>
      <c r="C64" s="518">
        <f>'DATA-Degree Days'!G9</f>
        <v>521.4</v>
      </c>
      <c r="D64" s="518">
        <f>'DATA-Degree Days'!G29</f>
        <v>0</v>
      </c>
      <c r="E64" s="518">
        <f>'DATA-Calendar'!G9</f>
        <v>320</v>
      </c>
      <c r="F64" s="518">
        <f>'DATA-Calendar'!G29</f>
        <v>28</v>
      </c>
      <c r="G64" s="518">
        <f>'DATA-Calendar'!G49</f>
        <v>0</v>
      </c>
      <c r="H64" s="518">
        <f>'DATA-Calendar'!G69</f>
        <v>0</v>
      </c>
      <c r="I64" s="518">
        <f>'DATA-Calendar'!G88</f>
        <v>0</v>
      </c>
      <c r="J64" s="518">
        <f>'DATA-Calendar'!G107</f>
        <v>0</v>
      </c>
      <c r="K64" s="518">
        <f>'DATA-Customers'!G26</f>
        <v>6090.7374631531238</v>
      </c>
      <c r="L64" s="518">
        <f>'DATA-Population'!G9</f>
        <v>13326.457746479409</v>
      </c>
      <c r="M64" s="518">
        <v>0</v>
      </c>
      <c r="N64" s="519">
        <f>'DATA-GDP Qrtly'!H81</f>
        <v>95.365768790022386</v>
      </c>
      <c r="O64" s="519">
        <f>'DATA-GDP Annual'!I7</f>
        <v>96.369550430916135</v>
      </c>
      <c r="P64" s="375">
        <f>'DATA-Employment'!G9</f>
        <v>167.7</v>
      </c>
      <c r="Q64" s="375">
        <f>'DATA-Employment'!G27</f>
        <v>160.80000000000001</v>
      </c>
      <c r="R64" s="375">
        <f>'DATA-Employment'!G45</f>
        <v>18.8</v>
      </c>
      <c r="S64" s="375">
        <f>'DATA-Employment'!G63</f>
        <v>19.100000000000001</v>
      </c>
      <c r="T64" s="513">
        <f t="shared" si="2"/>
        <v>10182077.69389738</v>
      </c>
      <c r="U64" s="40">
        <f t="shared" si="3"/>
        <v>-352326.30610262044</v>
      </c>
      <c r="V64" s="5">
        <f t="shared" si="4"/>
        <v>-3.3445300379843078E-2</v>
      </c>
      <c r="AD64">
        <f t="shared" si="5"/>
        <v>3.3445300379843079</v>
      </c>
    </row>
    <row r="65" spans="1:30" ht="15" customHeight="1" x14ac:dyDescent="0.25">
      <c r="A65" s="3">
        <v>35490</v>
      </c>
      <c r="B65" s="518">
        <f>'DATA-Purchased Power'!G9</f>
        <v>11157735</v>
      </c>
      <c r="C65" s="518">
        <f>'DATA-Degree Days'!G10</f>
        <v>536.9</v>
      </c>
      <c r="D65" s="518">
        <f>'DATA-Degree Days'!G30</f>
        <v>0</v>
      </c>
      <c r="E65" s="518">
        <f>'DATA-Calendar'!G10</f>
        <v>304</v>
      </c>
      <c r="F65" s="518">
        <f>'DATA-Calendar'!G30</f>
        <v>31</v>
      </c>
      <c r="G65" s="518">
        <f>'DATA-Calendar'!G50</f>
        <v>1</v>
      </c>
      <c r="H65" s="518">
        <f>'DATA-Calendar'!G70</f>
        <v>0</v>
      </c>
      <c r="I65" s="518">
        <f>'DATA-Calendar'!G89</f>
        <v>1</v>
      </c>
      <c r="J65" s="518">
        <f>'DATA-Calendar'!G108</f>
        <v>0</v>
      </c>
      <c r="K65" s="518">
        <f>'DATA-Customers'!G27</f>
        <v>6101.4296043165741</v>
      </c>
      <c r="L65" s="518">
        <f>'DATA-Population'!G10</f>
        <v>13336.322799645086</v>
      </c>
      <c r="M65" s="518">
        <v>0</v>
      </c>
      <c r="N65" s="519">
        <f>'DATA-GDP Qrtly'!H82</f>
        <v>95.936132623924081</v>
      </c>
      <c r="O65" s="519">
        <f>'DATA-GDP Annual'!I8</f>
        <v>96.726583822065777</v>
      </c>
      <c r="P65" s="375">
        <f>'DATA-Employment'!G10</f>
        <v>167</v>
      </c>
      <c r="Q65" s="375">
        <f>'DATA-Employment'!G28</f>
        <v>158.9</v>
      </c>
      <c r="R65" s="375">
        <f>'DATA-Employment'!G46</f>
        <v>19.899999999999999</v>
      </c>
      <c r="S65" s="375">
        <f>'DATA-Employment'!G64</f>
        <v>21.8</v>
      </c>
      <c r="T65" s="513">
        <f t="shared" si="2"/>
        <v>10824226.453864288</v>
      </c>
      <c r="U65" s="40">
        <f t="shared" si="3"/>
        <v>-333508.54613571241</v>
      </c>
      <c r="V65" s="5">
        <f t="shared" si="4"/>
        <v>-2.9890344781957307E-2</v>
      </c>
      <c r="AD65">
        <f t="shared" si="5"/>
        <v>2.9890344781957308</v>
      </c>
    </row>
    <row r="66" spans="1:30" ht="15" x14ac:dyDescent="0.25">
      <c r="A66" s="3">
        <v>35521</v>
      </c>
      <c r="B66" s="518">
        <f>'DATA-Purchased Power'!G10</f>
        <v>9796251</v>
      </c>
      <c r="C66" s="518">
        <f>'DATA-Degree Days'!G11</f>
        <v>368.15</v>
      </c>
      <c r="D66" s="518">
        <f>'DATA-Degree Days'!G31</f>
        <v>0</v>
      </c>
      <c r="E66" s="518">
        <f>'DATA-Calendar'!G11</f>
        <v>352</v>
      </c>
      <c r="F66" s="518">
        <f>'DATA-Calendar'!G31</f>
        <v>30</v>
      </c>
      <c r="G66" s="518">
        <f>'DATA-Calendar'!G51</f>
        <v>1</v>
      </c>
      <c r="H66" s="518">
        <f>'DATA-Calendar'!G71</f>
        <v>0</v>
      </c>
      <c r="I66" s="518">
        <f>'DATA-Calendar'!G90</f>
        <v>1</v>
      </c>
      <c r="J66" s="518">
        <f>'DATA-Calendar'!G109</f>
        <v>0</v>
      </c>
      <c r="K66" s="518">
        <f>'DATA-Customers'!G28</f>
        <v>6112.1405152732314</v>
      </c>
      <c r="L66" s="518">
        <f>'DATA-Population'!G11</f>
        <v>13346.195155522091</v>
      </c>
      <c r="M66" s="518">
        <v>0</v>
      </c>
      <c r="N66" s="519">
        <f>'DATA-GDP Qrtly'!H83</f>
        <v>96.212661761127123</v>
      </c>
      <c r="O66" s="519">
        <f>'DATA-GDP Annual'!I9</f>
        <v>97.084939963418421</v>
      </c>
      <c r="P66" s="375">
        <f>'DATA-Employment'!G11</f>
        <v>166.5</v>
      </c>
      <c r="Q66" s="375">
        <f>'DATA-Employment'!G29</f>
        <v>160.19999999999999</v>
      </c>
      <c r="R66" s="375">
        <f>'DATA-Employment'!G47</f>
        <v>20.100000000000001</v>
      </c>
      <c r="S66" s="375">
        <f>'DATA-Employment'!G65</f>
        <v>21.6</v>
      </c>
      <c r="T66" s="513">
        <f t="shared" si="2"/>
        <v>9755034.7827362325</v>
      </c>
      <c r="U66" s="40">
        <f t="shared" si="3"/>
        <v>-41216.217263767496</v>
      </c>
      <c r="V66" s="5">
        <f t="shared" si="4"/>
        <v>-4.2073459799843328E-3</v>
      </c>
      <c r="AD66">
        <f t="shared" si="5"/>
        <v>0.42073459799843327</v>
      </c>
    </row>
    <row r="67" spans="1:30" ht="15" x14ac:dyDescent="0.25">
      <c r="A67" s="3">
        <v>35551</v>
      </c>
      <c r="B67" s="518">
        <f>'DATA-Purchased Power'!G11</f>
        <v>9682362</v>
      </c>
      <c r="C67" s="518">
        <f>'DATA-Degree Days'!G12</f>
        <v>259.3</v>
      </c>
      <c r="D67" s="518">
        <f>'DATA-Degree Days'!G32</f>
        <v>0</v>
      </c>
      <c r="E67" s="518">
        <f>'DATA-Calendar'!G12</f>
        <v>336</v>
      </c>
      <c r="F67" s="518">
        <f>'DATA-Calendar'!G32</f>
        <v>31</v>
      </c>
      <c r="G67" s="518">
        <f>'DATA-Calendar'!G52</f>
        <v>1</v>
      </c>
      <c r="H67" s="518">
        <f>'DATA-Calendar'!G72</f>
        <v>0</v>
      </c>
      <c r="I67" s="518">
        <f>'DATA-Calendar'!G91</f>
        <v>1</v>
      </c>
      <c r="J67" s="518">
        <f>'DATA-Calendar'!G110</f>
        <v>0</v>
      </c>
      <c r="K67" s="518">
        <f>'DATA-Customers'!G29</f>
        <v>6122.8702289730099</v>
      </c>
      <c r="L67" s="518">
        <f>'DATA-Population'!G12</f>
        <v>13356.074819516336</v>
      </c>
      <c r="M67" s="518">
        <v>0</v>
      </c>
      <c r="N67" s="519">
        <f>'DATA-GDP Qrtly'!H84</f>
        <v>96.489987974068271</v>
      </c>
      <c r="O67" s="519">
        <f>'DATA-GDP Annual'!I10</f>
        <v>97.444623755546786</v>
      </c>
      <c r="P67" s="375">
        <f>'DATA-Employment'!G12</f>
        <v>167</v>
      </c>
      <c r="Q67" s="375">
        <f>'DATA-Employment'!G30</f>
        <v>164.6</v>
      </c>
      <c r="R67" s="375">
        <f>'DATA-Employment'!G48</f>
        <v>19.8</v>
      </c>
      <c r="S67" s="375">
        <f>'DATA-Employment'!G66</f>
        <v>21</v>
      </c>
      <c r="T67" s="513">
        <f t="shared" si="2"/>
        <v>9877143.9096473847</v>
      </c>
      <c r="U67" s="40">
        <f t="shared" si="3"/>
        <v>194781.90964738466</v>
      </c>
      <c r="V67" s="5">
        <f t="shared" si="4"/>
        <v>2.011718934361106E-2</v>
      </c>
      <c r="AD67">
        <f t="shared" si="5"/>
        <v>2.0117189343611059</v>
      </c>
    </row>
    <row r="68" spans="1:30" ht="15" x14ac:dyDescent="0.25">
      <c r="A68" s="3">
        <v>35582</v>
      </c>
      <c r="B68" s="518">
        <f>'DATA-Purchased Power'!G12</f>
        <v>11112777</v>
      </c>
      <c r="C68" s="518">
        <f>'DATA-Degree Days'!G13</f>
        <v>39.4</v>
      </c>
      <c r="D68" s="518">
        <f>'DATA-Degree Days'!G33</f>
        <v>64.400000000000006</v>
      </c>
      <c r="E68" s="518">
        <f>'DATA-Calendar'!G13</f>
        <v>336</v>
      </c>
      <c r="F68" s="518">
        <f>'DATA-Calendar'!G33</f>
        <v>30</v>
      </c>
      <c r="G68" s="518">
        <f>'DATA-Calendar'!G53</f>
        <v>0</v>
      </c>
      <c r="H68" s="518">
        <f>'DATA-Calendar'!G73</f>
        <v>0</v>
      </c>
      <c r="I68" s="518">
        <f>'DATA-Calendar'!G92</f>
        <v>0</v>
      </c>
      <c r="J68" s="518">
        <f>'DATA-Calendar'!G111</f>
        <v>0</v>
      </c>
      <c r="K68" s="518">
        <f>'DATA-Customers'!G30</f>
        <v>6133.6187784236663</v>
      </c>
      <c r="L68" s="518">
        <f>'DATA-Population'!G13</f>
        <v>13365.961797037733</v>
      </c>
      <c r="M68" s="518">
        <v>0</v>
      </c>
      <c r="N68" s="519">
        <f>'DATA-GDP Qrtly'!H85</f>
        <v>96.768113560262123</v>
      </c>
      <c r="O68" s="519">
        <f>'DATA-GDP Annual'!I11</f>
        <v>97.805640117179436</v>
      </c>
      <c r="P68" s="375">
        <f>'DATA-Employment'!G13</f>
        <v>167.1</v>
      </c>
      <c r="Q68" s="375">
        <f>'DATA-Employment'!G31</f>
        <v>170.1</v>
      </c>
      <c r="R68" s="375">
        <f>'DATA-Employment'!G49</f>
        <v>18.899999999999999</v>
      </c>
      <c r="S68" s="375">
        <f>'DATA-Employment'!G67</f>
        <v>18.5</v>
      </c>
      <c r="T68" s="513">
        <f t="shared" si="2"/>
        <v>11645439.946070712</v>
      </c>
      <c r="U68" s="40">
        <f t="shared" si="3"/>
        <v>532662.94607071206</v>
      </c>
      <c r="V68" s="5">
        <f t="shared" si="4"/>
        <v>4.7932478629843116E-2</v>
      </c>
      <c r="AD68">
        <f t="shared" si="5"/>
        <v>4.7932478629843116</v>
      </c>
    </row>
    <row r="69" spans="1:30" ht="15" x14ac:dyDescent="0.25">
      <c r="A69" s="3">
        <v>35612</v>
      </c>
      <c r="B69" s="518">
        <f>'DATA-Purchased Power'!G13</f>
        <v>12761684</v>
      </c>
      <c r="C69" s="518">
        <f>'DATA-Degree Days'!G14</f>
        <v>8</v>
      </c>
      <c r="D69" s="518">
        <f>'DATA-Degree Days'!G34</f>
        <v>96.6</v>
      </c>
      <c r="E69" s="518">
        <f>'DATA-Calendar'!G14</f>
        <v>352</v>
      </c>
      <c r="F69" s="518">
        <f>'DATA-Calendar'!G34</f>
        <v>31</v>
      </c>
      <c r="G69" s="518">
        <f>'DATA-Calendar'!G54</f>
        <v>0</v>
      </c>
      <c r="H69" s="518">
        <f>'DATA-Calendar'!G74</f>
        <v>1</v>
      </c>
      <c r="I69" s="518">
        <f>'DATA-Calendar'!G93</f>
        <v>0</v>
      </c>
      <c r="J69" s="518">
        <f>'DATA-Calendar'!G112</f>
        <v>0</v>
      </c>
      <c r="K69" s="518">
        <f>'DATA-Customers'!G31</f>
        <v>6144.3861966909026</v>
      </c>
      <c r="L69" s="518">
        <f>'DATA-Population'!G14</f>
        <v>13375.856093500199</v>
      </c>
      <c r="M69" s="518">
        <v>0</v>
      </c>
      <c r="N69" s="519">
        <f>'DATA-GDP Qrtly'!H86</f>
        <v>97.465804046469771</v>
      </c>
      <c r="O69" s="519">
        <f>'DATA-GDP Annual'!I12</f>
        <v>98.167993985267998</v>
      </c>
      <c r="P69" s="375">
        <f>'DATA-Employment'!G14</f>
        <v>168.1</v>
      </c>
      <c r="Q69" s="375">
        <f>'DATA-Employment'!G32</f>
        <v>174.4</v>
      </c>
      <c r="R69" s="375">
        <f>'DATA-Employment'!G50</f>
        <v>18.5</v>
      </c>
      <c r="S69" s="375">
        <f>'DATA-Employment'!G68</f>
        <v>18.3</v>
      </c>
      <c r="T69" s="513">
        <f t="shared" si="2"/>
        <v>13709785.496064276</v>
      </c>
      <c r="U69" s="40">
        <f t="shared" si="3"/>
        <v>948101.4960642755</v>
      </c>
      <c r="V69" s="5">
        <f t="shared" si="4"/>
        <v>7.4292820294271159E-2</v>
      </c>
      <c r="AD69">
        <f t="shared" si="5"/>
        <v>7.4292820294271156</v>
      </c>
    </row>
    <row r="70" spans="1:30" ht="15" x14ac:dyDescent="0.25">
      <c r="A70" s="3">
        <v>35643</v>
      </c>
      <c r="B70" s="518">
        <f>'DATA-Purchased Power'!G14</f>
        <v>12911556</v>
      </c>
      <c r="C70" s="518">
        <f>'DATA-Degree Days'!G15</f>
        <v>7.2</v>
      </c>
      <c r="D70" s="518">
        <f>'DATA-Degree Days'!G35</f>
        <v>71.3</v>
      </c>
      <c r="E70" s="518">
        <f>'DATA-Calendar'!G15</f>
        <v>320</v>
      </c>
      <c r="F70" s="518">
        <f>'DATA-Calendar'!G35</f>
        <v>31</v>
      </c>
      <c r="G70" s="518">
        <f>'DATA-Calendar'!G55</f>
        <v>0</v>
      </c>
      <c r="H70" s="518">
        <f>'DATA-Calendar'!G75</f>
        <v>1</v>
      </c>
      <c r="I70" s="518">
        <f>'DATA-Calendar'!G94</f>
        <v>0</v>
      </c>
      <c r="J70" s="518">
        <f>'DATA-Calendar'!G113</f>
        <v>0</v>
      </c>
      <c r="K70" s="518">
        <f>'DATA-Customers'!G32</f>
        <v>6155.1725168984667</v>
      </c>
      <c r="L70" s="518">
        <f>'DATA-Population'!G15</f>
        <v>13385.757714321657</v>
      </c>
      <c r="M70" s="518">
        <v>0</v>
      </c>
      <c r="N70" s="519">
        <f>'DATA-GDP Qrtly'!H87</f>
        <v>98.168524826197</v>
      </c>
      <c r="O70" s="519">
        <f>'DATA-GDP Annual'!I13</f>
        <v>98.531690315054689</v>
      </c>
      <c r="P70" s="375">
        <f>'DATA-Employment'!G15</f>
        <v>168.4</v>
      </c>
      <c r="Q70" s="375">
        <f>'DATA-Employment'!G33</f>
        <v>175.9</v>
      </c>
      <c r="R70" s="375">
        <f>'DATA-Employment'!G51</f>
        <v>18</v>
      </c>
      <c r="S70" s="375">
        <f>'DATA-Employment'!G69</f>
        <v>18.100000000000001</v>
      </c>
      <c r="T70" s="513">
        <f t="shared" si="2"/>
        <v>12912807.408840403</v>
      </c>
      <c r="U70" s="40">
        <f t="shared" si="3"/>
        <v>1251.4088404029608</v>
      </c>
      <c r="V70" s="5">
        <f t="shared" si="4"/>
        <v>9.6921613506765629E-5</v>
      </c>
      <c r="AD70">
        <f t="shared" si="5"/>
        <v>9.6921613506765637E-3</v>
      </c>
    </row>
    <row r="71" spans="1:30" ht="15" x14ac:dyDescent="0.25">
      <c r="A71" s="3">
        <v>35674</v>
      </c>
      <c r="B71" s="518">
        <f>'DATA-Purchased Power'!G15</f>
        <v>11166200</v>
      </c>
      <c r="C71" s="518">
        <f>'DATA-Degree Days'!G16</f>
        <v>48.7</v>
      </c>
      <c r="D71" s="518">
        <f>'DATA-Degree Days'!G36</f>
        <v>18.3</v>
      </c>
      <c r="E71" s="518">
        <f>'DATA-Calendar'!G16</f>
        <v>336</v>
      </c>
      <c r="F71" s="518">
        <f>'DATA-Calendar'!G36</f>
        <v>30</v>
      </c>
      <c r="G71" s="518">
        <f>'DATA-Calendar'!G56</f>
        <v>1</v>
      </c>
      <c r="H71" s="518">
        <f>'DATA-Calendar'!G76</f>
        <v>1</v>
      </c>
      <c r="I71" s="518">
        <f>'DATA-Calendar'!G95</f>
        <v>0</v>
      </c>
      <c r="J71" s="518">
        <f>'DATA-Calendar'!G114</f>
        <v>1</v>
      </c>
      <c r="K71" s="518">
        <f>'DATA-Customers'!G33</f>
        <v>6165.9777722282543</v>
      </c>
      <c r="L71" s="518">
        <f>'DATA-Population'!G16</f>
        <v>13395.666664924043</v>
      </c>
      <c r="M71" s="518">
        <v>0</v>
      </c>
      <c r="N71" s="519">
        <f>'DATA-GDP Qrtly'!H88</f>
        <v>98.876312167464405</v>
      </c>
      <c r="O71" s="519">
        <f>'DATA-GDP Annual'!I14</f>
        <v>98.896734080140092</v>
      </c>
      <c r="P71" s="375">
        <f>'DATA-Employment'!G16</f>
        <v>167.8</v>
      </c>
      <c r="Q71" s="375">
        <f>'DATA-Employment'!G34</f>
        <v>173.1</v>
      </c>
      <c r="R71" s="375">
        <f>'DATA-Employment'!G52</f>
        <v>18.2</v>
      </c>
      <c r="S71" s="375">
        <f>'DATA-Employment'!G70</f>
        <v>18.399999999999999</v>
      </c>
      <c r="T71" s="513">
        <f t="shared" si="2"/>
        <v>10875558.364076655</v>
      </c>
      <c r="U71" s="40">
        <f t="shared" si="3"/>
        <v>-290641.63592334464</v>
      </c>
      <c r="V71" s="5">
        <f t="shared" si="4"/>
        <v>-2.6028696953605043E-2</v>
      </c>
      <c r="AD71">
        <f t="shared" si="5"/>
        <v>2.6028696953605044</v>
      </c>
    </row>
    <row r="72" spans="1:30" ht="15" x14ac:dyDescent="0.25">
      <c r="A72" s="3">
        <v>35704</v>
      </c>
      <c r="B72" s="518">
        <f>'DATA-Purchased Power'!G16</f>
        <v>10878920</v>
      </c>
      <c r="C72" s="518">
        <f>'DATA-Degree Days'!G17</f>
        <v>222.95</v>
      </c>
      <c r="D72" s="518">
        <f>'DATA-Degree Days'!G37</f>
        <v>2.1</v>
      </c>
      <c r="E72" s="518">
        <f>'DATA-Calendar'!G17</f>
        <v>352</v>
      </c>
      <c r="F72" s="518">
        <f>'DATA-Calendar'!G37</f>
        <v>31</v>
      </c>
      <c r="G72" s="518">
        <f>'DATA-Calendar'!G57</f>
        <v>1</v>
      </c>
      <c r="H72" s="518">
        <f>'DATA-Calendar'!G77</f>
        <v>0</v>
      </c>
      <c r="I72" s="518">
        <f>'DATA-Calendar'!G96</f>
        <v>0</v>
      </c>
      <c r="J72" s="518">
        <f>'DATA-Calendar'!G115</f>
        <v>1</v>
      </c>
      <c r="K72" s="518">
        <f>'DATA-Customers'!G34</f>
        <v>6176.8019959204103</v>
      </c>
      <c r="L72" s="518">
        <f>'DATA-Population'!G17</f>
        <v>13405.582950733306</v>
      </c>
      <c r="M72" s="518">
        <v>0</v>
      </c>
      <c r="N72" s="519">
        <f>'DATA-GDP Qrtly'!H89</f>
        <v>99.249464753865084</v>
      </c>
      <c r="O72" s="519">
        <f>'DATA-GDP Annual'!I15</f>
        <v>99.26313027255118</v>
      </c>
      <c r="P72" s="375">
        <f>'DATA-Employment'!G17</f>
        <v>166.8</v>
      </c>
      <c r="Q72" s="375">
        <f>'DATA-Employment'!G35</f>
        <v>169.9</v>
      </c>
      <c r="R72" s="375">
        <f>'DATA-Employment'!G53</f>
        <v>17.2</v>
      </c>
      <c r="S72" s="375">
        <f>'DATA-Employment'!G71</f>
        <v>16.600000000000001</v>
      </c>
      <c r="T72" s="513">
        <f t="shared" si="2"/>
        <v>10909498.041062433</v>
      </c>
      <c r="U72" s="40">
        <f t="shared" si="3"/>
        <v>30578.041062433273</v>
      </c>
      <c r="V72" s="5">
        <f t="shared" si="4"/>
        <v>2.8107607246338124E-3</v>
      </c>
      <c r="AD72">
        <f t="shared" si="5"/>
        <v>0.28107607246338123</v>
      </c>
    </row>
    <row r="73" spans="1:30" ht="15" x14ac:dyDescent="0.25">
      <c r="A73" s="3">
        <v>35735</v>
      </c>
      <c r="B73" s="518">
        <f>'DATA-Purchased Power'!G17</f>
        <v>11283929</v>
      </c>
      <c r="C73" s="518">
        <f>'DATA-Degree Days'!G18</f>
        <v>413.45</v>
      </c>
      <c r="D73" s="518">
        <f>'DATA-Degree Days'!G38</f>
        <v>0</v>
      </c>
      <c r="E73" s="518">
        <f>'DATA-Calendar'!G18</f>
        <v>304</v>
      </c>
      <c r="F73" s="518">
        <f>'DATA-Calendar'!G38</f>
        <v>30</v>
      </c>
      <c r="G73" s="518">
        <f>'DATA-Calendar'!G58</f>
        <v>1</v>
      </c>
      <c r="H73" s="518">
        <f>'DATA-Calendar'!G78</f>
        <v>0</v>
      </c>
      <c r="I73" s="518">
        <f>'DATA-Calendar'!G97</f>
        <v>0</v>
      </c>
      <c r="J73" s="518">
        <f>'DATA-Calendar'!G116</f>
        <v>1</v>
      </c>
      <c r="K73" s="518">
        <f>'DATA-Customers'!G35</f>
        <v>6187.6452212734321</v>
      </c>
      <c r="L73" s="518">
        <f>'DATA-Population'!G18</f>
        <v>13415.506577179411</v>
      </c>
      <c r="M73" s="518">
        <v>0</v>
      </c>
      <c r="N73" s="519">
        <f>'DATA-GDP Qrtly'!H90</f>
        <v>99.624025593159544</v>
      </c>
      <c r="O73" s="519">
        <f>'DATA-GDP Annual'!I16</f>
        <v>99.630883902809558</v>
      </c>
      <c r="P73" s="375">
        <f>'DATA-Employment'!G18</f>
        <v>166.5</v>
      </c>
      <c r="Q73" s="375">
        <f>'DATA-Employment'!G36</f>
        <v>166.9</v>
      </c>
      <c r="R73" s="375">
        <f>'DATA-Employment'!G54</f>
        <v>16.899999999999999</v>
      </c>
      <c r="S73" s="375">
        <f>'DATA-Employment'!G72</f>
        <v>15.9</v>
      </c>
      <c r="T73" s="513">
        <f t="shared" si="2"/>
        <v>11094479.019355478</v>
      </c>
      <c r="U73" s="40">
        <f t="shared" si="3"/>
        <v>-189449.98064452223</v>
      </c>
      <c r="V73" s="5">
        <f t="shared" si="4"/>
        <v>-1.6789363052933267E-2</v>
      </c>
      <c r="AD73">
        <f t="shared" si="5"/>
        <v>1.6789363052933266</v>
      </c>
    </row>
    <row r="74" spans="1:30" ht="15" x14ac:dyDescent="0.25">
      <c r="A74" s="3">
        <v>35765</v>
      </c>
      <c r="B74" s="518">
        <f>'DATA-Purchased Power'!G18</f>
        <v>12104164</v>
      </c>
      <c r="C74" s="518">
        <f>'DATA-Degree Days'!G19</f>
        <v>529.54999999999995</v>
      </c>
      <c r="D74" s="518">
        <f>'DATA-Degree Days'!G39</f>
        <v>0</v>
      </c>
      <c r="E74" s="518">
        <f>'DATA-Calendar'!G19</f>
        <v>336</v>
      </c>
      <c r="F74" s="518">
        <f>'DATA-Calendar'!G39</f>
        <v>31</v>
      </c>
      <c r="G74" s="518">
        <f>'DATA-Calendar'!G59</f>
        <v>0</v>
      </c>
      <c r="H74" s="518">
        <f>'DATA-Calendar'!G79</f>
        <v>0</v>
      </c>
      <c r="I74" s="518">
        <f>'DATA-Calendar'!G98</f>
        <v>0</v>
      </c>
      <c r="J74" s="518">
        <f>'DATA-Calendar'!G117</f>
        <v>0</v>
      </c>
      <c r="K74" s="518">
        <f>'DATA-Customers'!G36</f>
        <v>6198.507481644273</v>
      </c>
      <c r="L74" s="518">
        <f>'DATA-Population'!G19</f>
        <v>13425.437549696344</v>
      </c>
      <c r="M74" s="518">
        <v>0</v>
      </c>
      <c r="N74" s="519">
        <f>'DATA-GDP Qrtly'!H91</f>
        <v>100</v>
      </c>
      <c r="O74" s="519">
        <f>'DATA-GDP Annual'!I17</f>
        <v>100</v>
      </c>
      <c r="P74" s="375">
        <f>'DATA-Employment'!G19</f>
        <v>166.5</v>
      </c>
      <c r="Q74" s="375">
        <f>'DATA-Employment'!G37</f>
        <v>165.2</v>
      </c>
      <c r="R74" s="375">
        <f>'DATA-Employment'!G55</f>
        <v>15.7</v>
      </c>
      <c r="S74" s="375">
        <f>'DATA-Employment'!G73</f>
        <v>14.6</v>
      </c>
      <c r="T74" s="513">
        <f t="shared" si="2"/>
        <v>12045511.016520558</v>
      </c>
      <c r="U74" s="40">
        <f t="shared" si="3"/>
        <v>-58652.983479442075</v>
      </c>
      <c r="V74" s="5">
        <f t="shared" si="4"/>
        <v>-4.8456864496748452E-3</v>
      </c>
      <c r="AD74">
        <f t="shared" si="5"/>
        <v>0.48456864496748453</v>
      </c>
    </row>
    <row r="75" spans="1:30" ht="15" x14ac:dyDescent="0.25">
      <c r="A75" s="3">
        <v>35796</v>
      </c>
      <c r="B75" s="518">
        <f>'DATA-Purchased Power'!H7</f>
        <v>12025224</v>
      </c>
      <c r="C75" s="518">
        <f>'DATA-Degree Days'!H8</f>
        <v>563.04999999999995</v>
      </c>
      <c r="D75" s="518">
        <f>'DATA-Degree Days'!H28</f>
        <v>0</v>
      </c>
      <c r="E75" s="518">
        <f>'DATA-Calendar'!H8</f>
        <v>336</v>
      </c>
      <c r="F75" s="518">
        <f>'DATA-Calendar'!H28</f>
        <v>31</v>
      </c>
      <c r="G75" s="518">
        <f>'DATA-Calendar'!H48</f>
        <v>0</v>
      </c>
      <c r="H75" s="518">
        <f>'DATA-Calendar'!H68</f>
        <v>0</v>
      </c>
      <c r="I75" s="518">
        <f>'DATA-Calendar'!H87</f>
        <v>0</v>
      </c>
      <c r="J75" s="518">
        <f>'DATA-Calendar'!H106</f>
        <v>0</v>
      </c>
      <c r="K75" s="518">
        <f>'DATA-Customers'!H25</f>
        <v>6209.3888104484431</v>
      </c>
      <c r="L75" s="518">
        <f>'DATA-Population'!I8</f>
        <v>13555.2111646591</v>
      </c>
      <c r="M75" s="518">
        <v>0</v>
      </c>
      <c r="N75" s="519">
        <f>'DATA-GDP Qrtly'!I80</f>
        <v>100.59239438466572</v>
      </c>
      <c r="O75" s="519">
        <f>'DATA-GDP Annual'!J6</f>
        <v>100.39254461560812</v>
      </c>
      <c r="P75" s="375">
        <f>'DATA-Employment'!H8</f>
        <v>168.4</v>
      </c>
      <c r="Q75" s="375">
        <f>'DATA-Employment'!H26</f>
        <v>164</v>
      </c>
      <c r="R75" s="375">
        <f>'DATA-Employment'!H44</f>
        <v>15.1</v>
      </c>
      <c r="S75" s="375">
        <f>'DATA-Employment'!H62</f>
        <v>14.9</v>
      </c>
      <c r="T75" s="513">
        <f t="shared" si="2"/>
        <v>12209615.475866357</v>
      </c>
      <c r="U75" s="40">
        <f t="shared" si="3"/>
        <v>184391.47586635686</v>
      </c>
      <c r="V75" s="5">
        <f t="shared" si="4"/>
        <v>1.5333724832598284E-2</v>
      </c>
      <c r="AD75">
        <f t="shared" si="5"/>
        <v>1.5333724832598283</v>
      </c>
    </row>
    <row r="76" spans="1:30" ht="15" x14ac:dyDescent="0.25">
      <c r="A76" s="3">
        <v>35827</v>
      </c>
      <c r="B76" s="518">
        <f>'DATA-Purchased Power'!H8</f>
        <v>10422047</v>
      </c>
      <c r="C76" s="518">
        <f>'DATA-Degree Days'!H9</f>
        <v>501.6</v>
      </c>
      <c r="D76" s="518">
        <f>'DATA-Degree Days'!H29</f>
        <v>0</v>
      </c>
      <c r="E76" s="518">
        <f>'DATA-Calendar'!H9</f>
        <v>320</v>
      </c>
      <c r="F76" s="518">
        <f>'DATA-Calendar'!H29</f>
        <v>28</v>
      </c>
      <c r="G76" s="518">
        <f>'DATA-Calendar'!H49</f>
        <v>0</v>
      </c>
      <c r="H76" s="518">
        <f>'DATA-Calendar'!H69</f>
        <v>0</v>
      </c>
      <c r="I76" s="518">
        <f>'DATA-Calendar'!H88</f>
        <v>0</v>
      </c>
      <c r="J76" s="518">
        <f>'DATA-Calendar'!H107</f>
        <v>0</v>
      </c>
      <c r="K76" s="518">
        <f>'DATA-Customers'!H26</f>
        <v>6220.2892411601115</v>
      </c>
      <c r="L76" s="518">
        <f>'DATA-Population'!I9</f>
        <v>13565.245554994121</v>
      </c>
      <c r="M76" s="518">
        <v>0</v>
      </c>
      <c r="N76" s="519">
        <f>'DATA-GDP Qrtly'!I81</f>
        <v>101.18829808040128</v>
      </c>
      <c r="O76" s="519">
        <f>'DATA-GDP Annual'!J7</f>
        <v>100.78663014396867</v>
      </c>
      <c r="P76" s="375">
        <f>'DATA-Employment'!H9</f>
        <v>171.2</v>
      </c>
      <c r="Q76" s="375">
        <f>'DATA-Employment'!H27</f>
        <v>164.6</v>
      </c>
      <c r="R76" s="375">
        <f>'DATA-Employment'!H45</f>
        <v>14.2</v>
      </c>
      <c r="S76" s="375">
        <f>'DATA-Employment'!H63</f>
        <v>14.4</v>
      </c>
      <c r="T76" s="513">
        <f t="shared" si="2"/>
        <v>10568365.070673153</v>
      </c>
      <c r="U76" s="40">
        <f t="shared" si="3"/>
        <v>146318.0706731528</v>
      </c>
      <c r="V76" s="5">
        <f t="shared" si="4"/>
        <v>1.4039283326313228E-2</v>
      </c>
      <c r="AD76">
        <f t="shared" si="5"/>
        <v>1.4039283326313228</v>
      </c>
    </row>
    <row r="77" spans="1:30" ht="15" x14ac:dyDescent="0.25">
      <c r="A77" s="3">
        <v>35855</v>
      </c>
      <c r="B77" s="518">
        <f>'DATA-Purchased Power'!H9</f>
        <v>11207633</v>
      </c>
      <c r="C77" s="518">
        <f>'DATA-Degree Days'!H10</f>
        <v>483.8</v>
      </c>
      <c r="D77" s="518">
        <f>'DATA-Degree Days'!H30</f>
        <v>0</v>
      </c>
      <c r="E77" s="518">
        <f>'DATA-Calendar'!H10</f>
        <v>352</v>
      </c>
      <c r="F77" s="518">
        <f>'DATA-Calendar'!H30</f>
        <v>31</v>
      </c>
      <c r="G77" s="518">
        <f>'DATA-Calendar'!H50</f>
        <v>1</v>
      </c>
      <c r="H77" s="518">
        <f>'DATA-Calendar'!H70</f>
        <v>0</v>
      </c>
      <c r="I77" s="518">
        <f>'DATA-Calendar'!H89</f>
        <v>1</v>
      </c>
      <c r="J77" s="518">
        <f>'DATA-Calendar'!H108</f>
        <v>0</v>
      </c>
      <c r="K77" s="518">
        <f>'DATA-Customers'!H27</f>
        <v>6231.2088073122122</v>
      </c>
      <c r="L77" s="518">
        <f>'DATA-Population'!I10</f>
        <v>13575.287373394125</v>
      </c>
      <c r="M77" s="518">
        <v>0</v>
      </c>
      <c r="N77" s="519">
        <f>'DATA-GDP Qrtly'!I82</f>
        <v>101.78773187616837</v>
      </c>
      <c r="O77" s="519">
        <f>'DATA-GDP Annual'!J8</f>
        <v>101.18226263385168</v>
      </c>
      <c r="P77" s="375">
        <f>'DATA-Employment'!H10</f>
        <v>174.2</v>
      </c>
      <c r="Q77" s="375">
        <f>'DATA-Employment'!H28</f>
        <v>166.5</v>
      </c>
      <c r="R77" s="375">
        <f>'DATA-Employment'!H46</f>
        <v>14.3</v>
      </c>
      <c r="S77" s="375">
        <f>'DATA-Employment'!H64</f>
        <v>15.7</v>
      </c>
      <c r="T77" s="513">
        <f t="shared" si="2"/>
        <v>11091963.562195631</v>
      </c>
      <c r="U77" s="40">
        <f t="shared" si="3"/>
        <v>-115669.43780436926</v>
      </c>
      <c r="V77" s="5">
        <f t="shared" si="4"/>
        <v>-1.0320594705801774E-2</v>
      </c>
      <c r="AD77">
        <f t="shared" si="5"/>
        <v>1.0320594705801773</v>
      </c>
    </row>
    <row r="78" spans="1:30" ht="15" x14ac:dyDescent="0.25">
      <c r="A78" s="3">
        <v>35886</v>
      </c>
      <c r="B78" s="518">
        <f>'DATA-Purchased Power'!H10</f>
        <v>9741038</v>
      </c>
      <c r="C78" s="518">
        <f>'DATA-Degree Days'!H11</f>
        <v>285.39999999999992</v>
      </c>
      <c r="D78" s="518">
        <f>'DATA-Degree Days'!H31</f>
        <v>0</v>
      </c>
      <c r="E78" s="518">
        <f>'DATA-Calendar'!H11</f>
        <v>336</v>
      </c>
      <c r="F78" s="518">
        <f>'DATA-Calendar'!H31</f>
        <v>30</v>
      </c>
      <c r="G78" s="518">
        <f>'DATA-Calendar'!H51</f>
        <v>1</v>
      </c>
      <c r="H78" s="518">
        <f>'DATA-Calendar'!H71</f>
        <v>0</v>
      </c>
      <c r="I78" s="518">
        <f>'DATA-Calendar'!H90</f>
        <v>1</v>
      </c>
      <c r="J78" s="518">
        <f>'DATA-Calendar'!H109</f>
        <v>0</v>
      </c>
      <c r="K78" s="518">
        <f>'DATA-Customers'!H28</f>
        <v>6242.1475424965438</v>
      </c>
      <c r="L78" s="518">
        <f>'DATA-Population'!I11</f>
        <v>13585.336625357817</v>
      </c>
      <c r="M78" s="518">
        <v>0</v>
      </c>
      <c r="N78" s="519">
        <f>'DATA-GDP Qrtly'!I83</f>
        <v>101.83341896125467</v>
      </c>
      <c r="O78" s="519">
        <f>'DATA-GDP Annual'!J9</f>
        <v>101.57944815777132</v>
      </c>
      <c r="P78" s="375">
        <f>'DATA-Employment'!H11</f>
        <v>174.5</v>
      </c>
      <c r="Q78" s="375">
        <f>'DATA-Employment'!H29</f>
        <v>168.5</v>
      </c>
      <c r="R78" s="375">
        <f>'DATA-Employment'!H47</f>
        <v>15.5</v>
      </c>
      <c r="S78" s="375">
        <f>'DATA-Employment'!H65</f>
        <v>16.7</v>
      </c>
      <c r="T78" s="513">
        <f t="shared" si="2"/>
        <v>9917679.6114060692</v>
      </c>
      <c r="U78" s="40">
        <f t="shared" si="3"/>
        <v>176641.61140606925</v>
      </c>
      <c r="V78" s="5">
        <f t="shared" si="4"/>
        <v>1.8133756526364977E-2</v>
      </c>
      <c r="AD78">
        <f t="shared" si="5"/>
        <v>1.8133756526364977</v>
      </c>
    </row>
    <row r="79" spans="1:30" ht="15" x14ac:dyDescent="0.25">
      <c r="A79" s="3">
        <v>35916</v>
      </c>
      <c r="B79" s="518">
        <f>'DATA-Purchased Power'!H11</f>
        <v>10680353</v>
      </c>
      <c r="C79" s="518">
        <f>'DATA-Degree Days'!H12</f>
        <v>107.59999999999998</v>
      </c>
      <c r="D79" s="518">
        <f>'DATA-Degree Days'!H32</f>
        <v>16.799999999999997</v>
      </c>
      <c r="E79" s="518">
        <f>'DATA-Calendar'!H12</f>
        <v>320</v>
      </c>
      <c r="F79" s="518">
        <f>'DATA-Calendar'!H32</f>
        <v>31</v>
      </c>
      <c r="G79" s="518">
        <f>'DATA-Calendar'!H52</f>
        <v>1</v>
      </c>
      <c r="H79" s="518">
        <f>'DATA-Calendar'!H72</f>
        <v>0</v>
      </c>
      <c r="I79" s="518">
        <f>'DATA-Calendar'!H91</f>
        <v>1</v>
      </c>
      <c r="J79" s="518">
        <f>'DATA-Calendar'!H110</f>
        <v>0</v>
      </c>
      <c r="K79" s="518">
        <f>'DATA-Customers'!H29</f>
        <v>6253.1054803638754</v>
      </c>
      <c r="L79" s="518">
        <f>'DATA-Population'!I12</f>
        <v>13595.393316387972</v>
      </c>
      <c r="M79" s="518">
        <v>0</v>
      </c>
      <c r="N79" s="519">
        <f>'DATA-GDP Qrtly'!I84</f>
        <v>101.87912655283723</v>
      </c>
      <c r="O79" s="519">
        <f>'DATA-GDP Annual'!J10</f>
        <v>101.97819281207909</v>
      </c>
      <c r="P79" s="375">
        <f>'DATA-Employment'!H12</f>
        <v>173.4</v>
      </c>
      <c r="Q79" s="375">
        <f>'DATA-Employment'!H30</f>
        <v>171.3</v>
      </c>
      <c r="R79" s="375">
        <f>'DATA-Employment'!H48</f>
        <v>15.8</v>
      </c>
      <c r="S79" s="375">
        <f>'DATA-Employment'!H66</f>
        <v>17</v>
      </c>
      <c r="T79" s="513">
        <f t="shared" si="2"/>
        <v>10342442.808286294</v>
      </c>
      <c r="U79" s="40">
        <f t="shared" si="3"/>
        <v>-337910.19171370566</v>
      </c>
      <c r="V79" s="5">
        <f t="shared" si="4"/>
        <v>-3.1638485330373035E-2</v>
      </c>
      <c r="AD79">
        <f t="shared" si="5"/>
        <v>3.1638485330373034</v>
      </c>
    </row>
    <row r="80" spans="1:30" ht="15" x14ac:dyDescent="0.25">
      <c r="A80" s="3">
        <v>35947</v>
      </c>
      <c r="B80" s="518">
        <f>'DATA-Purchased Power'!H12</f>
        <v>12119728</v>
      </c>
      <c r="C80" s="518">
        <f>'DATA-Degree Days'!H13</f>
        <v>44.999999999999993</v>
      </c>
      <c r="D80" s="518">
        <f>'DATA-Degree Days'!H33</f>
        <v>52.999999999999986</v>
      </c>
      <c r="E80" s="518">
        <f>'DATA-Calendar'!H13</f>
        <v>352</v>
      </c>
      <c r="F80" s="518">
        <f>'DATA-Calendar'!H33</f>
        <v>30</v>
      </c>
      <c r="G80" s="518">
        <f>'DATA-Calendar'!H53</f>
        <v>0</v>
      </c>
      <c r="H80" s="518">
        <f>'DATA-Calendar'!H73</f>
        <v>0</v>
      </c>
      <c r="I80" s="518">
        <f>'DATA-Calendar'!H92</f>
        <v>0</v>
      </c>
      <c r="J80" s="518">
        <f>'DATA-Calendar'!H111</f>
        <v>0</v>
      </c>
      <c r="K80" s="518">
        <f>'DATA-Customers'!H30</f>
        <v>6264.0826546240487</v>
      </c>
      <c r="L80" s="518">
        <f>'DATA-Population'!I13</f>
        <v>13605.45745199144</v>
      </c>
      <c r="M80" s="518">
        <v>0</v>
      </c>
      <c r="N80" s="519">
        <f>'DATA-GDP Qrtly'!I85</f>
        <v>101.92485466012037</v>
      </c>
      <c r="O80" s="519">
        <f>'DATA-GDP Annual'!J11</f>
        <v>102.37850271705736</v>
      </c>
      <c r="P80" s="375">
        <f>'DATA-Employment'!H13</f>
        <v>173.5</v>
      </c>
      <c r="Q80" s="375">
        <f>'DATA-Employment'!H31</f>
        <v>176.4</v>
      </c>
      <c r="R80" s="375">
        <f>'DATA-Employment'!H49</f>
        <v>16.5</v>
      </c>
      <c r="S80" s="375">
        <f>'DATA-Employment'!H67</f>
        <v>16.5</v>
      </c>
      <c r="T80" s="513">
        <f t="shared" si="2"/>
        <v>11766586.081813667</v>
      </c>
      <c r="U80" s="40">
        <f t="shared" si="3"/>
        <v>-353141.91818633303</v>
      </c>
      <c r="V80" s="5">
        <f t="shared" si="4"/>
        <v>-2.9137775879651179E-2</v>
      </c>
      <c r="AD80">
        <f t="shared" si="5"/>
        <v>2.913777587965118</v>
      </c>
    </row>
    <row r="81" spans="1:30" ht="15" x14ac:dyDescent="0.25">
      <c r="A81" s="3">
        <v>35977</v>
      </c>
      <c r="B81" s="518">
        <f>'DATA-Purchased Power'!H13</f>
        <v>14386013</v>
      </c>
      <c r="C81" s="518">
        <f>'DATA-Degree Days'!H14</f>
        <v>0</v>
      </c>
      <c r="D81" s="518">
        <f>'DATA-Degree Days'!H34</f>
        <v>141.85</v>
      </c>
      <c r="E81" s="518">
        <f>'DATA-Calendar'!H14</f>
        <v>352</v>
      </c>
      <c r="F81" s="518">
        <f>'DATA-Calendar'!H34</f>
        <v>31</v>
      </c>
      <c r="G81" s="518">
        <f>'DATA-Calendar'!H54</f>
        <v>0</v>
      </c>
      <c r="H81" s="518">
        <f>'DATA-Calendar'!H74</f>
        <v>1</v>
      </c>
      <c r="I81" s="518">
        <f>'DATA-Calendar'!H93</f>
        <v>0</v>
      </c>
      <c r="J81" s="518">
        <f>'DATA-Calendar'!H112</f>
        <v>0</v>
      </c>
      <c r="K81" s="518">
        <f>'DATA-Customers'!H31</f>
        <v>6275.0790990460828</v>
      </c>
      <c r="L81" s="518">
        <f>'DATA-Population'!I14</f>
        <v>13615.529037679145</v>
      </c>
      <c r="M81" s="518">
        <v>0</v>
      </c>
      <c r="N81" s="519">
        <f>'DATA-GDP Qrtly'!I86</f>
        <v>102.20423974645402</v>
      </c>
      <c r="O81" s="519">
        <f>'DATA-GDP Annual'!J12</f>
        <v>102.78038401701338</v>
      </c>
      <c r="P81" s="375">
        <f>'DATA-Employment'!H14</f>
        <v>175</v>
      </c>
      <c r="Q81" s="375">
        <f>'DATA-Employment'!H32</f>
        <v>181.6</v>
      </c>
      <c r="R81" s="375">
        <f>'DATA-Employment'!H50</f>
        <v>15.4</v>
      </c>
      <c r="S81" s="375">
        <f>'DATA-Employment'!H68</f>
        <v>15.3</v>
      </c>
      <c r="T81" s="513">
        <f t="shared" si="2"/>
        <v>15647584.206621202</v>
      </c>
      <c r="U81" s="40">
        <f t="shared" si="3"/>
        <v>1261571.2066212017</v>
      </c>
      <c r="V81" s="5">
        <f t="shared" si="4"/>
        <v>8.769429074067997E-2</v>
      </c>
      <c r="AD81">
        <f t="shared" si="5"/>
        <v>8.7694290740679968</v>
      </c>
    </row>
    <row r="82" spans="1:30" ht="15" x14ac:dyDescent="0.25">
      <c r="A82" s="3">
        <v>36008</v>
      </c>
      <c r="B82" s="518">
        <f>'DATA-Purchased Power'!H14</f>
        <v>15439866</v>
      </c>
      <c r="C82" s="518">
        <f>'DATA-Degree Days'!H15</f>
        <v>0</v>
      </c>
      <c r="D82" s="518">
        <f>'DATA-Degree Days'!H35</f>
        <v>139.69999999999996</v>
      </c>
      <c r="E82" s="518">
        <f>'DATA-Calendar'!H15</f>
        <v>320</v>
      </c>
      <c r="F82" s="518">
        <f>'DATA-Calendar'!H35</f>
        <v>31</v>
      </c>
      <c r="G82" s="518">
        <f>'DATA-Calendar'!H55</f>
        <v>0</v>
      </c>
      <c r="H82" s="518">
        <f>'DATA-Calendar'!H75</f>
        <v>1</v>
      </c>
      <c r="I82" s="518">
        <f>'DATA-Calendar'!H94</f>
        <v>0</v>
      </c>
      <c r="J82" s="518">
        <f>'DATA-Calendar'!H113</f>
        <v>0</v>
      </c>
      <c r="K82" s="518">
        <f>'DATA-Customers'!H32</f>
        <v>6286.0948474582765</v>
      </c>
      <c r="L82" s="518">
        <f>'DATA-Population'!I15</f>
        <v>13625.608078966092</v>
      </c>
      <c r="M82" s="518">
        <v>0</v>
      </c>
      <c r="N82" s="519">
        <f>'DATA-GDP Qrtly'!I87</f>
        <v>102.48439065214278</v>
      </c>
      <c r="O82" s="519">
        <f>'DATA-GDP Annual'!J13</f>
        <v>103.1838428803735</v>
      </c>
      <c r="P82" s="375">
        <f>'DATA-Employment'!H15</f>
        <v>176.2</v>
      </c>
      <c r="Q82" s="375">
        <f>'DATA-Employment'!H33</f>
        <v>183.9</v>
      </c>
      <c r="R82" s="375">
        <f>'DATA-Employment'!H51</f>
        <v>15.8</v>
      </c>
      <c r="S82" s="375">
        <f>'DATA-Employment'!H69</f>
        <v>15.6</v>
      </c>
      <c r="T82" s="513">
        <f t="shared" si="2"/>
        <v>15618834.401679887</v>
      </c>
      <c r="U82" s="40">
        <f t="shared" si="3"/>
        <v>178968.40167988651</v>
      </c>
      <c r="V82" s="5">
        <f t="shared" si="4"/>
        <v>1.1591318323610225E-2</v>
      </c>
      <c r="AD82">
        <f t="shared" si="5"/>
        <v>1.1591318323610225</v>
      </c>
    </row>
    <row r="83" spans="1:30" ht="15" x14ac:dyDescent="0.25">
      <c r="A83" s="3">
        <v>36039</v>
      </c>
      <c r="B83" s="518">
        <f>'DATA-Purchased Power'!H15</f>
        <v>12625438</v>
      </c>
      <c r="C83" s="518">
        <f>'DATA-Degree Days'!H16</f>
        <v>14.600000000000001</v>
      </c>
      <c r="D83" s="518">
        <f>'DATA-Degree Days'!H36</f>
        <v>64.199999999999989</v>
      </c>
      <c r="E83" s="518">
        <f>'DATA-Calendar'!H16</f>
        <v>336</v>
      </c>
      <c r="F83" s="518">
        <f>'DATA-Calendar'!H36</f>
        <v>30</v>
      </c>
      <c r="G83" s="518">
        <f>'DATA-Calendar'!H56</f>
        <v>1</v>
      </c>
      <c r="H83" s="518">
        <f>'DATA-Calendar'!H76</f>
        <v>1</v>
      </c>
      <c r="I83" s="518">
        <f>'DATA-Calendar'!H95</f>
        <v>0</v>
      </c>
      <c r="J83" s="518">
        <f>'DATA-Calendar'!H114</f>
        <v>1</v>
      </c>
      <c r="K83" s="518">
        <f>'DATA-Customers'!H33</f>
        <v>6297.1299337483142</v>
      </c>
      <c r="L83" s="518">
        <f>'DATA-Population'!I16</f>
        <v>13635.694581371368</v>
      </c>
      <c r="M83" s="518">
        <v>0</v>
      </c>
      <c r="N83" s="519">
        <f>'DATA-GDP Qrtly'!I88</f>
        <v>102.76530947636557</v>
      </c>
      <c r="O83" s="519">
        <f>'DATA-GDP Annual'!J14</f>
        <v>103.58888549977794</v>
      </c>
      <c r="P83" s="375">
        <f>'DATA-Employment'!H16</f>
        <v>176.8</v>
      </c>
      <c r="Q83" s="375">
        <f>'DATA-Employment'!H34</f>
        <v>182.4</v>
      </c>
      <c r="R83" s="375">
        <f>'DATA-Employment'!H52</f>
        <v>14.8</v>
      </c>
      <c r="S83" s="375">
        <f>'DATA-Employment'!H70</f>
        <v>14.7</v>
      </c>
      <c r="T83" s="513">
        <f t="shared" si="2"/>
        <v>12746957.131649498</v>
      </c>
      <c r="U83" s="40">
        <f t="shared" si="3"/>
        <v>121519.1316494979</v>
      </c>
      <c r="V83" s="5">
        <f t="shared" si="4"/>
        <v>9.6249438355721119E-3</v>
      </c>
      <c r="AD83">
        <f t="shared" si="5"/>
        <v>0.96249438355721117</v>
      </c>
    </row>
    <row r="84" spans="1:30" ht="15" x14ac:dyDescent="0.25">
      <c r="A84" s="3">
        <v>36069</v>
      </c>
      <c r="B84" s="518">
        <f>'DATA-Purchased Power'!H16</f>
        <v>11287268</v>
      </c>
      <c r="C84" s="518">
        <f>'DATA-Degree Days'!H17</f>
        <v>157</v>
      </c>
      <c r="D84" s="518">
        <f>'DATA-Degree Days'!H37</f>
        <v>0.3</v>
      </c>
      <c r="E84" s="518">
        <f>'DATA-Calendar'!H17</f>
        <v>336</v>
      </c>
      <c r="F84" s="518">
        <f>'DATA-Calendar'!H37</f>
        <v>31</v>
      </c>
      <c r="G84" s="518">
        <f>'DATA-Calendar'!H57</f>
        <v>1</v>
      </c>
      <c r="H84" s="518">
        <f>'DATA-Calendar'!H77</f>
        <v>0</v>
      </c>
      <c r="I84" s="518">
        <f>'DATA-Calendar'!H96</f>
        <v>0</v>
      </c>
      <c r="J84" s="518">
        <f>'DATA-Calendar'!H115</f>
        <v>1</v>
      </c>
      <c r="K84" s="518">
        <f>'DATA-Customers'!H34</f>
        <v>6308.1843918633695</v>
      </c>
      <c r="L84" s="518">
        <f>'DATA-Population'!I17</f>
        <v>13645.788550418147</v>
      </c>
      <c r="M84" s="518">
        <v>0</v>
      </c>
      <c r="N84" s="519">
        <f>'DATA-GDP Qrtly'!I89</f>
        <v>103.18268392205786</v>
      </c>
      <c r="O84" s="519">
        <f>'DATA-GDP Annual'!J15</f>
        <v>103.99551809217577</v>
      </c>
      <c r="P84" s="375">
        <f>'DATA-Employment'!H17</f>
        <v>177.3</v>
      </c>
      <c r="Q84" s="375">
        <f>'DATA-Employment'!H35</f>
        <v>180.6</v>
      </c>
      <c r="R84" s="375">
        <f>'DATA-Employment'!H53</f>
        <v>14.2</v>
      </c>
      <c r="S84" s="375">
        <f>'DATA-Employment'!H71</f>
        <v>13.4</v>
      </c>
      <c r="T84" s="513">
        <f t="shared" si="2"/>
        <v>11099521.949966758</v>
      </c>
      <c r="U84" s="40">
        <f t="shared" si="3"/>
        <v>-187746.05003324151</v>
      </c>
      <c r="V84" s="5">
        <f t="shared" si="4"/>
        <v>-1.6633436012438219E-2</v>
      </c>
      <c r="AD84">
        <f t="shared" si="5"/>
        <v>1.6633436012438219</v>
      </c>
    </row>
    <row r="85" spans="1:30" ht="15" x14ac:dyDescent="0.25">
      <c r="A85" s="3">
        <v>36100</v>
      </c>
      <c r="B85" s="518">
        <f>'DATA-Purchased Power'!H17</f>
        <v>11223313</v>
      </c>
      <c r="C85" s="518">
        <f>'DATA-Degree Days'!H18</f>
        <v>340.5</v>
      </c>
      <c r="D85" s="518">
        <f>'DATA-Degree Days'!H38</f>
        <v>0</v>
      </c>
      <c r="E85" s="518">
        <f>'DATA-Calendar'!H18</f>
        <v>336</v>
      </c>
      <c r="F85" s="518">
        <f>'DATA-Calendar'!H38</f>
        <v>30</v>
      </c>
      <c r="G85" s="518">
        <f>'DATA-Calendar'!H58</f>
        <v>1</v>
      </c>
      <c r="H85" s="518">
        <f>'DATA-Calendar'!H78</f>
        <v>0</v>
      </c>
      <c r="I85" s="518">
        <f>'DATA-Calendar'!H97</f>
        <v>0</v>
      </c>
      <c r="J85" s="518">
        <f>'DATA-Calendar'!H116</f>
        <v>1</v>
      </c>
      <c r="K85" s="518">
        <f>'DATA-Customers'!H35</f>
        <v>6319.2582558102094</v>
      </c>
      <c r="L85" s="518">
        <f>'DATA-Population'!I18</f>
        <v>13655.889991633689</v>
      </c>
      <c r="M85" s="518">
        <v>0</v>
      </c>
      <c r="N85" s="519">
        <f>'DATA-GDP Qrtly'!I90</f>
        <v>103.60175350620499</v>
      </c>
      <c r="O85" s="519">
        <f>'DATA-GDP Annual'!J16</f>
        <v>104.40374689892037</v>
      </c>
      <c r="P85" s="375">
        <f>'DATA-Employment'!H18</f>
        <v>178.8</v>
      </c>
      <c r="Q85" s="375">
        <f>'DATA-Employment'!H36</f>
        <v>179.5</v>
      </c>
      <c r="R85" s="375">
        <f>'DATA-Employment'!H54</f>
        <v>12.6</v>
      </c>
      <c r="S85" s="375">
        <f>'DATA-Employment'!H72</f>
        <v>11.5</v>
      </c>
      <c r="T85" s="513">
        <f t="shared" si="2"/>
        <v>11322128.779997634</v>
      </c>
      <c r="U85" s="40">
        <f t="shared" si="3"/>
        <v>98815.77999763377</v>
      </c>
      <c r="V85" s="5">
        <f t="shared" si="4"/>
        <v>8.8045107534320544E-3</v>
      </c>
      <c r="AD85">
        <f t="shared" si="5"/>
        <v>0.88045107534320544</v>
      </c>
    </row>
    <row r="86" spans="1:30" ht="15" x14ac:dyDescent="0.25">
      <c r="A86" s="3">
        <v>36130</v>
      </c>
      <c r="B86" s="518">
        <f>'DATA-Purchased Power'!H18</f>
        <v>12223679</v>
      </c>
      <c r="C86" s="518">
        <f>'DATA-Degree Days'!H19</f>
        <v>466.2</v>
      </c>
      <c r="D86" s="518">
        <f>'DATA-Degree Days'!H39</f>
        <v>0</v>
      </c>
      <c r="E86" s="518">
        <f>'DATA-Calendar'!H19</f>
        <v>336</v>
      </c>
      <c r="F86" s="518">
        <f>'DATA-Calendar'!H39</f>
        <v>31</v>
      </c>
      <c r="G86" s="518">
        <f>'DATA-Calendar'!H59</f>
        <v>0</v>
      </c>
      <c r="H86" s="518">
        <f>'DATA-Calendar'!H79</f>
        <v>0</v>
      </c>
      <c r="I86" s="518">
        <f>'DATA-Calendar'!H98</f>
        <v>0</v>
      </c>
      <c r="J86" s="518">
        <f>'DATA-Calendar'!H117</f>
        <v>0</v>
      </c>
      <c r="K86" s="518">
        <f>'DATA-Customers'!H36</f>
        <v>6330.3515596552979</v>
      </c>
      <c r="L86" s="518">
        <f>'DATA-Population'!I19</f>
        <v>13665.998910549346</v>
      </c>
      <c r="M86" s="518">
        <v>0</v>
      </c>
      <c r="N86" s="519">
        <f>'DATA-GDP Qrtly'!I91</f>
        <v>104.02252511349863</v>
      </c>
      <c r="O86" s="519">
        <f>'DATA-GDP Annual'!J17</f>
        <v>104.81357818586534</v>
      </c>
      <c r="P86" s="375">
        <f>'DATA-Employment'!H19</f>
        <v>179.3</v>
      </c>
      <c r="Q86" s="375">
        <f>'DATA-Employment'!H37</f>
        <v>178.4</v>
      </c>
      <c r="R86" s="375">
        <f>'DATA-Employment'!H55</f>
        <v>12.7</v>
      </c>
      <c r="S86" s="375">
        <f>'DATA-Employment'!H73</f>
        <v>11.6</v>
      </c>
      <c r="T86" s="513">
        <f t="shared" si="2"/>
        <v>12312726.5791052</v>
      </c>
      <c r="U86" s="40">
        <f t="shared" si="3"/>
        <v>89047.579105200246</v>
      </c>
      <c r="V86" s="5">
        <f t="shared" si="4"/>
        <v>7.2848427306705489E-3</v>
      </c>
      <c r="AD86">
        <f t="shared" si="5"/>
        <v>0.72848427306705488</v>
      </c>
    </row>
    <row r="87" spans="1:30" ht="15" x14ac:dyDescent="0.25">
      <c r="A87" s="3">
        <v>36161</v>
      </c>
      <c r="B87" s="518">
        <f>'DATA-Purchased Power'!I7</f>
        <v>13208170</v>
      </c>
      <c r="C87" s="518">
        <f>'DATA-Degree Days'!I8</f>
        <v>671.9</v>
      </c>
      <c r="D87" s="518">
        <f>'DATA-Degree Days'!I28</f>
        <v>0</v>
      </c>
      <c r="E87" s="518">
        <f>'DATA-Calendar'!I8</f>
        <v>320</v>
      </c>
      <c r="F87" s="518">
        <f>'DATA-Calendar'!I28</f>
        <v>31</v>
      </c>
      <c r="G87" s="518">
        <f>'DATA-Calendar'!I48</f>
        <v>0</v>
      </c>
      <c r="H87" s="518">
        <f>'DATA-Calendar'!I68</f>
        <v>0</v>
      </c>
      <c r="I87" s="518">
        <f>'DATA-Calendar'!I87</f>
        <v>0</v>
      </c>
      <c r="J87" s="518">
        <f>'DATA-Calendar'!I106</f>
        <v>0</v>
      </c>
      <c r="K87" s="518">
        <f>'DATA-Customers'!I25</f>
        <v>6341.4643375249034</v>
      </c>
      <c r="L87" s="518">
        <f>'DATA-Population'!I8</f>
        <v>13555.2111646591</v>
      </c>
      <c r="M87" s="518">
        <v>0</v>
      </c>
      <c r="N87" s="519">
        <f>'DATA-GDP Qrtly'!J80</f>
        <v>104.97862007914226</v>
      </c>
      <c r="O87" s="519">
        <f>'DATA-GDP Annual'!K6</f>
        <v>105.44819844915847</v>
      </c>
      <c r="P87" s="375">
        <f>'DATA-Employment'!I8</f>
        <v>178.7</v>
      </c>
      <c r="Q87" s="375">
        <f>'DATA-Employment'!I26</f>
        <v>174.6</v>
      </c>
      <c r="R87" s="375">
        <f>'DATA-Employment'!I44</f>
        <v>12.6</v>
      </c>
      <c r="S87" s="375">
        <f>'DATA-Employment'!I62</f>
        <v>12.4</v>
      </c>
      <c r="T87" s="513">
        <f t="shared" si="2"/>
        <v>13135787.923551766</v>
      </c>
      <c r="U87" s="40">
        <f t="shared" si="3"/>
        <v>-72382.076448233798</v>
      </c>
      <c r="V87" s="5">
        <f t="shared" si="4"/>
        <v>-5.4800987909932866E-3</v>
      </c>
      <c r="AD87">
        <f t="shared" si="5"/>
        <v>0.54800987909932863</v>
      </c>
    </row>
    <row r="88" spans="1:30" ht="15" x14ac:dyDescent="0.25">
      <c r="A88" s="3">
        <v>36192</v>
      </c>
      <c r="B88" s="518">
        <f>'DATA-Purchased Power'!I8</f>
        <v>11030833</v>
      </c>
      <c r="C88" s="518">
        <f>'DATA-Degree Days'!I9</f>
        <v>502.7</v>
      </c>
      <c r="D88" s="518">
        <f>'DATA-Degree Days'!I29</f>
        <v>0</v>
      </c>
      <c r="E88" s="518">
        <f>'DATA-Calendar'!I9</f>
        <v>320</v>
      </c>
      <c r="F88" s="518">
        <f>'DATA-Calendar'!I29</f>
        <v>28</v>
      </c>
      <c r="G88" s="518">
        <f>'DATA-Calendar'!I49</f>
        <v>0</v>
      </c>
      <c r="H88" s="518">
        <f>'DATA-Calendar'!I69</f>
        <v>0</v>
      </c>
      <c r="I88" s="518">
        <f>'DATA-Calendar'!I88</f>
        <v>0</v>
      </c>
      <c r="J88" s="518">
        <f>'DATA-Calendar'!I107</f>
        <v>0</v>
      </c>
      <c r="K88" s="518">
        <f>'DATA-Customers'!I26</f>
        <v>6352.5966236052009</v>
      </c>
      <c r="L88" s="518">
        <f>'DATA-Population'!I9</f>
        <v>13565.245554994121</v>
      </c>
      <c r="M88" s="518">
        <v>0</v>
      </c>
      <c r="N88" s="519">
        <f>'DATA-GDP Qrtly'!J81</f>
        <v>105.94350273362858</v>
      </c>
      <c r="O88" s="519">
        <f>'DATA-GDP Annual'!K7</f>
        <v>106.08666118100913</v>
      </c>
      <c r="P88" s="375">
        <f>'DATA-Employment'!I9</f>
        <v>177.7</v>
      </c>
      <c r="Q88" s="375">
        <f>'DATA-Employment'!I27</f>
        <v>171.4</v>
      </c>
      <c r="R88" s="375">
        <f>'DATA-Employment'!I45</f>
        <v>13.2</v>
      </c>
      <c r="S88" s="375">
        <f>'DATA-Employment'!I63</f>
        <v>13.4</v>
      </c>
      <c r="T88" s="513">
        <f t="shared" si="2"/>
        <v>11123360.390214674</v>
      </c>
      <c r="U88" s="40">
        <f t="shared" si="3"/>
        <v>92527.390214674175</v>
      </c>
      <c r="V88" s="5">
        <f t="shared" si="4"/>
        <v>8.3880691707212112E-3</v>
      </c>
      <c r="AD88">
        <f t="shared" si="5"/>
        <v>0.83880691707212107</v>
      </c>
    </row>
    <row r="89" spans="1:30" ht="15" x14ac:dyDescent="0.25">
      <c r="A89" s="3">
        <v>36220</v>
      </c>
      <c r="B89" s="518">
        <f>'DATA-Purchased Power'!I9</f>
        <v>11836338</v>
      </c>
      <c r="C89" s="518">
        <f>'DATA-Degree Days'!I10</f>
        <v>517.70000000000005</v>
      </c>
      <c r="D89" s="518">
        <f>'DATA-Degree Days'!I30</f>
        <v>0</v>
      </c>
      <c r="E89" s="518">
        <f>'DATA-Calendar'!I10</f>
        <v>368</v>
      </c>
      <c r="F89" s="518">
        <f>'DATA-Calendar'!I30</f>
        <v>31</v>
      </c>
      <c r="G89" s="518">
        <f>'DATA-Calendar'!I50</f>
        <v>1</v>
      </c>
      <c r="H89" s="518">
        <f>'DATA-Calendar'!I70</f>
        <v>0</v>
      </c>
      <c r="I89" s="518">
        <f>'DATA-Calendar'!I89</f>
        <v>1</v>
      </c>
      <c r="J89" s="518">
        <f>'DATA-Calendar'!I108</f>
        <v>0</v>
      </c>
      <c r="K89" s="518">
        <f>'DATA-Customers'!I27</f>
        <v>6363.7484521423785</v>
      </c>
      <c r="L89" s="518">
        <f>'DATA-Population'!I10</f>
        <v>13575.287373394125</v>
      </c>
      <c r="M89" s="518">
        <v>0</v>
      </c>
      <c r="N89" s="519">
        <f>'DATA-GDP Qrtly'!J82</f>
        <v>106.91725384662791</v>
      </c>
      <c r="O89" s="519">
        <f>'DATA-GDP Annual'!K8</f>
        <v>106.72898964661303</v>
      </c>
      <c r="P89" s="375">
        <f>'DATA-Employment'!I10</f>
        <v>176.2</v>
      </c>
      <c r="Q89" s="375">
        <f>'DATA-Employment'!I28</f>
        <v>168.6</v>
      </c>
      <c r="R89" s="375">
        <f>'DATA-Employment'!I46</f>
        <v>12.6</v>
      </c>
      <c r="S89" s="375">
        <f>'DATA-Employment'!I64</f>
        <v>14</v>
      </c>
      <c r="T89" s="513">
        <f t="shared" si="2"/>
        <v>11793325.748509951</v>
      </c>
      <c r="U89" s="40">
        <f t="shared" si="3"/>
        <v>-43012.251490049064</v>
      </c>
      <c r="V89" s="5">
        <f t="shared" si="4"/>
        <v>-3.6339154466566489E-3</v>
      </c>
      <c r="AD89">
        <f t="shared" si="5"/>
        <v>0.36339154466566487</v>
      </c>
    </row>
    <row r="90" spans="1:30" ht="15" x14ac:dyDescent="0.25">
      <c r="A90" s="3">
        <v>36251</v>
      </c>
      <c r="B90" s="518">
        <f>'DATA-Purchased Power'!I10</f>
        <v>10336685</v>
      </c>
      <c r="C90" s="518">
        <f>'DATA-Degree Days'!I11</f>
        <v>314.89999999999998</v>
      </c>
      <c r="D90" s="518">
        <f>'DATA-Degree Days'!I31</f>
        <v>0</v>
      </c>
      <c r="E90" s="518">
        <f>'DATA-Calendar'!I11</f>
        <v>336</v>
      </c>
      <c r="F90" s="518">
        <f>'DATA-Calendar'!I31</f>
        <v>30</v>
      </c>
      <c r="G90" s="518">
        <f>'DATA-Calendar'!I51</f>
        <v>1</v>
      </c>
      <c r="H90" s="518">
        <f>'DATA-Calendar'!I71</f>
        <v>0</v>
      </c>
      <c r="I90" s="518">
        <f>'DATA-Calendar'!I90</f>
        <v>1</v>
      </c>
      <c r="J90" s="518">
        <f>'DATA-Calendar'!I109</f>
        <v>0</v>
      </c>
      <c r="K90" s="518">
        <f>'DATA-Customers'!I28</f>
        <v>6374.9198574427428</v>
      </c>
      <c r="L90" s="518">
        <f>'DATA-Population'!I11</f>
        <v>13585.336625357817</v>
      </c>
      <c r="M90" s="518">
        <v>0</v>
      </c>
      <c r="N90" s="519">
        <f>'DATA-GDP Qrtly'!J83</f>
        <v>107.70447866207006</v>
      </c>
      <c r="O90" s="519">
        <f>'DATA-GDP Annual'!K9</f>
        <v>107.37520725203085</v>
      </c>
      <c r="P90" s="375">
        <f>'DATA-Employment'!I11</f>
        <v>175.8</v>
      </c>
      <c r="Q90" s="375">
        <f>'DATA-Employment'!I29</f>
        <v>169.8</v>
      </c>
      <c r="R90" s="375">
        <f>'DATA-Employment'!I47</f>
        <v>12.3</v>
      </c>
      <c r="S90" s="375">
        <f>'DATA-Employment'!I65</f>
        <v>13.4</v>
      </c>
      <c r="T90" s="513">
        <f t="shared" si="2"/>
        <v>10628734.609093396</v>
      </c>
      <c r="U90" s="40">
        <f t="shared" si="3"/>
        <v>292049.60909339599</v>
      </c>
      <c r="V90" s="5">
        <f t="shared" si="4"/>
        <v>2.8253701171448681E-2</v>
      </c>
      <c r="AD90">
        <f t="shared" si="5"/>
        <v>2.825370117144868</v>
      </c>
    </row>
    <row r="91" spans="1:30" ht="15" x14ac:dyDescent="0.25">
      <c r="A91" s="3">
        <v>36281</v>
      </c>
      <c r="B91" s="518">
        <f>'DATA-Purchased Power'!I11</f>
        <v>10811899</v>
      </c>
      <c r="C91" s="518">
        <f>'DATA-Degree Days'!I12</f>
        <v>137.30000000000001</v>
      </c>
      <c r="D91" s="518">
        <f>'DATA-Degree Days'!I32</f>
        <v>14.1</v>
      </c>
      <c r="E91" s="518">
        <f>'DATA-Calendar'!I12</f>
        <v>320</v>
      </c>
      <c r="F91" s="518">
        <f>'DATA-Calendar'!I32</f>
        <v>31</v>
      </c>
      <c r="G91" s="518">
        <f>'DATA-Calendar'!I52</f>
        <v>1</v>
      </c>
      <c r="H91" s="518">
        <f>'DATA-Calendar'!I72</f>
        <v>0</v>
      </c>
      <c r="I91" s="518">
        <f>'DATA-Calendar'!I91</f>
        <v>1</v>
      </c>
      <c r="J91" s="518">
        <f>'DATA-Calendar'!I110</f>
        <v>0</v>
      </c>
      <c r="K91" s="518">
        <f>'DATA-Customers'!I29</f>
        <v>6386.1108738728244</v>
      </c>
      <c r="L91" s="518">
        <f>'DATA-Population'!I12</f>
        <v>13595.393316387972</v>
      </c>
      <c r="M91" s="518">
        <v>0</v>
      </c>
      <c r="N91" s="519">
        <f>'DATA-GDP Qrtly'!J84</f>
        <v>108.49749976284269</v>
      </c>
      <c r="O91" s="519">
        <f>'DATA-GDP Annual'!K10</f>
        <v>108.02533754504118</v>
      </c>
      <c r="P91" s="375">
        <f>'DATA-Employment'!I12</f>
        <v>175</v>
      </c>
      <c r="Q91" s="375">
        <f>'DATA-Employment'!I30</f>
        <v>172.6</v>
      </c>
      <c r="R91" s="375">
        <f>'DATA-Employment'!I48</f>
        <v>11.9</v>
      </c>
      <c r="S91" s="375">
        <f>'DATA-Employment'!I66</f>
        <v>13.5</v>
      </c>
      <c r="T91" s="513">
        <f t="shared" si="2"/>
        <v>10991592.370392965</v>
      </c>
      <c r="U91" s="40">
        <f t="shared" si="3"/>
        <v>179693.37039296515</v>
      </c>
      <c r="V91" s="5">
        <f t="shared" si="4"/>
        <v>1.6619963837339321E-2</v>
      </c>
      <c r="AD91">
        <f t="shared" si="5"/>
        <v>1.661996383733932</v>
      </c>
    </row>
    <row r="92" spans="1:30" ht="15" x14ac:dyDescent="0.25">
      <c r="A92" s="3">
        <v>36312</v>
      </c>
      <c r="B92" s="518">
        <f>'DATA-Purchased Power'!I12</f>
        <v>13309510</v>
      </c>
      <c r="C92" s="518">
        <f>'DATA-Degree Days'!I13</f>
        <v>17.7</v>
      </c>
      <c r="D92" s="518">
        <f>'DATA-Degree Days'!I33</f>
        <v>72.599999999999994</v>
      </c>
      <c r="E92" s="518">
        <f>'DATA-Calendar'!I13</f>
        <v>352</v>
      </c>
      <c r="F92" s="518">
        <f>'DATA-Calendar'!I33</f>
        <v>30</v>
      </c>
      <c r="G92" s="518">
        <f>'DATA-Calendar'!I53</f>
        <v>0</v>
      </c>
      <c r="H92" s="518">
        <f>'DATA-Calendar'!I73</f>
        <v>0</v>
      </c>
      <c r="I92" s="518">
        <f>'DATA-Calendar'!I92</f>
        <v>0</v>
      </c>
      <c r="J92" s="518">
        <f>'DATA-Calendar'!I111</f>
        <v>0</v>
      </c>
      <c r="K92" s="518">
        <f>'DATA-Customers'!I30</f>
        <v>6397.3215358594844</v>
      </c>
      <c r="L92" s="518">
        <f>'DATA-Population'!I13</f>
        <v>13605.45745199144</v>
      </c>
      <c r="M92" s="518">
        <v>0</v>
      </c>
      <c r="N92" s="519">
        <f>'DATA-GDP Qrtly'!J85</f>
        <v>109.29635982661927</v>
      </c>
      <c r="O92" s="519">
        <f>'DATA-GDP Annual'!K11</f>
        <v>108.6794042159986</v>
      </c>
      <c r="P92" s="375">
        <f>'DATA-Employment'!I13</f>
        <v>173.5</v>
      </c>
      <c r="Q92" s="375">
        <f>'DATA-Employment'!I31</f>
        <v>175.8</v>
      </c>
      <c r="R92" s="375">
        <f>'DATA-Employment'!I49</f>
        <v>11.8</v>
      </c>
      <c r="S92" s="375">
        <f>'DATA-Employment'!I67</f>
        <v>12.1</v>
      </c>
      <c r="T92" s="513">
        <f t="shared" si="2"/>
        <v>12965525.29046037</v>
      </c>
      <c r="U92" s="40">
        <f t="shared" si="3"/>
        <v>-343984.70953962952</v>
      </c>
      <c r="V92" s="5">
        <f t="shared" si="4"/>
        <v>-2.5845031826087477E-2</v>
      </c>
      <c r="AD92">
        <f t="shared" si="5"/>
        <v>2.5845031826087479</v>
      </c>
    </row>
    <row r="93" spans="1:30" ht="15" x14ac:dyDescent="0.25">
      <c r="A93" s="3">
        <v>36342</v>
      </c>
      <c r="B93" s="518">
        <f>'DATA-Purchased Power'!I13</f>
        <v>16692168</v>
      </c>
      <c r="C93" s="518">
        <f>'DATA-Degree Days'!I14</f>
        <v>0</v>
      </c>
      <c r="D93" s="518">
        <f>'DATA-Degree Days'!I34</f>
        <v>194.4</v>
      </c>
      <c r="E93" s="518">
        <f>'DATA-Calendar'!I14</f>
        <v>336</v>
      </c>
      <c r="F93" s="518">
        <f>'DATA-Calendar'!I34</f>
        <v>31</v>
      </c>
      <c r="G93" s="518">
        <f>'DATA-Calendar'!I54</f>
        <v>0</v>
      </c>
      <c r="H93" s="518">
        <f>'DATA-Calendar'!I74</f>
        <v>1</v>
      </c>
      <c r="I93" s="518">
        <f>'DATA-Calendar'!I93</f>
        <v>0</v>
      </c>
      <c r="J93" s="518">
        <f>'DATA-Calendar'!I112</f>
        <v>0</v>
      </c>
      <c r="K93" s="518">
        <f>'DATA-Customers'!I31</f>
        <v>6408.5518778900177</v>
      </c>
      <c r="L93" s="518">
        <f>'DATA-Population'!I14</f>
        <v>13615.529037679145</v>
      </c>
      <c r="M93" s="518">
        <v>0</v>
      </c>
      <c r="N93" s="519">
        <f>'DATA-GDP Qrtly'!J86</f>
        <v>110.02081451712972</v>
      </c>
      <c r="O93" s="519">
        <f>'DATA-GDP Annual'!K12</f>
        <v>109.33743109869688</v>
      </c>
      <c r="P93" s="375">
        <f>'DATA-Employment'!I14</f>
        <v>171.3</v>
      </c>
      <c r="Q93" s="375">
        <f>'DATA-Employment'!I32</f>
        <v>177.5</v>
      </c>
      <c r="R93" s="375">
        <f>'DATA-Employment'!I50</f>
        <v>12.8</v>
      </c>
      <c r="S93" s="375">
        <f>'DATA-Employment'!I68</f>
        <v>12.9</v>
      </c>
      <c r="T93" s="513">
        <f t="shared" si="2"/>
        <v>18056994.827055179</v>
      </c>
      <c r="U93" s="40">
        <f t="shared" si="3"/>
        <v>1364826.8270551786</v>
      </c>
      <c r="V93" s="5">
        <f t="shared" si="4"/>
        <v>8.1764503391960744E-2</v>
      </c>
      <c r="AD93">
        <f t="shared" si="5"/>
        <v>8.1764503391960748</v>
      </c>
    </row>
    <row r="94" spans="1:30" ht="15" x14ac:dyDescent="0.25">
      <c r="A94" s="3">
        <v>36373</v>
      </c>
      <c r="B94" s="518">
        <f>'DATA-Purchased Power'!I14</f>
        <v>14865568</v>
      </c>
      <c r="C94" s="518">
        <f>'DATA-Degree Days'!I15</f>
        <v>1.6</v>
      </c>
      <c r="D94" s="518">
        <f>'DATA-Degree Days'!I35</f>
        <v>90.35</v>
      </c>
      <c r="E94" s="518">
        <f>'DATA-Calendar'!I15</f>
        <v>336</v>
      </c>
      <c r="F94" s="518">
        <f>'DATA-Calendar'!I35</f>
        <v>31</v>
      </c>
      <c r="G94" s="518">
        <f>'DATA-Calendar'!I55</f>
        <v>0</v>
      </c>
      <c r="H94" s="518">
        <f>'DATA-Calendar'!I75</f>
        <v>1</v>
      </c>
      <c r="I94" s="518">
        <f>'DATA-Calendar'!I94</f>
        <v>0</v>
      </c>
      <c r="J94" s="518">
        <f>'DATA-Calendar'!I113</f>
        <v>0</v>
      </c>
      <c r="K94" s="518">
        <f>'DATA-Customers'!I32</f>
        <v>6419.8019345122621</v>
      </c>
      <c r="L94" s="518">
        <f>'DATA-Population'!I15</f>
        <v>13625.608078966092</v>
      </c>
      <c r="M94" s="518">
        <v>0</v>
      </c>
      <c r="N94" s="519">
        <f>'DATA-GDP Qrtly'!J87</f>
        <v>110.75007114797411</v>
      </c>
      <c r="O94" s="519">
        <f>'DATA-GDP Annual'!K13</f>
        <v>109.99944217123755</v>
      </c>
      <c r="P94" s="375">
        <f>'DATA-Employment'!I15</f>
        <v>172.4</v>
      </c>
      <c r="Q94" s="375">
        <f>'DATA-Employment'!I33</f>
        <v>179.8</v>
      </c>
      <c r="R94" s="375">
        <f>'DATA-Employment'!I51</f>
        <v>12.4</v>
      </c>
      <c r="S94" s="375">
        <f>'DATA-Employment'!I69</f>
        <v>12.1</v>
      </c>
      <c r="T94" s="513">
        <f t="shared" si="2"/>
        <v>14710633.676465211</v>
      </c>
      <c r="U94" s="40">
        <f t="shared" si="3"/>
        <v>-154934.32353478856</v>
      </c>
      <c r="V94" s="5">
        <f t="shared" si="4"/>
        <v>-1.0422361495691828E-2</v>
      </c>
      <c r="AD94">
        <f t="shared" si="5"/>
        <v>1.0422361495691828</v>
      </c>
    </row>
    <row r="95" spans="1:30" ht="15" x14ac:dyDescent="0.25">
      <c r="A95" s="3">
        <v>36404</v>
      </c>
      <c r="B95" s="518">
        <f>'DATA-Purchased Power'!I15</f>
        <v>13426087</v>
      </c>
      <c r="C95" s="518">
        <f>'DATA-Degree Days'!I16</f>
        <v>25.2</v>
      </c>
      <c r="D95" s="518">
        <f>'DATA-Degree Days'!I36</f>
        <v>59.6</v>
      </c>
      <c r="E95" s="518">
        <f>'DATA-Calendar'!I16</f>
        <v>336</v>
      </c>
      <c r="F95" s="518">
        <f>'DATA-Calendar'!I36</f>
        <v>30</v>
      </c>
      <c r="G95" s="518">
        <f>'DATA-Calendar'!I56</f>
        <v>1</v>
      </c>
      <c r="H95" s="518">
        <f>'DATA-Calendar'!I76</f>
        <v>1</v>
      </c>
      <c r="I95" s="518">
        <f>'DATA-Calendar'!I95</f>
        <v>0</v>
      </c>
      <c r="J95" s="518">
        <f>'DATA-Calendar'!I114</f>
        <v>1</v>
      </c>
      <c r="K95" s="518">
        <f>'DATA-Customers'!I33</f>
        <v>6431.0717403347026</v>
      </c>
      <c r="L95" s="518">
        <f>'DATA-Population'!I16</f>
        <v>13635.694581371368</v>
      </c>
      <c r="M95" s="518">
        <v>0</v>
      </c>
      <c r="N95" s="519">
        <f>'DATA-GDP Qrtly'!J88</f>
        <v>111.48416154810081</v>
      </c>
      <c r="O95" s="519">
        <f>'DATA-GDP Annual'!K14</f>
        <v>110.66546155690358</v>
      </c>
      <c r="P95" s="375">
        <f>'DATA-Employment'!I16</f>
        <v>174.2</v>
      </c>
      <c r="Q95" s="375">
        <f>'DATA-Employment'!I34</f>
        <v>179.8</v>
      </c>
      <c r="R95" s="375">
        <f>'DATA-Employment'!I52</f>
        <v>13.2</v>
      </c>
      <c r="S95" s="375">
        <f>'DATA-Employment'!I70</f>
        <v>13</v>
      </c>
      <c r="T95" s="513">
        <f t="shared" si="2"/>
        <v>13370348.764888864</v>
      </c>
      <c r="U95" s="40">
        <f t="shared" si="3"/>
        <v>-55738.235111135989</v>
      </c>
      <c r="V95" s="5">
        <f t="shared" si="4"/>
        <v>-4.1514877053259068E-3</v>
      </c>
      <c r="AD95">
        <f t="shared" si="5"/>
        <v>0.41514877053259069</v>
      </c>
    </row>
    <row r="96" spans="1:30" ht="15" x14ac:dyDescent="0.25">
      <c r="A96" s="3">
        <v>36434</v>
      </c>
      <c r="B96" s="518">
        <f>'DATA-Purchased Power'!I16</f>
        <v>11599574</v>
      </c>
      <c r="C96" s="518">
        <f>'DATA-Degree Days'!I17</f>
        <v>203.75</v>
      </c>
      <c r="D96" s="518">
        <f>'DATA-Degree Days'!I37</f>
        <v>1</v>
      </c>
      <c r="E96" s="518">
        <f>'DATA-Calendar'!I17</f>
        <v>320</v>
      </c>
      <c r="F96" s="518">
        <f>'DATA-Calendar'!I37</f>
        <v>31</v>
      </c>
      <c r="G96" s="518">
        <f>'DATA-Calendar'!I57</f>
        <v>1</v>
      </c>
      <c r="H96" s="518">
        <f>'DATA-Calendar'!I77</f>
        <v>0</v>
      </c>
      <c r="I96" s="518">
        <f>'DATA-Calendar'!I96</f>
        <v>0</v>
      </c>
      <c r="J96" s="518">
        <f>'DATA-Calendar'!I115</f>
        <v>1</v>
      </c>
      <c r="K96" s="518">
        <f>'DATA-Customers'!I34</f>
        <v>6442.3613300265788</v>
      </c>
      <c r="L96" s="518">
        <f>'DATA-Population'!I17</f>
        <v>13645.788550418147</v>
      </c>
      <c r="M96" s="518">
        <v>0</v>
      </c>
      <c r="N96" s="519">
        <f>'DATA-GDP Qrtly'!J89</f>
        <v>112.20473835973644</v>
      </c>
      <c r="O96" s="519">
        <f>'DATA-GDP Annual'!K15</f>
        <v>111.33551352503846</v>
      </c>
      <c r="P96" s="375">
        <f>'DATA-Employment'!I17</f>
        <v>175.9</v>
      </c>
      <c r="Q96" s="375">
        <f>'DATA-Employment'!I35</f>
        <v>179.5</v>
      </c>
      <c r="R96" s="375">
        <f>'DATA-Employment'!I53</f>
        <v>13.2</v>
      </c>
      <c r="S96" s="375">
        <f>'DATA-Employment'!I71</f>
        <v>12.4</v>
      </c>
      <c r="T96" s="513">
        <f t="shared" si="2"/>
        <v>12057607.8232424</v>
      </c>
      <c r="U96" s="40">
        <f t="shared" si="3"/>
        <v>458033.82324239984</v>
      </c>
      <c r="V96" s="5">
        <f t="shared" si="4"/>
        <v>3.9487124548056668E-2</v>
      </c>
      <c r="AD96">
        <f t="shared" si="5"/>
        <v>3.9487124548056669</v>
      </c>
    </row>
    <row r="97" spans="1:30" ht="15" x14ac:dyDescent="0.25">
      <c r="A97" s="3">
        <v>36465</v>
      </c>
      <c r="B97" s="518">
        <f>'DATA-Purchased Power'!I17</f>
        <v>11841006</v>
      </c>
      <c r="C97" s="518">
        <f>'DATA-Degree Days'!I18</f>
        <v>333.7</v>
      </c>
      <c r="D97" s="518">
        <f>'DATA-Degree Days'!I38</f>
        <v>0</v>
      </c>
      <c r="E97" s="518">
        <f>'DATA-Calendar'!I18</f>
        <v>352</v>
      </c>
      <c r="F97" s="518">
        <f>'DATA-Calendar'!I38</f>
        <v>30</v>
      </c>
      <c r="G97" s="518">
        <f>'DATA-Calendar'!I58</f>
        <v>1</v>
      </c>
      <c r="H97" s="518">
        <f>'DATA-Calendar'!I78</f>
        <v>0</v>
      </c>
      <c r="I97" s="518">
        <f>'DATA-Calendar'!I97</f>
        <v>0</v>
      </c>
      <c r="J97" s="518">
        <f>'DATA-Calendar'!I116</f>
        <v>1</v>
      </c>
      <c r="K97" s="518">
        <f>'DATA-Customers'!I35</f>
        <v>6453.670738317991</v>
      </c>
      <c r="L97" s="518">
        <f>'DATA-Population'!I18</f>
        <v>13655.889991633689</v>
      </c>
      <c r="M97" s="518">
        <v>0</v>
      </c>
      <c r="N97" s="519">
        <f>'DATA-GDP Qrtly'!J90</f>
        <v>112.92997261270057</v>
      </c>
      <c r="O97" s="519">
        <f>'DATA-GDP Annual'!K16</f>
        <v>112.00962249193054</v>
      </c>
      <c r="P97" s="375">
        <f>'DATA-Employment'!I18</f>
        <v>173.7</v>
      </c>
      <c r="Q97" s="375">
        <f>'DATA-Employment'!I36</f>
        <v>174.8</v>
      </c>
      <c r="R97" s="375">
        <f>'DATA-Employment'!I54</f>
        <v>14.6</v>
      </c>
      <c r="S97" s="375">
        <f>'DATA-Employment'!I72</f>
        <v>13.3</v>
      </c>
      <c r="T97" s="513">
        <f t="shared" si="2"/>
        <v>12087743.890547099</v>
      </c>
      <c r="U97" s="40">
        <f t="shared" si="3"/>
        <v>246737.89054709859</v>
      </c>
      <c r="V97" s="5">
        <f t="shared" si="4"/>
        <v>2.0837578373585706E-2</v>
      </c>
      <c r="AD97">
        <f t="shared" si="5"/>
        <v>2.0837578373585708</v>
      </c>
    </row>
    <row r="98" spans="1:30" ht="15" x14ac:dyDescent="0.25">
      <c r="A98" s="3">
        <v>36495</v>
      </c>
      <c r="B98" s="518">
        <f>'DATA-Purchased Power'!I18</f>
        <v>13353197</v>
      </c>
      <c r="C98" s="518">
        <f>'DATA-Degree Days'!I19</f>
        <v>516</v>
      </c>
      <c r="D98" s="518">
        <f>'DATA-Degree Days'!I39</f>
        <v>0</v>
      </c>
      <c r="E98" s="518">
        <f>'DATA-Calendar'!I19</f>
        <v>336</v>
      </c>
      <c r="F98" s="518">
        <f>'DATA-Calendar'!I39</f>
        <v>31</v>
      </c>
      <c r="G98" s="518">
        <f>'DATA-Calendar'!I59</f>
        <v>0</v>
      </c>
      <c r="H98" s="518">
        <f>'DATA-Calendar'!I79</f>
        <v>0</v>
      </c>
      <c r="I98" s="518">
        <f>'DATA-Calendar'!I98</f>
        <v>0</v>
      </c>
      <c r="J98" s="518">
        <f>'DATA-Calendar'!I117</f>
        <v>0</v>
      </c>
      <c r="K98" s="518">
        <f>'DATA-Customers'!I36</f>
        <v>6465</v>
      </c>
      <c r="L98" s="518">
        <f>'DATA-Population'!I19</f>
        <v>13665.998910549346</v>
      </c>
      <c r="M98" s="518">
        <v>0</v>
      </c>
      <c r="N98" s="519">
        <f>'DATA-GDP Qrtly'!J91</f>
        <v>113.65989441032067</v>
      </c>
      <c r="O98" s="519">
        <f>'DATA-GDP Annual'!K17</f>
        <v>112.68781302170287</v>
      </c>
      <c r="P98" s="375">
        <f>'DATA-Employment'!I19</f>
        <v>175.3</v>
      </c>
      <c r="Q98" s="375">
        <f>'DATA-Employment'!I37</f>
        <v>175</v>
      </c>
      <c r="R98" s="375">
        <f>'DATA-Employment'!I55</f>
        <v>14</v>
      </c>
      <c r="S98" s="375">
        <f>'DATA-Employment'!I73</f>
        <v>12.9</v>
      </c>
      <c r="T98" s="513">
        <f t="shared" si="2"/>
        <v>13314557.857482834</v>
      </c>
      <c r="U98" s="40">
        <f t="shared" si="3"/>
        <v>-38639.142517166212</v>
      </c>
      <c r="V98" s="5">
        <f t="shared" si="4"/>
        <v>-2.8936248388431785E-3</v>
      </c>
      <c r="AD98">
        <f t="shared" si="5"/>
        <v>0.28936248388431784</v>
      </c>
    </row>
    <row r="99" spans="1:30" ht="15" x14ac:dyDescent="0.25">
      <c r="A99" s="3">
        <v>36526</v>
      </c>
      <c r="B99" s="518">
        <f>'DATA-Purchased Power'!J7</f>
        <v>13530386</v>
      </c>
      <c r="C99" s="518">
        <f>'DATA-Degree Days'!J8</f>
        <v>662.5</v>
      </c>
      <c r="D99" s="518">
        <f>'DATA-Degree Days'!J28</f>
        <v>0</v>
      </c>
      <c r="E99" s="518">
        <f>'DATA-Calendar'!J8</f>
        <v>320</v>
      </c>
      <c r="F99" s="518">
        <f>'DATA-Calendar'!J28</f>
        <v>31</v>
      </c>
      <c r="G99" s="518">
        <f>'DATA-Calendar'!J48</f>
        <v>0</v>
      </c>
      <c r="H99" s="518">
        <f>'DATA-Calendar'!J68</f>
        <v>0</v>
      </c>
      <c r="I99" s="518">
        <f>'DATA-Calendar'!J87</f>
        <v>0</v>
      </c>
      <c r="J99" s="518">
        <f>'DATA-Calendar'!J106</f>
        <v>0</v>
      </c>
      <c r="K99" s="518">
        <f>'DATA-Customers'!J25</f>
        <v>6480.4826787633956</v>
      </c>
      <c r="L99" s="518">
        <f>'DATA-Population'!J8</f>
        <v>13676.115312700567</v>
      </c>
      <c r="M99" s="518">
        <v>0</v>
      </c>
      <c r="N99" s="519">
        <f>'DATA-GDP Qrtly'!K80</f>
        <v>114.09425201296889</v>
      </c>
      <c r="O99" s="519">
        <f>'DATA-GDP Annual'!L6</f>
        <v>113.20550742744629</v>
      </c>
      <c r="P99" s="375">
        <f>'DATA-Employment'!J8</f>
        <v>177.3</v>
      </c>
      <c r="Q99" s="375">
        <f>'DATA-Employment'!J26</f>
        <v>173.8</v>
      </c>
      <c r="R99" s="375">
        <f>'DATA-Employment'!J44</f>
        <v>13.2</v>
      </c>
      <c r="S99" s="375">
        <f>'DATA-Employment'!J62</f>
        <v>13</v>
      </c>
      <c r="T99" s="513">
        <f t="shared" si="2"/>
        <v>13907575.316092674</v>
      </c>
      <c r="U99" s="40">
        <f t="shared" si="3"/>
        <v>377189.31609267369</v>
      </c>
      <c r="V99" s="5">
        <f t="shared" si="4"/>
        <v>2.7877202918872655E-2</v>
      </c>
      <c r="AD99">
        <f t="shared" si="5"/>
        <v>2.7877202918872657</v>
      </c>
    </row>
    <row r="100" spans="1:30" ht="15" x14ac:dyDescent="0.25">
      <c r="A100" s="3">
        <v>36557</v>
      </c>
      <c r="B100" s="518">
        <f>'DATA-Purchased Power'!J8</f>
        <v>12128756</v>
      </c>
      <c r="C100" s="518">
        <f>'DATA-Degree Days'!J9</f>
        <v>548.1</v>
      </c>
      <c r="D100" s="518">
        <f>'DATA-Degree Days'!J29</f>
        <v>0</v>
      </c>
      <c r="E100" s="518">
        <f>'DATA-Calendar'!J9</f>
        <v>336</v>
      </c>
      <c r="F100" s="518">
        <f>'DATA-Calendar'!J29</f>
        <v>29</v>
      </c>
      <c r="G100" s="518">
        <f>'DATA-Calendar'!J49</f>
        <v>0</v>
      </c>
      <c r="H100" s="518">
        <f>'DATA-Calendar'!J69</f>
        <v>0</v>
      </c>
      <c r="I100" s="518">
        <f>'DATA-Calendar'!J88</f>
        <v>0</v>
      </c>
      <c r="J100" s="518">
        <f>'DATA-Calendar'!J107</f>
        <v>0</v>
      </c>
      <c r="K100" s="518">
        <f>'DATA-Customers'!J26</f>
        <v>6496.0024361565956</v>
      </c>
      <c r="L100" s="518">
        <f>'DATA-Population'!J9</f>
        <v>13686.239203626898</v>
      </c>
      <c r="M100" s="518">
        <v>0</v>
      </c>
      <c r="N100" s="519">
        <f>'DATA-GDP Qrtly'!K81</f>
        <v>114.5302695373332</v>
      </c>
      <c r="O100" s="519">
        <f>'DATA-GDP Annual'!L7</f>
        <v>113.72558015157706</v>
      </c>
      <c r="P100" s="375">
        <f>'DATA-Employment'!J9</f>
        <v>180.6</v>
      </c>
      <c r="Q100" s="375">
        <f>'DATA-Employment'!J27</f>
        <v>174.9</v>
      </c>
      <c r="R100" s="375">
        <f>'DATA-Employment'!J45</f>
        <v>11.4</v>
      </c>
      <c r="S100" s="375">
        <f>'DATA-Employment'!J63</f>
        <v>11.7</v>
      </c>
      <c r="T100" s="513">
        <f t="shared" si="2"/>
        <v>12569884.305085802</v>
      </c>
      <c r="U100" s="40">
        <f t="shared" si="3"/>
        <v>441128.30508580245</v>
      </c>
      <c r="V100" s="5">
        <f t="shared" si="4"/>
        <v>3.6370449293052186E-2</v>
      </c>
      <c r="AD100">
        <f t="shared" si="5"/>
        <v>3.6370449293052185</v>
      </c>
    </row>
    <row r="101" spans="1:30" ht="15" x14ac:dyDescent="0.25">
      <c r="A101" s="3">
        <v>36586</v>
      </c>
      <c r="B101" s="518">
        <f>'DATA-Purchased Power'!J9</f>
        <v>11769707</v>
      </c>
      <c r="C101" s="518">
        <f>'DATA-Degree Days'!J10</f>
        <v>426.9</v>
      </c>
      <c r="D101" s="518">
        <f>'DATA-Degree Days'!J30</f>
        <v>0</v>
      </c>
      <c r="E101" s="518">
        <f>'DATA-Calendar'!J10</f>
        <v>368</v>
      </c>
      <c r="F101" s="518">
        <f>'DATA-Calendar'!J30</f>
        <v>31</v>
      </c>
      <c r="G101" s="518">
        <f>'DATA-Calendar'!J50</f>
        <v>1</v>
      </c>
      <c r="H101" s="518">
        <f>'DATA-Calendar'!J70</f>
        <v>0</v>
      </c>
      <c r="I101" s="518">
        <f>'DATA-Calendar'!J89</f>
        <v>1</v>
      </c>
      <c r="J101" s="518">
        <f>'DATA-Calendar'!J108</f>
        <v>0</v>
      </c>
      <c r="K101" s="518">
        <f>'DATA-Customers'!J27</f>
        <v>6511.5593609772059</v>
      </c>
      <c r="L101" s="518">
        <f>'DATA-Population'!J10</f>
        <v>13696.370588871983</v>
      </c>
      <c r="M101" s="518">
        <v>0</v>
      </c>
      <c r="N101" s="519">
        <f>'DATA-GDP Qrtly'!K82</f>
        <v>114.96795332689661</v>
      </c>
      <c r="O101" s="519">
        <f>'DATA-GDP Annual'!L8</f>
        <v>114.24804212022897</v>
      </c>
      <c r="P101" s="375">
        <f>'DATA-Employment'!J10</f>
        <v>182.7</v>
      </c>
      <c r="Q101" s="375">
        <f>'DATA-Employment'!J28</f>
        <v>175.1</v>
      </c>
      <c r="R101" s="375">
        <f>'DATA-Employment'!J46</f>
        <v>10.199999999999999</v>
      </c>
      <c r="S101" s="375">
        <f>'DATA-Employment'!J64</f>
        <v>11.6</v>
      </c>
      <c r="T101" s="513">
        <f t="shared" si="2"/>
        <v>12240748.269437397</v>
      </c>
      <c r="U101" s="40">
        <f t="shared" si="3"/>
        <v>471041.2694373969</v>
      </c>
      <c r="V101" s="5">
        <f t="shared" si="4"/>
        <v>4.0021494964776687E-2</v>
      </c>
      <c r="AD101">
        <f t="shared" si="5"/>
        <v>4.0021494964776689</v>
      </c>
    </row>
    <row r="102" spans="1:30" ht="15" x14ac:dyDescent="0.25">
      <c r="A102" s="3">
        <v>36617</v>
      </c>
      <c r="B102" s="518">
        <f>'DATA-Purchased Power'!J10</f>
        <v>11213639</v>
      </c>
      <c r="C102" s="518">
        <f>'DATA-Degree Days'!J11</f>
        <v>344.55</v>
      </c>
      <c r="D102" s="518">
        <f>'DATA-Degree Days'!J31</f>
        <v>0</v>
      </c>
      <c r="E102" s="518">
        <f>'DATA-Calendar'!J11</f>
        <v>304</v>
      </c>
      <c r="F102" s="518">
        <f>'DATA-Calendar'!J31</f>
        <v>30</v>
      </c>
      <c r="G102" s="518">
        <f>'DATA-Calendar'!J51</f>
        <v>1</v>
      </c>
      <c r="H102" s="518">
        <f>'DATA-Calendar'!J71</f>
        <v>0</v>
      </c>
      <c r="I102" s="518">
        <f>'DATA-Calendar'!J90</f>
        <v>1</v>
      </c>
      <c r="J102" s="518">
        <f>'DATA-Calendar'!J109</f>
        <v>0</v>
      </c>
      <c r="K102" s="518">
        <f>'DATA-Customers'!J28</f>
        <v>6527.1535422354873</v>
      </c>
      <c r="L102" s="518">
        <f>'DATA-Population'!J11</f>
        <v>13706.509473983575</v>
      </c>
      <c r="M102" s="518">
        <v>0</v>
      </c>
      <c r="N102" s="519">
        <f>'DATA-GDP Qrtly'!K83</f>
        <v>115.50002628079753</v>
      </c>
      <c r="O102" s="519">
        <f>'DATA-GDP Annual'!L9</f>
        <v>114.77290430973115</v>
      </c>
      <c r="P102" s="375">
        <f>'DATA-Employment'!J11</f>
        <v>185.7</v>
      </c>
      <c r="Q102" s="375">
        <f>'DATA-Employment'!J29</f>
        <v>179.1</v>
      </c>
      <c r="R102" s="375">
        <f>'DATA-Employment'!J47</f>
        <v>10.199999999999999</v>
      </c>
      <c r="S102" s="375">
        <f>'DATA-Employment'!J65</f>
        <v>11.4</v>
      </c>
      <c r="T102" s="513">
        <f t="shared" si="2"/>
        <v>11506865.704011796</v>
      </c>
      <c r="U102" s="40">
        <f t="shared" si="3"/>
        <v>293226.70401179604</v>
      </c>
      <c r="V102" s="5">
        <f t="shared" si="4"/>
        <v>2.6149112167049078E-2</v>
      </c>
      <c r="AD102">
        <f t="shared" si="5"/>
        <v>2.614911216704908</v>
      </c>
    </row>
    <row r="103" spans="1:30" ht="15" x14ac:dyDescent="0.25">
      <c r="A103" s="3">
        <v>36647</v>
      </c>
      <c r="B103" s="518">
        <f>'DATA-Purchased Power'!J11</f>
        <v>11458319</v>
      </c>
      <c r="C103" s="518">
        <f>'DATA-Degree Days'!J12</f>
        <v>149.19999999999999</v>
      </c>
      <c r="D103" s="518">
        <f>'DATA-Degree Days'!J32</f>
        <v>10.199999999999999</v>
      </c>
      <c r="E103" s="518">
        <f>'DATA-Calendar'!J12</f>
        <v>352</v>
      </c>
      <c r="F103" s="518">
        <f>'DATA-Calendar'!J32</f>
        <v>31</v>
      </c>
      <c r="G103" s="518">
        <f>'DATA-Calendar'!J52</f>
        <v>1</v>
      </c>
      <c r="H103" s="518">
        <f>'DATA-Calendar'!J72</f>
        <v>0</v>
      </c>
      <c r="I103" s="518">
        <f>'DATA-Calendar'!J91</f>
        <v>1</v>
      </c>
      <c r="J103" s="518">
        <f>'DATA-Calendar'!J110</f>
        <v>0</v>
      </c>
      <c r="K103" s="518">
        <f>'DATA-Customers'!J29</f>
        <v>6542.7850691548665</v>
      </c>
      <c r="L103" s="518">
        <f>'DATA-Population'!J12</f>
        <v>13716.655864513528</v>
      </c>
      <c r="M103" s="518">
        <v>0</v>
      </c>
      <c r="N103" s="519">
        <f>'DATA-GDP Qrtly'!K84</f>
        <v>116.03456167418771</v>
      </c>
      <c r="O103" s="519">
        <f>'DATA-GDP Annual'!L10</f>
        <v>115.30017774683859</v>
      </c>
      <c r="P103" s="375">
        <f>'DATA-Employment'!J12</f>
        <v>189.6</v>
      </c>
      <c r="Q103" s="375">
        <f>'DATA-Employment'!J30</f>
        <v>187.2</v>
      </c>
      <c r="R103" s="375">
        <f>'DATA-Employment'!J48</f>
        <v>11.4</v>
      </c>
      <c r="S103" s="375">
        <f>'DATA-Employment'!J66</f>
        <v>12</v>
      </c>
      <c r="T103" s="513">
        <f t="shared" si="2"/>
        <v>11663393.957298247</v>
      </c>
      <c r="U103" s="40">
        <f t="shared" si="3"/>
        <v>205074.95729824714</v>
      </c>
      <c r="V103" s="5">
        <f t="shared" si="4"/>
        <v>1.7897473206868054E-2</v>
      </c>
      <c r="AD103">
        <f t="shared" si="5"/>
        <v>1.7897473206868055</v>
      </c>
    </row>
    <row r="104" spans="1:30" ht="15" x14ac:dyDescent="0.25">
      <c r="A104" s="3">
        <v>36678</v>
      </c>
      <c r="B104" s="518">
        <f>'DATA-Purchased Power'!J12</f>
        <v>12646169</v>
      </c>
      <c r="C104" s="518">
        <f>'DATA-Degree Days'!J13</f>
        <v>44.8</v>
      </c>
      <c r="D104" s="518">
        <f>'DATA-Degree Days'!J33</f>
        <v>33.1</v>
      </c>
      <c r="E104" s="518">
        <f>'DATA-Calendar'!J13</f>
        <v>352</v>
      </c>
      <c r="F104" s="518">
        <f>'DATA-Calendar'!J33</f>
        <v>30</v>
      </c>
      <c r="G104" s="518">
        <f>'DATA-Calendar'!J53</f>
        <v>0</v>
      </c>
      <c r="H104" s="518">
        <f>'DATA-Calendar'!J73</f>
        <v>0</v>
      </c>
      <c r="I104" s="518">
        <f>'DATA-Calendar'!J92</f>
        <v>0</v>
      </c>
      <c r="J104" s="518">
        <f>'DATA-Calendar'!J111</f>
        <v>0</v>
      </c>
      <c r="K104" s="518">
        <f>'DATA-Customers'!J30</f>
        <v>6558.4540311724477</v>
      </c>
      <c r="L104" s="518">
        <f>'DATA-Population'!J13</f>
        <v>13726.80976601781</v>
      </c>
      <c r="M104" s="518">
        <v>0</v>
      </c>
      <c r="N104" s="519">
        <f>'DATA-GDP Qrtly'!K85</f>
        <v>116.57157090326425</v>
      </c>
      <c r="O104" s="519">
        <f>'DATA-GDP Annual'!L11</f>
        <v>115.82987350896386</v>
      </c>
      <c r="P104" s="375">
        <f>'DATA-Employment'!J13</f>
        <v>192.7</v>
      </c>
      <c r="Q104" s="375">
        <f>'DATA-Employment'!J31</f>
        <v>195.5</v>
      </c>
      <c r="R104" s="375">
        <f>'DATA-Employment'!J49</f>
        <v>11.9</v>
      </c>
      <c r="S104" s="375">
        <f>'DATA-Employment'!J67</f>
        <v>11.3</v>
      </c>
      <c r="T104" s="513">
        <f t="shared" si="2"/>
        <v>12509847.99468888</v>
      </c>
      <c r="U104" s="40">
        <f t="shared" si="3"/>
        <v>-136321.0053111203</v>
      </c>
      <c r="V104" s="5">
        <f t="shared" si="4"/>
        <v>-1.0779628622005629E-2</v>
      </c>
      <c r="AD104">
        <f t="shared" si="5"/>
        <v>1.0779628622005628</v>
      </c>
    </row>
    <row r="105" spans="1:30" ht="15" x14ac:dyDescent="0.25">
      <c r="A105" s="3">
        <v>36708</v>
      </c>
      <c r="B105" s="518">
        <f>'DATA-Purchased Power'!J13</f>
        <v>14174031</v>
      </c>
      <c r="C105" s="518">
        <f>'DATA-Degree Days'!J14</f>
        <v>0.2</v>
      </c>
      <c r="D105" s="518">
        <f>'DATA-Degree Days'!J34</f>
        <v>83.7</v>
      </c>
      <c r="E105" s="518">
        <f>'DATA-Calendar'!J14</f>
        <v>320</v>
      </c>
      <c r="F105" s="518">
        <f>'DATA-Calendar'!J34</f>
        <v>31</v>
      </c>
      <c r="G105" s="518">
        <f>'DATA-Calendar'!J54</f>
        <v>0</v>
      </c>
      <c r="H105" s="518">
        <f>'DATA-Calendar'!J74</f>
        <v>1</v>
      </c>
      <c r="I105" s="518">
        <f>'DATA-Calendar'!J93</f>
        <v>0</v>
      </c>
      <c r="J105" s="518">
        <f>'DATA-Calendar'!J112</f>
        <v>0</v>
      </c>
      <c r="K105" s="518">
        <f>'DATA-Customers'!J31</f>
        <v>6574.1605179395219</v>
      </c>
      <c r="L105" s="518">
        <f>'DATA-Population'!J14</f>
        <v>13736.971184056498</v>
      </c>
      <c r="M105" s="518">
        <v>0</v>
      </c>
      <c r="N105" s="519">
        <f>'DATA-GDP Qrtly'!K86</f>
        <v>117.05395268901445</v>
      </c>
      <c r="O105" s="519">
        <f>'DATA-GDP Annual'!L12</f>
        <v>116.36200272440982</v>
      </c>
      <c r="P105" s="375">
        <f>'DATA-Employment'!J14</f>
        <v>193.7</v>
      </c>
      <c r="Q105" s="375">
        <f>'DATA-Employment'!J32</f>
        <v>201.3</v>
      </c>
      <c r="R105" s="375">
        <f>'DATA-Employment'!J50</f>
        <v>11.8</v>
      </c>
      <c r="S105" s="375">
        <f>'DATA-Employment'!J68</f>
        <v>10.7</v>
      </c>
      <c r="T105" s="513">
        <f t="shared" si="2"/>
        <v>15148233.423175398</v>
      </c>
      <c r="U105" s="40">
        <f t="shared" si="3"/>
        <v>974202.42317539826</v>
      </c>
      <c r="V105" s="5">
        <f t="shared" si="4"/>
        <v>6.8731500811265209E-2</v>
      </c>
      <c r="AD105">
        <f t="shared" si="5"/>
        <v>6.8731500811265205</v>
      </c>
    </row>
    <row r="106" spans="1:30" ht="15" x14ac:dyDescent="0.25">
      <c r="A106" s="3">
        <v>36739</v>
      </c>
      <c r="B106" s="518">
        <f>'DATA-Purchased Power'!J14</f>
        <v>16101013</v>
      </c>
      <c r="C106" s="518">
        <f>'DATA-Degree Days'!J15</f>
        <v>2.8</v>
      </c>
      <c r="D106" s="518">
        <f>'DATA-Degree Days'!J35</f>
        <v>109.1</v>
      </c>
      <c r="E106" s="518">
        <f>'DATA-Calendar'!J15</f>
        <v>352</v>
      </c>
      <c r="F106" s="518">
        <f>'DATA-Calendar'!J35</f>
        <v>31</v>
      </c>
      <c r="G106" s="518">
        <f>'DATA-Calendar'!J55</f>
        <v>0</v>
      </c>
      <c r="H106" s="518">
        <f>'DATA-Calendar'!J75</f>
        <v>1</v>
      </c>
      <c r="I106" s="518">
        <f>'DATA-Calendar'!J94</f>
        <v>0</v>
      </c>
      <c r="J106" s="518">
        <f>'DATA-Calendar'!J113</f>
        <v>0</v>
      </c>
      <c r="K106" s="518">
        <f>'DATA-Customers'!J32</f>
        <v>6589.904619322082</v>
      </c>
      <c r="L106" s="518">
        <f>'DATA-Population'!J15</f>
        <v>13747.140124193789</v>
      </c>
      <c r="M106" s="518">
        <v>0</v>
      </c>
      <c r="N106" s="519">
        <f>'DATA-GDP Qrtly'!K87</f>
        <v>117.53833060628644</v>
      </c>
      <c r="O106" s="519">
        <f>'DATA-GDP Annual'!L13</f>
        <v>116.89657657260338</v>
      </c>
      <c r="P106" s="375">
        <f>'DATA-Employment'!J15</f>
        <v>193.3</v>
      </c>
      <c r="Q106" s="375">
        <f>'DATA-Employment'!J33</f>
        <v>201.3</v>
      </c>
      <c r="R106" s="375">
        <f>'DATA-Employment'!J51</f>
        <v>11.6</v>
      </c>
      <c r="S106" s="375">
        <f>'DATA-Employment'!J69</f>
        <v>10.9</v>
      </c>
      <c r="T106" s="513">
        <f t="shared" si="2"/>
        <v>16048501.049918788</v>
      </c>
      <c r="U106" s="40">
        <f t="shared" si="3"/>
        <v>-52511.950081212446</v>
      </c>
      <c r="V106" s="5">
        <f t="shared" si="4"/>
        <v>-3.2614066010140134E-3</v>
      </c>
      <c r="AD106">
        <f t="shared" si="5"/>
        <v>0.32614066010140136</v>
      </c>
    </row>
    <row r="107" spans="1:30" ht="15" x14ac:dyDescent="0.25">
      <c r="A107" s="3">
        <v>36770</v>
      </c>
      <c r="B107" s="518">
        <f>'DATA-Purchased Power'!J15</f>
        <v>13854501</v>
      </c>
      <c r="C107" s="518">
        <f>'DATA-Degree Days'!J16</f>
        <v>60.3</v>
      </c>
      <c r="D107" s="518">
        <f>'DATA-Degree Days'!J36</f>
        <v>50.3</v>
      </c>
      <c r="E107" s="518">
        <f>'DATA-Calendar'!J16</f>
        <v>320</v>
      </c>
      <c r="F107" s="518">
        <f>'DATA-Calendar'!J36</f>
        <v>30</v>
      </c>
      <c r="G107" s="518">
        <f>'DATA-Calendar'!J56</f>
        <v>1</v>
      </c>
      <c r="H107" s="518">
        <f>'DATA-Calendar'!J76</f>
        <v>1</v>
      </c>
      <c r="I107" s="518">
        <f>'DATA-Calendar'!J95</f>
        <v>0</v>
      </c>
      <c r="J107" s="518">
        <f>'DATA-Calendar'!J114</f>
        <v>1</v>
      </c>
      <c r="K107" s="518">
        <f>'DATA-Customers'!J33</f>
        <v>6605.6864254013362</v>
      </c>
      <c r="L107" s="518">
        <f>'DATA-Population'!J16</f>
        <v>13757.316591997997</v>
      </c>
      <c r="M107" s="518">
        <v>0</v>
      </c>
      <c r="N107" s="519">
        <f>'DATA-GDP Qrtly'!K88</f>
        <v>118.02471291522012</v>
      </c>
      <c r="O107" s="519">
        <f>'DATA-GDP Annual'!L14</f>
        <v>117.43360628433041</v>
      </c>
      <c r="P107" s="375">
        <f>'DATA-Employment'!J16</f>
        <v>191.2</v>
      </c>
      <c r="Q107" s="375">
        <f>'DATA-Employment'!J34</f>
        <v>197.7</v>
      </c>
      <c r="R107" s="375">
        <f>'DATA-Employment'!J52</f>
        <v>12.7</v>
      </c>
      <c r="S107" s="375">
        <f>'DATA-Employment'!J70</f>
        <v>12</v>
      </c>
      <c r="T107" s="513">
        <f t="shared" si="2"/>
        <v>13897320.605583403</v>
      </c>
      <c r="U107" s="40">
        <f t="shared" si="3"/>
        <v>42819.60558340326</v>
      </c>
      <c r="V107" s="5">
        <f t="shared" si="4"/>
        <v>3.090663863202526E-3</v>
      </c>
      <c r="AD107">
        <f t="shared" si="5"/>
        <v>0.30906638632025257</v>
      </c>
    </row>
    <row r="108" spans="1:30" ht="15" x14ac:dyDescent="0.25">
      <c r="A108" s="3">
        <v>36800</v>
      </c>
      <c r="B108" s="518">
        <f>'DATA-Purchased Power'!J16</f>
        <v>12543952</v>
      </c>
      <c r="C108" s="518">
        <f>'DATA-Degree Days'!J17</f>
        <v>184.7</v>
      </c>
      <c r="D108" s="518">
        <f>'DATA-Degree Days'!J37</f>
        <v>2.2000000000000002</v>
      </c>
      <c r="E108" s="518">
        <f>'DATA-Calendar'!J17</f>
        <v>336</v>
      </c>
      <c r="F108" s="518">
        <f>'DATA-Calendar'!J37</f>
        <v>31</v>
      </c>
      <c r="G108" s="518">
        <f>'DATA-Calendar'!J57</f>
        <v>1</v>
      </c>
      <c r="H108" s="518">
        <f>'DATA-Calendar'!J77</f>
        <v>0</v>
      </c>
      <c r="I108" s="518">
        <f>'DATA-Calendar'!J96</f>
        <v>0</v>
      </c>
      <c r="J108" s="518">
        <f>'DATA-Calendar'!J115</f>
        <v>1</v>
      </c>
      <c r="K108" s="518">
        <f>'DATA-Customers'!J34</f>
        <v>6621.5060264742224</v>
      </c>
      <c r="L108" s="518">
        <f>'DATA-Population'!J17</f>
        <v>13767.500593041557</v>
      </c>
      <c r="M108" s="518">
        <v>0</v>
      </c>
      <c r="N108" s="519">
        <f>'DATA-GDP Qrtly'!K89</f>
        <v>118.02428493993554</v>
      </c>
      <c r="O108" s="519">
        <f>'DATA-GDP Annual'!L15</f>
        <v>117.97310314197166</v>
      </c>
      <c r="P108" s="375">
        <f>'DATA-Employment'!J17</f>
        <v>190</v>
      </c>
      <c r="Q108" s="375">
        <f>'DATA-Employment'!J35</f>
        <v>194.5</v>
      </c>
      <c r="R108" s="375">
        <f>'DATA-Employment'!J53</f>
        <v>13.8</v>
      </c>
      <c r="S108" s="375">
        <f>'DATA-Employment'!J71</f>
        <v>12.6</v>
      </c>
      <c r="T108" s="513">
        <f t="shared" si="2"/>
        <v>12716936.059814543</v>
      </c>
      <c r="U108" s="40">
        <f t="shared" si="3"/>
        <v>172984.05981454253</v>
      </c>
      <c r="V108" s="5">
        <f t="shared" si="4"/>
        <v>1.37902361085679E-2</v>
      </c>
      <c r="AD108">
        <f t="shared" si="5"/>
        <v>1.3790236108567899</v>
      </c>
    </row>
    <row r="109" spans="1:30" ht="15" x14ac:dyDescent="0.25">
      <c r="A109" s="3">
        <v>36831</v>
      </c>
      <c r="B109" s="518">
        <f>'DATA-Purchased Power'!J17</f>
        <v>12658677</v>
      </c>
      <c r="C109" s="518">
        <f>'DATA-Degree Days'!J18</f>
        <v>376.6</v>
      </c>
      <c r="D109" s="518">
        <f>'DATA-Degree Days'!J38</f>
        <v>0</v>
      </c>
      <c r="E109" s="518">
        <f>'DATA-Calendar'!J18</f>
        <v>352</v>
      </c>
      <c r="F109" s="518">
        <f>'DATA-Calendar'!J38</f>
        <v>30</v>
      </c>
      <c r="G109" s="518">
        <f>'DATA-Calendar'!J58</f>
        <v>1</v>
      </c>
      <c r="H109" s="518">
        <f>'DATA-Calendar'!J78</f>
        <v>0</v>
      </c>
      <c r="I109" s="518">
        <f>'DATA-Calendar'!J97</f>
        <v>0</v>
      </c>
      <c r="J109" s="518">
        <f>'DATA-Calendar'!J116</f>
        <v>1</v>
      </c>
      <c r="K109" s="518">
        <f>'DATA-Customers'!J35</f>
        <v>6637.363513053926</v>
      </c>
      <c r="L109" s="518">
        <f>'DATA-Population'!J18</f>
        <v>13777.692132901031</v>
      </c>
      <c r="M109" s="518">
        <v>0</v>
      </c>
      <c r="N109" s="519">
        <f>'DATA-GDP Qrtly'!K90</f>
        <v>118.02385696620286</v>
      </c>
      <c r="O109" s="519">
        <f>'DATA-GDP Annual'!L16</f>
        <v>118.51507847973981</v>
      </c>
      <c r="P109" s="375">
        <f>'DATA-Employment'!J18</f>
        <v>188.3</v>
      </c>
      <c r="Q109" s="375">
        <f>'DATA-Employment'!J36</f>
        <v>190.5</v>
      </c>
      <c r="R109" s="375">
        <f>'DATA-Employment'!J54</f>
        <v>14</v>
      </c>
      <c r="S109" s="375">
        <f>'DATA-Employment'!J72</f>
        <v>12.4</v>
      </c>
      <c r="T109" s="513">
        <f t="shared" si="2"/>
        <v>12921892.542732418</v>
      </c>
      <c r="U109" s="40">
        <f t="shared" si="3"/>
        <v>263215.54273241758</v>
      </c>
      <c r="V109" s="5">
        <f t="shared" si="4"/>
        <v>2.0793290067549521E-2</v>
      </c>
      <c r="AD109">
        <f t="shared" si="5"/>
        <v>2.0793290067549521</v>
      </c>
    </row>
    <row r="110" spans="1:30" ht="15" x14ac:dyDescent="0.25">
      <c r="A110" s="3">
        <v>36861</v>
      </c>
      <c r="B110" s="518">
        <f>'DATA-Purchased Power'!J18</f>
        <v>14588347</v>
      </c>
      <c r="C110" s="518">
        <f>'DATA-Degree Days'!J19</f>
        <v>679.5</v>
      </c>
      <c r="D110" s="518">
        <f>'DATA-Degree Days'!J39</f>
        <v>0</v>
      </c>
      <c r="E110" s="518">
        <f>'DATA-Calendar'!J19</f>
        <v>304</v>
      </c>
      <c r="F110" s="518">
        <f>'DATA-Calendar'!J39</f>
        <v>31</v>
      </c>
      <c r="G110" s="518">
        <f>'DATA-Calendar'!J59</f>
        <v>0</v>
      </c>
      <c r="H110" s="518">
        <f>'DATA-Calendar'!J79</f>
        <v>0</v>
      </c>
      <c r="I110" s="518">
        <f>'DATA-Calendar'!J98</f>
        <v>0</v>
      </c>
      <c r="J110" s="518">
        <f>'DATA-Calendar'!J117</f>
        <v>0</v>
      </c>
      <c r="K110" s="518">
        <f>'DATA-Customers'!J36</f>
        <v>6653.258975870398</v>
      </c>
      <c r="L110" s="518">
        <f>'DATA-Population'!J19</f>
        <v>13787.891217157108</v>
      </c>
      <c r="M110" s="518">
        <v>0</v>
      </c>
      <c r="N110" s="519">
        <f>'DATA-GDP Qrtly'!K91</f>
        <v>118.02342899402207</v>
      </c>
      <c r="O110" s="519">
        <f>'DATA-GDP Annual'!L17</f>
        <v>119.05954368391765</v>
      </c>
      <c r="P110" s="375">
        <f>'DATA-Employment'!J19</f>
        <v>185.7</v>
      </c>
      <c r="Q110" s="375">
        <f>'DATA-Employment'!J37</f>
        <v>186.6</v>
      </c>
      <c r="R110" s="375">
        <f>'DATA-Employment'!J55</f>
        <v>14.3</v>
      </c>
      <c r="S110" s="375">
        <f>'DATA-Employment'!J73</f>
        <v>12.8</v>
      </c>
      <c r="T110" s="513">
        <f t="shared" si="2"/>
        <v>14578681.296030628</v>
      </c>
      <c r="U110" s="40">
        <f t="shared" si="3"/>
        <v>-9665.7039693724364</v>
      </c>
      <c r="V110" s="5">
        <f t="shared" si="4"/>
        <v>-6.625633438368608E-4</v>
      </c>
      <c r="AD110">
        <f t="shared" si="5"/>
        <v>6.6256334383686083E-2</v>
      </c>
    </row>
    <row r="111" spans="1:30" ht="15" x14ac:dyDescent="0.25">
      <c r="A111" s="3">
        <v>36892</v>
      </c>
      <c r="B111" s="518">
        <f>'DATA-Purchased Power'!K7</f>
        <v>13755848</v>
      </c>
      <c r="C111" s="518">
        <f>'DATA-Degree Days'!K8</f>
        <v>621.5</v>
      </c>
      <c r="D111" s="518">
        <f>'DATA-Degree Days'!K28</f>
        <v>0</v>
      </c>
      <c r="E111" s="518">
        <f>'DATA-Calendar'!K8</f>
        <v>352</v>
      </c>
      <c r="F111" s="518">
        <f>'DATA-Calendar'!K28</f>
        <v>31</v>
      </c>
      <c r="G111" s="518">
        <f>'DATA-Calendar'!K48</f>
        <v>0</v>
      </c>
      <c r="H111" s="518">
        <f>'DATA-Calendar'!K68</f>
        <v>0</v>
      </c>
      <c r="I111" s="518">
        <f>'DATA-Calendar'!K87</f>
        <v>0</v>
      </c>
      <c r="J111" s="518">
        <f>'DATA-Calendar'!K106</f>
        <v>0</v>
      </c>
      <c r="K111" s="518">
        <f>'DATA-Customers'!K25</f>
        <v>6669.1925058708739</v>
      </c>
      <c r="L111" s="518">
        <f>'DATA-Population'!K8</f>
        <v>13798.097851394608</v>
      </c>
      <c r="M111" s="518">
        <v>0</v>
      </c>
      <c r="N111" s="519">
        <f>'DATA-GDP Qrtly'!L80</f>
        <v>118.11220954095434</v>
      </c>
      <c r="O111" s="519">
        <f>'DATA-GDP Annual'!M6</f>
        <v>119.23206305749976</v>
      </c>
      <c r="P111" s="375">
        <f>'DATA-Employment'!K8</f>
        <v>184.2</v>
      </c>
      <c r="Q111" s="375">
        <f>'DATA-Employment'!K26</f>
        <v>181.1</v>
      </c>
      <c r="R111" s="375">
        <f>'DATA-Employment'!K44</f>
        <v>14.4</v>
      </c>
      <c r="S111" s="375">
        <f>'DATA-Employment'!K62</f>
        <v>14.5</v>
      </c>
      <c r="T111" s="513">
        <f t="shared" si="2"/>
        <v>14383142.378930997</v>
      </c>
      <c r="U111" s="40">
        <f t="shared" si="3"/>
        <v>627294.3789309971</v>
      </c>
      <c r="V111" s="5">
        <f t="shared" si="4"/>
        <v>4.5602014425500853E-2</v>
      </c>
      <c r="AD111">
        <f t="shared" si="5"/>
        <v>4.5602014425500856</v>
      </c>
    </row>
    <row r="112" spans="1:30" ht="15" x14ac:dyDescent="0.25">
      <c r="A112" s="3">
        <v>36925</v>
      </c>
      <c r="B112" s="518">
        <f>'DATA-Purchased Power'!K8</f>
        <v>12202985</v>
      </c>
      <c r="C112" s="518">
        <f>'DATA-Degree Days'!K9</f>
        <v>533.75</v>
      </c>
      <c r="D112" s="518">
        <f>'DATA-Degree Days'!K29</f>
        <v>0</v>
      </c>
      <c r="E112" s="518">
        <f>'DATA-Calendar'!K9</f>
        <v>320</v>
      </c>
      <c r="F112" s="518">
        <f>'DATA-Calendar'!K29</f>
        <v>28</v>
      </c>
      <c r="G112" s="518">
        <f>'DATA-Calendar'!K49</f>
        <v>0</v>
      </c>
      <c r="H112" s="518">
        <f>'DATA-Calendar'!K69</f>
        <v>0</v>
      </c>
      <c r="I112" s="518">
        <f>'DATA-Calendar'!K88</f>
        <v>0</v>
      </c>
      <c r="J112" s="518">
        <f>'DATA-Calendar'!K107</f>
        <v>0</v>
      </c>
      <c r="K112" s="518">
        <f>'DATA-Customers'!K26</f>
        <v>6685.1641942203933</v>
      </c>
      <c r="L112" s="518">
        <f>'DATA-Population'!K9</f>
        <v>13808.312041202487</v>
      </c>
      <c r="M112" s="518">
        <v>0</v>
      </c>
      <c r="N112" s="519">
        <f>'DATA-GDP Qrtly'!L81</f>
        <v>118.20105687111416</v>
      </c>
      <c r="O112" s="519">
        <f>'DATA-GDP Annual'!M7</f>
        <v>119.40483241468957</v>
      </c>
      <c r="P112" s="375">
        <f>'DATA-Employment'!K9</f>
        <v>184.2</v>
      </c>
      <c r="Q112" s="375">
        <f>'DATA-Employment'!K27</f>
        <v>178.8</v>
      </c>
      <c r="R112" s="375">
        <f>'DATA-Employment'!K45</f>
        <v>14.5</v>
      </c>
      <c r="S112" s="375">
        <f>'DATA-Employment'!K63</f>
        <v>15.6</v>
      </c>
      <c r="T112" s="513">
        <f t="shared" si="2"/>
        <v>12622087.029648339</v>
      </c>
      <c r="U112" s="40">
        <f t="shared" si="3"/>
        <v>419102.02964833938</v>
      </c>
      <c r="V112" s="5">
        <f t="shared" si="4"/>
        <v>3.4344222306946975E-2</v>
      </c>
      <c r="AD112">
        <f t="shared" si="5"/>
        <v>3.4344222306946977</v>
      </c>
    </row>
    <row r="113" spans="1:41" ht="15" x14ac:dyDescent="0.25">
      <c r="A113" s="3">
        <v>36958</v>
      </c>
      <c r="B113" s="518">
        <f>'DATA-Purchased Power'!K9</f>
        <v>13113484</v>
      </c>
      <c r="C113" s="518">
        <f>'DATA-Degree Days'!K10</f>
        <v>543.04999999999995</v>
      </c>
      <c r="D113" s="518">
        <f>'DATA-Degree Days'!K30</f>
        <v>0</v>
      </c>
      <c r="E113" s="518">
        <f>'DATA-Calendar'!K10</f>
        <v>352</v>
      </c>
      <c r="F113" s="518">
        <f>'DATA-Calendar'!K30</f>
        <v>31</v>
      </c>
      <c r="G113" s="518">
        <f>'DATA-Calendar'!K50</f>
        <v>1</v>
      </c>
      <c r="H113" s="518">
        <f>'DATA-Calendar'!K70</f>
        <v>0</v>
      </c>
      <c r="I113" s="518">
        <f>'DATA-Calendar'!K89</f>
        <v>1</v>
      </c>
      <c r="J113" s="518">
        <f>'DATA-Calendar'!K108</f>
        <v>0</v>
      </c>
      <c r="K113" s="518">
        <f>'DATA-Customers'!K27</f>
        <v>6701.1741323023216</v>
      </c>
      <c r="L113" s="518">
        <f>'DATA-Population'!K10</f>
        <v>13818.533792173836</v>
      </c>
      <c r="M113" s="518">
        <v>0</v>
      </c>
      <c r="N113" s="519">
        <f>'DATA-GDP Qrtly'!L82</f>
        <v>118.28997103473777</v>
      </c>
      <c r="O113" s="519">
        <f>'DATA-GDP Annual'!M8</f>
        <v>119.57785211771773</v>
      </c>
      <c r="P113" s="375">
        <f>'DATA-Employment'!K10</f>
        <v>186.2</v>
      </c>
      <c r="Q113" s="375">
        <f>'DATA-Employment'!K28</f>
        <v>178.2</v>
      </c>
      <c r="R113" s="375">
        <f>'DATA-Employment'!K46</f>
        <v>14.2</v>
      </c>
      <c r="S113" s="375">
        <f>'DATA-Employment'!K64</f>
        <v>16.3</v>
      </c>
      <c r="T113" s="513">
        <f t="shared" si="2"/>
        <v>13222287.789589196</v>
      </c>
      <c r="U113" s="40">
        <f t="shared" si="3"/>
        <v>108803.78958919644</v>
      </c>
      <c r="V113" s="5">
        <f t="shared" si="4"/>
        <v>8.2970924880982379E-3</v>
      </c>
      <c r="AD113">
        <f t="shared" si="5"/>
        <v>0.82970924880982377</v>
      </c>
    </row>
    <row r="114" spans="1:41" ht="15" x14ac:dyDescent="0.25">
      <c r="A114" s="3">
        <v>36991</v>
      </c>
      <c r="B114" s="518">
        <f>'DATA-Purchased Power'!K10</f>
        <v>11332498</v>
      </c>
      <c r="C114" s="518">
        <f>'DATA-Degree Days'!K11</f>
        <v>322.5</v>
      </c>
      <c r="D114" s="518">
        <f>'DATA-Degree Days'!K31</f>
        <v>0</v>
      </c>
      <c r="E114" s="518">
        <f>'DATA-Calendar'!K11</f>
        <v>320</v>
      </c>
      <c r="F114" s="518">
        <f>'DATA-Calendar'!K31</f>
        <v>30</v>
      </c>
      <c r="G114" s="518">
        <f>'DATA-Calendar'!K51</f>
        <v>1</v>
      </c>
      <c r="H114" s="518">
        <f>'DATA-Calendar'!K71</f>
        <v>0</v>
      </c>
      <c r="I114" s="518">
        <f>'DATA-Calendar'!K90</f>
        <v>1</v>
      </c>
      <c r="J114" s="518">
        <f>'DATA-Calendar'!K109</f>
        <v>0</v>
      </c>
      <c r="K114" s="518">
        <f>'DATA-Customers'!K28</f>
        <v>6717.2224117188734</v>
      </c>
      <c r="L114" s="518">
        <f>'DATA-Population'!K11</f>
        <v>13828.763109905887</v>
      </c>
      <c r="M114" s="518">
        <v>0</v>
      </c>
      <c r="N114" s="519">
        <f>'DATA-GDP Qrtly'!L83</f>
        <v>118.57602114851063</v>
      </c>
      <c r="O114" s="519">
        <f>'DATA-GDP Annual'!M9</f>
        <v>119.75112252933975</v>
      </c>
      <c r="P114" s="375">
        <f>'DATA-Employment'!K11</f>
        <v>186.1</v>
      </c>
      <c r="Q114" s="375">
        <f>'DATA-Employment'!K29</f>
        <v>180.3</v>
      </c>
      <c r="R114" s="375">
        <f>'DATA-Employment'!K47</f>
        <v>13.2</v>
      </c>
      <c r="S114" s="375">
        <f>'DATA-Employment'!K65</f>
        <v>14.4</v>
      </c>
      <c r="T114" s="513">
        <f t="shared" si="2"/>
        <v>11943203.061912332</v>
      </c>
      <c r="U114" s="40">
        <f t="shared" si="3"/>
        <v>610705.06191233173</v>
      </c>
      <c r="V114" s="5">
        <f t="shared" si="4"/>
        <v>5.3889712745798124E-2</v>
      </c>
      <c r="AD114">
        <f t="shared" si="5"/>
        <v>5.3889712745798128</v>
      </c>
    </row>
    <row r="115" spans="1:41" ht="15" x14ac:dyDescent="0.25">
      <c r="A115" s="3">
        <v>37024</v>
      </c>
      <c r="B115" s="518">
        <f>'DATA-Purchased Power'!K11</f>
        <v>11763961</v>
      </c>
      <c r="C115" s="518">
        <f>'DATA-Degree Days'!K12</f>
        <v>129.4</v>
      </c>
      <c r="D115" s="518">
        <f>'DATA-Degree Days'!K32</f>
        <v>2.2000000000000002</v>
      </c>
      <c r="E115" s="518">
        <f>'DATA-Calendar'!K12</f>
        <v>352</v>
      </c>
      <c r="F115" s="518">
        <f>'DATA-Calendar'!K32</f>
        <v>31</v>
      </c>
      <c r="G115" s="518">
        <f>'DATA-Calendar'!K52</f>
        <v>1</v>
      </c>
      <c r="H115" s="518">
        <f>'DATA-Calendar'!K72</f>
        <v>0</v>
      </c>
      <c r="I115" s="518">
        <f>'DATA-Calendar'!K91</f>
        <v>1</v>
      </c>
      <c r="J115" s="518">
        <f>'DATA-Calendar'!K110</f>
        <v>0</v>
      </c>
      <c r="K115" s="518">
        <f>'DATA-Customers'!K29</f>
        <v>6733.309124291638</v>
      </c>
      <c r="L115" s="518">
        <f>'DATA-Population'!K12</f>
        <v>13839</v>
      </c>
      <c r="M115" s="518">
        <v>0</v>
      </c>
      <c r="N115" s="519">
        <f>'DATA-GDP Qrtly'!L84</f>
        <v>118.86276299182636</v>
      </c>
      <c r="O115" s="519">
        <f>'DATA-GDP Annual'!M10</f>
        <v>119.92464401283681</v>
      </c>
      <c r="P115" s="375">
        <f>'DATA-Employment'!K12</f>
        <v>185.3</v>
      </c>
      <c r="Q115" s="375">
        <f>'DATA-Employment'!K30</f>
        <v>183.2</v>
      </c>
      <c r="R115" s="375">
        <f>'DATA-Employment'!K48</f>
        <v>12.6</v>
      </c>
      <c r="S115" s="375">
        <f>'DATA-Employment'!K66</f>
        <v>13.4</v>
      </c>
      <c r="T115" s="513">
        <f t="shared" si="2"/>
        <v>11808206.943612501</v>
      </c>
      <c r="U115" s="40">
        <f t="shared" si="3"/>
        <v>44245.943612501025</v>
      </c>
      <c r="V115" s="5">
        <f t="shared" si="4"/>
        <v>3.7611433438534034E-3</v>
      </c>
      <c r="AD115">
        <f t="shared" si="5"/>
        <v>0.37611433438534037</v>
      </c>
    </row>
    <row r="116" spans="1:41" ht="15" x14ac:dyDescent="0.25">
      <c r="A116" s="3">
        <v>37057</v>
      </c>
      <c r="B116" s="518">
        <f>'DATA-Purchased Power'!K12</f>
        <v>14136292</v>
      </c>
      <c r="C116" s="518">
        <f>'DATA-Degree Days'!K13</f>
        <v>27.7</v>
      </c>
      <c r="D116" s="518">
        <f>'DATA-Degree Days'!K33</f>
        <v>61</v>
      </c>
      <c r="E116" s="518">
        <f>'DATA-Calendar'!K13</f>
        <v>336</v>
      </c>
      <c r="F116" s="518">
        <f>'DATA-Calendar'!K33</f>
        <v>30</v>
      </c>
      <c r="G116" s="518">
        <f>'DATA-Calendar'!K53</f>
        <v>0</v>
      </c>
      <c r="H116" s="518">
        <f>'DATA-Calendar'!K73</f>
        <v>0</v>
      </c>
      <c r="I116" s="518">
        <f>'DATA-Calendar'!K92</f>
        <v>0</v>
      </c>
      <c r="J116" s="518">
        <f>'DATA-Calendar'!K111</f>
        <v>0</v>
      </c>
      <c r="K116" s="518">
        <f>'DATA-Customers'!K30</f>
        <v>6749.4343620621012</v>
      </c>
      <c r="L116" s="518">
        <f>'DATA-Population'!K13</f>
        <v>13851.146750024011</v>
      </c>
      <c r="M116" s="518">
        <v>0</v>
      </c>
      <c r="N116" s="519">
        <f>'DATA-GDP Qrtly'!L85</f>
        <v>119.15019823743297</v>
      </c>
      <c r="O116" s="519">
        <f>'DATA-GDP Annual'!M11</f>
        <v>120.09841693201646</v>
      </c>
      <c r="P116" s="375">
        <f>'DATA-Employment'!K13</f>
        <v>184</v>
      </c>
      <c r="Q116" s="375">
        <f>'DATA-Employment'!K31</f>
        <v>186.7</v>
      </c>
      <c r="R116" s="375">
        <f>'DATA-Employment'!K49</f>
        <v>12.4</v>
      </c>
      <c r="S116" s="375">
        <f>'DATA-Employment'!K67</f>
        <v>12</v>
      </c>
      <c r="T116" s="513">
        <f t="shared" ref="T116:T179" si="6">$X$18+C116*$X$19+D116*$X$20+O116*$X$21+I116*$X$22+H116*$X$23+M116*$X$24+F116*$X$25</f>
        <v>13807958.336363582</v>
      </c>
      <c r="U116" s="40">
        <f t="shared" ref="U116:U179" si="7">T116-B116</f>
        <v>-328333.66363641806</v>
      </c>
      <c r="V116" s="5">
        <f t="shared" ref="V116:V179" si="8">U116/B116</f>
        <v>-2.3226293262506043E-2</v>
      </c>
      <c r="AD116">
        <f t="shared" ref="AD116:AD179" si="9">ABS(B116-T116)/B116*100</f>
        <v>2.3226293262506044</v>
      </c>
    </row>
    <row r="117" spans="1:41" ht="15" x14ac:dyDescent="0.25">
      <c r="A117" s="3">
        <v>37090</v>
      </c>
      <c r="B117" s="518">
        <f>'DATA-Purchased Power'!K13</f>
        <v>16055092</v>
      </c>
      <c r="C117" s="518">
        <f>'DATA-Degree Days'!K14</f>
        <v>1.8</v>
      </c>
      <c r="D117" s="518">
        <f>'DATA-Degree Days'!K34</f>
        <v>89.6</v>
      </c>
      <c r="E117" s="518">
        <f>'DATA-Calendar'!K14</f>
        <v>336</v>
      </c>
      <c r="F117" s="518">
        <f>'DATA-Calendar'!K34</f>
        <v>31</v>
      </c>
      <c r="G117" s="518">
        <f>'DATA-Calendar'!K54</f>
        <v>0</v>
      </c>
      <c r="H117" s="518">
        <f>'DATA-Calendar'!K74</f>
        <v>1</v>
      </c>
      <c r="I117" s="518">
        <f>'DATA-Calendar'!K93</f>
        <v>0</v>
      </c>
      <c r="J117" s="518">
        <f>'DATA-Calendar'!K112</f>
        <v>0</v>
      </c>
      <c r="K117" s="518">
        <f>'DATA-Customers'!K31</f>
        <v>6765.5982172921749</v>
      </c>
      <c r="L117" s="518">
        <f>'DATA-Population'!K14</f>
        <v>13863.304161478482</v>
      </c>
      <c r="M117" s="518">
        <v>0</v>
      </c>
      <c r="N117" s="519">
        <f>'DATA-GDP Qrtly'!L86</f>
        <v>119.02621366885661</v>
      </c>
      <c r="O117" s="519">
        <f>'DATA-GDP Annual'!M12</f>
        <v>120.27244165121344</v>
      </c>
      <c r="P117" s="375">
        <f>'DATA-Employment'!K14</f>
        <v>183.2</v>
      </c>
      <c r="Q117" s="375">
        <f>'DATA-Employment'!K32</f>
        <v>189</v>
      </c>
      <c r="R117" s="375">
        <f>'DATA-Employment'!K50</f>
        <v>12.1</v>
      </c>
      <c r="S117" s="375">
        <f>'DATA-Employment'!K68</f>
        <v>11.4</v>
      </c>
      <c r="T117" s="513">
        <f t="shared" si="6"/>
        <v>15754605.210407875</v>
      </c>
      <c r="U117" s="40">
        <f t="shared" si="7"/>
        <v>-300486.78959212452</v>
      </c>
      <c r="V117" s="5">
        <f t="shared" si="8"/>
        <v>-1.8715980549480784E-2</v>
      </c>
      <c r="AD117">
        <f t="shared" si="9"/>
        <v>1.8715980549480784</v>
      </c>
    </row>
    <row r="118" spans="1:41" ht="15" x14ac:dyDescent="0.25">
      <c r="A118" s="3">
        <v>37123</v>
      </c>
      <c r="B118" s="518">
        <f>'DATA-Purchased Power'!K14</f>
        <v>18933691</v>
      </c>
      <c r="C118" s="518">
        <f>'DATA-Degree Days'!K15</f>
        <v>0</v>
      </c>
      <c r="D118" s="518">
        <f>'DATA-Degree Days'!K35</f>
        <v>170.1</v>
      </c>
      <c r="E118" s="518">
        <f>'DATA-Calendar'!K15</f>
        <v>352</v>
      </c>
      <c r="F118" s="518">
        <f>'DATA-Calendar'!K35</f>
        <v>31</v>
      </c>
      <c r="G118" s="518">
        <f>'DATA-Calendar'!K55</f>
        <v>0</v>
      </c>
      <c r="H118" s="518">
        <f>'DATA-Calendar'!K75</f>
        <v>1</v>
      </c>
      <c r="I118" s="518">
        <f>'DATA-Calendar'!K94</f>
        <v>0</v>
      </c>
      <c r="J118" s="518">
        <f>'DATA-Calendar'!K113</f>
        <v>0</v>
      </c>
      <c r="K118" s="518">
        <f>'DATA-Customers'!K32</f>
        <v>6781.8007824647248</v>
      </c>
      <c r="L118" s="518">
        <f>'DATA-Population'!K15</f>
        <v>13875.472243721151</v>
      </c>
      <c r="M118" s="518">
        <v>0</v>
      </c>
      <c r="N118" s="519">
        <f>'DATA-GDP Qrtly'!L87</f>
        <v>118.9023581153677</v>
      </c>
      <c r="O118" s="519">
        <f>'DATA-GDP Annual'!M13</f>
        <v>120.4467185352904</v>
      </c>
      <c r="P118" s="375">
        <f>'DATA-Employment'!K15</f>
        <v>182.1</v>
      </c>
      <c r="Q118" s="375">
        <f>'DATA-Employment'!K33</f>
        <v>188.7</v>
      </c>
      <c r="R118" s="375">
        <f>'DATA-Employment'!K51</f>
        <v>11.7</v>
      </c>
      <c r="S118" s="375">
        <f>'DATA-Employment'!K69</f>
        <v>10.9</v>
      </c>
      <c r="T118" s="513">
        <f t="shared" si="6"/>
        <v>18412861.637407959</v>
      </c>
      <c r="U118" s="40">
        <f t="shared" si="7"/>
        <v>-520829.36259204149</v>
      </c>
      <c r="V118" s="5">
        <f t="shared" si="8"/>
        <v>-2.7508073443896466E-2</v>
      </c>
      <c r="AD118">
        <f t="shared" si="9"/>
        <v>2.7508073443896466</v>
      </c>
    </row>
    <row r="119" spans="1:41" ht="15" x14ac:dyDescent="0.25">
      <c r="A119" s="3">
        <v>37156</v>
      </c>
      <c r="B119" s="518">
        <f>'DATA-Purchased Power'!K15</f>
        <v>14596638</v>
      </c>
      <c r="C119" s="518">
        <f>'DATA-Degree Days'!K16</f>
        <v>43.6</v>
      </c>
      <c r="D119" s="518">
        <f>'DATA-Degree Days'!K36</f>
        <v>45.2</v>
      </c>
      <c r="E119" s="518">
        <f>'DATA-Calendar'!K16</f>
        <v>304</v>
      </c>
      <c r="F119" s="518">
        <f>'DATA-Calendar'!K36</f>
        <v>30</v>
      </c>
      <c r="G119" s="518">
        <f>'DATA-Calendar'!K56</f>
        <v>1</v>
      </c>
      <c r="H119" s="518">
        <f>'DATA-Calendar'!K76</f>
        <v>1</v>
      </c>
      <c r="I119" s="518">
        <f>'DATA-Calendar'!K95</f>
        <v>0</v>
      </c>
      <c r="J119" s="518">
        <f>'DATA-Calendar'!K114</f>
        <v>1</v>
      </c>
      <c r="K119" s="518">
        <f>'DATA-Customers'!K33</f>
        <v>6798.0421502840973</v>
      </c>
      <c r="L119" s="518">
        <f>'DATA-Population'!K16</f>
        <v>13887.651006117969</v>
      </c>
      <c r="M119" s="518">
        <v>0</v>
      </c>
      <c r="N119" s="519">
        <f>'DATA-GDP Qrtly'!L88</f>
        <v>118.77863144271656</v>
      </c>
      <c r="O119" s="519">
        <f>'DATA-GDP Annual'!M14</f>
        <v>120.62124794963869</v>
      </c>
      <c r="P119" s="375">
        <f>'DATA-Employment'!K16</f>
        <v>182.2</v>
      </c>
      <c r="Q119" s="375">
        <f>'DATA-Employment'!K34</f>
        <v>188</v>
      </c>
      <c r="R119" s="375">
        <f>'DATA-Employment'!K52</f>
        <v>11.1</v>
      </c>
      <c r="S119" s="375">
        <f>'DATA-Employment'!K70</f>
        <v>10.199999999999999</v>
      </c>
      <c r="T119" s="513">
        <f t="shared" si="6"/>
        <v>13999532.419389959</v>
      </c>
      <c r="U119" s="40">
        <f t="shared" si="7"/>
        <v>-597105.58061004058</v>
      </c>
      <c r="V119" s="5">
        <f t="shared" si="8"/>
        <v>-4.0907062339289403E-2</v>
      </c>
      <c r="AD119">
        <f t="shared" si="9"/>
        <v>4.0907062339289402</v>
      </c>
    </row>
    <row r="120" spans="1:41" ht="15" x14ac:dyDescent="0.25">
      <c r="A120" s="3">
        <v>37189</v>
      </c>
      <c r="B120" s="518">
        <f>'DATA-Purchased Power'!K16</f>
        <v>13331992</v>
      </c>
      <c r="C120" s="518">
        <f>'DATA-Degree Days'!K17</f>
        <v>184.9</v>
      </c>
      <c r="D120" s="518">
        <f>'DATA-Degree Days'!K37</f>
        <v>3.8</v>
      </c>
      <c r="E120" s="518">
        <f>'DATA-Calendar'!K17</f>
        <v>352</v>
      </c>
      <c r="F120" s="518">
        <f>'DATA-Calendar'!K37</f>
        <v>31</v>
      </c>
      <c r="G120" s="518">
        <f>'DATA-Calendar'!K57</f>
        <v>1</v>
      </c>
      <c r="H120" s="518">
        <f>'DATA-Calendar'!K77</f>
        <v>0</v>
      </c>
      <c r="I120" s="518">
        <f>'DATA-Calendar'!K96</f>
        <v>0</v>
      </c>
      <c r="J120" s="518">
        <f>'DATA-Calendar'!K115</f>
        <v>1</v>
      </c>
      <c r="K120" s="518">
        <f>'DATA-Customers'!K34</f>
        <v>6814.3224136766521</v>
      </c>
      <c r="L120" s="518">
        <f>'DATA-Population'!K17</f>
        <v>13899.840458043109</v>
      </c>
      <c r="M120" s="518">
        <v>0</v>
      </c>
      <c r="N120" s="519">
        <f>'DATA-GDP Qrtly'!L89</f>
        <v>119.089042021819</v>
      </c>
      <c r="O120" s="519">
        <f>'DATA-GDP Annual'!M15</f>
        <v>120.79603026017911</v>
      </c>
      <c r="P120" s="375">
        <f>'DATA-Employment'!K17</f>
        <v>182.8</v>
      </c>
      <c r="Q120" s="375">
        <f>'DATA-Employment'!K35</f>
        <v>187.5</v>
      </c>
      <c r="R120" s="375">
        <f>'DATA-Employment'!K53</f>
        <v>11.2</v>
      </c>
      <c r="S120" s="375">
        <f>'DATA-Employment'!K71</f>
        <v>9.6999999999999993</v>
      </c>
      <c r="T120" s="513">
        <f t="shared" si="6"/>
        <v>13063726.471116669</v>
      </c>
      <c r="U120" s="40">
        <f t="shared" si="7"/>
        <v>-268265.52888333052</v>
      </c>
      <c r="V120" s="5">
        <f t="shared" si="8"/>
        <v>-2.012193893330648E-2</v>
      </c>
      <c r="AD120">
        <f t="shared" si="9"/>
        <v>2.012193893330648</v>
      </c>
    </row>
    <row r="121" spans="1:41" ht="15" x14ac:dyDescent="0.25">
      <c r="A121" s="3">
        <v>37222</v>
      </c>
      <c r="B121" s="518">
        <f>'DATA-Purchased Power'!K17</f>
        <v>12715774</v>
      </c>
      <c r="C121" s="518">
        <f>'DATA-Degree Days'!K18</f>
        <v>290.39999999999998</v>
      </c>
      <c r="D121" s="518">
        <f>'DATA-Degree Days'!K38</f>
        <v>0</v>
      </c>
      <c r="E121" s="518">
        <f>'DATA-Calendar'!K18</f>
        <v>352</v>
      </c>
      <c r="F121" s="518">
        <f>'DATA-Calendar'!K38</f>
        <v>30</v>
      </c>
      <c r="G121" s="518">
        <f>'DATA-Calendar'!K58</f>
        <v>1</v>
      </c>
      <c r="H121" s="518">
        <f>'DATA-Calendar'!K78</f>
        <v>0</v>
      </c>
      <c r="I121" s="518">
        <f>'DATA-Calendar'!K97</f>
        <v>0</v>
      </c>
      <c r="J121" s="518">
        <f>'DATA-Calendar'!K116</f>
        <v>1</v>
      </c>
      <c r="K121" s="518">
        <f>'DATA-Customers'!K35</f>
        <v>6830.6416657912941</v>
      </c>
      <c r="L121" s="518">
        <f>'DATA-Population'!K18</f>
        <v>13912.04060887897</v>
      </c>
      <c r="M121" s="518">
        <v>0</v>
      </c>
      <c r="N121" s="519">
        <f>'DATA-GDP Qrtly'!L90</f>
        <v>119.40026381356506</v>
      </c>
      <c r="O121" s="519">
        <f>'DATA-GDP Annual'!M16</f>
        <v>120.9710658333627</v>
      </c>
      <c r="P121" s="375">
        <f>'DATA-Employment'!K18</f>
        <v>183.8</v>
      </c>
      <c r="Q121" s="375">
        <f>'DATA-Employment'!K36</f>
        <v>186.6</v>
      </c>
      <c r="R121" s="375">
        <f>'DATA-Employment'!K54</f>
        <v>12.1</v>
      </c>
      <c r="S121" s="375">
        <f>'DATA-Employment'!K72</f>
        <v>10.1</v>
      </c>
      <c r="T121" s="513">
        <f t="shared" si="6"/>
        <v>12859931.932139343</v>
      </c>
      <c r="U121" s="40">
        <f t="shared" si="7"/>
        <v>144157.93213934265</v>
      </c>
      <c r="V121" s="5">
        <f t="shared" si="8"/>
        <v>1.1336937266999449E-2</v>
      </c>
      <c r="AD121">
        <f t="shared" si="9"/>
        <v>1.1336937266999449</v>
      </c>
    </row>
    <row r="122" spans="1:41" s="15" customFormat="1" ht="15" x14ac:dyDescent="0.25">
      <c r="A122" s="3">
        <v>37255</v>
      </c>
      <c r="B122" s="518">
        <f>'DATA-Purchased Power'!K18</f>
        <v>13993294</v>
      </c>
      <c r="C122" s="518">
        <f>'DATA-Degree Days'!K19</f>
        <v>455</v>
      </c>
      <c r="D122" s="518">
        <f>'DATA-Degree Days'!K39</f>
        <v>0</v>
      </c>
      <c r="E122" s="518">
        <f>'DATA-Calendar'!K19</f>
        <v>304</v>
      </c>
      <c r="F122" s="518">
        <f>'DATA-Calendar'!K39</f>
        <v>31</v>
      </c>
      <c r="G122" s="518">
        <f>'DATA-Calendar'!K59</f>
        <v>0</v>
      </c>
      <c r="H122" s="518">
        <f>'DATA-Calendar'!K79</f>
        <v>0</v>
      </c>
      <c r="I122" s="518">
        <f>'DATA-Calendar'!K98</f>
        <v>0</v>
      </c>
      <c r="J122" s="518">
        <f>'DATA-Calendar'!K117</f>
        <v>0</v>
      </c>
      <c r="K122" s="518">
        <f>'DATA-Customers'!K36</f>
        <v>6847</v>
      </c>
      <c r="L122" s="518">
        <f>'DATA-Population'!K19</f>
        <v>13924.251468016186</v>
      </c>
      <c r="M122" s="518">
        <v>0</v>
      </c>
      <c r="N122" s="519">
        <f>'DATA-GDP Qrtly'!L91</f>
        <v>119.71229893794037</v>
      </c>
      <c r="O122" s="519">
        <f>'DATA-GDP Annual'!M17</f>
        <v>121.1463550361714</v>
      </c>
      <c r="P122" s="375">
        <f>'DATA-Employment'!K19</f>
        <v>184.2</v>
      </c>
      <c r="Q122" s="375">
        <f>'DATA-Employment'!K37</f>
        <v>185.9</v>
      </c>
      <c r="R122" s="375">
        <f>'DATA-Employment'!K55</f>
        <v>13</v>
      </c>
      <c r="S122" s="375">
        <f>'DATA-Employment'!K73</f>
        <v>11.3</v>
      </c>
      <c r="T122" s="513">
        <f t="shared" si="6"/>
        <v>13969322.558859957</v>
      </c>
      <c r="U122" s="40">
        <f t="shared" si="7"/>
        <v>-23971.441140042618</v>
      </c>
      <c r="V122" s="5">
        <f t="shared" si="8"/>
        <v>-1.713066354501136E-3</v>
      </c>
      <c r="W122"/>
      <c r="X122"/>
      <c r="Y122"/>
      <c r="Z122"/>
      <c r="AA122"/>
      <c r="AB122"/>
      <c r="AC122"/>
      <c r="AD122">
        <f t="shared" si="9"/>
        <v>0.1713066354501136</v>
      </c>
      <c r="AE122"/>
      <c r="AF122"/>
      <c r="AG122"/>
      <c r="AH122"/>
      <c r="AI122"/>
      <c r="AJ122"/>
      <c r="AK122"/>
      <c r="AL122"/>
      <c r="AM122"/>
      <c r="AN122"/>
      <c r="AO122"/>
    </row>
    <row r="123" spans="1:41" ht="15" x14ac:dyDescent="0.25">
      <c r="A123" s="14">
        <v>37275</v>
      </c>
      <c r="B123" s="518">
        <f>'DATA-Purchased Power'!L7</f>
        <v>14148180</v>
      </c>
      <c r="C123" s="518">
        <f>'DATA-Degree Days'!L8</f>
        <v>528.04999999999995</v>
      </c>
      <c r="D123" s="518">
        <f>'DATA-Degree Days'!L28</f>
        <v>0</v>
      </c>
      <c r="E123" s="518">
        <f>'DATA-Calendar'!L8</f>
        <v>352</v>
      </c>
      <c r="F123" s="518">
        <f>'DATA-Calendar'!L28</f>
        <v>31</v>
      </c>
      <c r="G123" s="518">
        <f>'DATA-Calendar'!L48</f>
        <v>0</v>
      </c>
      <c r="H123" s="518">
        <f>'DATA-Calendar'!L68</f>
        <v>0</v>
      </c>
      <c r="I123" s="518">
        <f>'DATA-Calendar'!L87</f>
        <v>0</v>
      </c>
      <c r="J123" s="518">
        <f>'DATA-Calendar'!L106</f>
        <v>0</v>
      </c>
      <c r="K123" s="518">
        <f>'DATA-Customers'!L25</f>
        <v>6845.5817186501681</v>
      </c>
      <c r="L123" s="518">
        <f>'DATA-Population'!L8</f>
        <v>13936.473044853634</v>
      </c>
      <c r="M123" s="518">
        <v>0</v>
      </c>
      <c r="N123" s="519">
        <f>'DATA-GDP Qrtly'!M80</f>
        <v>120.28034501264254</v>
      </c>
      <c r="O123" s="519">
        <f>'DATA-GDP Annual'!N6</f>
        <v>121.50450639216388</v>
      </c>
      <c r="P123" s="375">
        <f>'DATA-Employment'!L8</f>
        <v>184.2</v>
      </c>
      <c r="Q123" s="375">
        <f>'DATA-Employment'!L26</f>
        <v>181.9</v>
      </c>
      <c r="R123" s="375">
        <f>'DATA-Employment'!L44</f>
        <v>13.8</v>
      </c>
      <c r="S123" s="375">
        <f>'DATA-Employment'!L62</f>
        <v>13.9</v>
      </c>
      <c r="T123" s="513">
        <f t="shared" si="6"/>
        <v>14275418.001328366</v>
      </c>
      <c r="U123" s="40">
        <f t="shared" si="7"/>
        <v>127238.00132836588</v>
      </c>
      <c r="V123" s="5">
        <f t="shared" si="8"/>
        <v>8.9932416274295258E-3</v>
      </c>
      <c r="AD123">
        <f t="shared" si="9"/>
        <v>0.89932416274295257</v>
      </c>
    </row>
    <row r="124" spans="1:41" ht="15" x14ac:dyDescent="0.25">
      <c r="A124" s="3">
        <v>37308</v>
      </c>
      <c r="B124" s="518">
        <f>'DATA-Purchased Power'!L8</f>
        <v>12641587</v>
      </c>
      <c r="C124" s="518">
        <f>'DATA-Degree Days'!L9</f>
        <v>492.3</v>
      </c>
      <c r="D124" s="518">
        <f>'DATA-Degree Days'!L29</f>
        <v>0</v>
      </c>
      <c r="E124" s="518">
        <f>'DATA-Calendar'!L9</f>
        <v>320</v>
      </c>
      <c r="F124" s="518">
        <f>'DATA-Calendar'!L29</f>
        <v>28</v>
      </c>
      <c r="G124" s="518">
        <f>'DATA-Calendar'!L49</f>
        <v>0</v>
      </c>
      <c r="H124" s="518">
        <f>'DATA-Calendar'!L69</f>
        <v>0</v>
      </c>
      <c r="I124" s="518">
        <f>'DATA-Calendar'!L88</f>
        <v>0</v>
      </c>
      <c r="J124" s="518">
        <f>'DATA-Calendar'!L107</f>
        <v>0</v>
      </c>
      <c r="K124" s="518">
        <f>'DATA-Customers'!L26</f>
        <v>6844.1637310818442</v>
      </c>
      <c r="L124" s="518">
        <f>'DATA-Population'!L9</f>
        <v>13948.705348798441</v>
      </c>
      <c r="M124" s="518">
        <v>0</v>
      </c>
      <c r="N124" s="519">
        <f>'DATA-GDP Qrtly'!M81</f>
        <v>120.85108651919128</v>
      </c>
      <c r="O124" s="519">
        <f>'DATA-GDP Annual'!N7</f>
        <v>121.86371656989111</v>
      </c>
      <c r="P124" s="375">
        <f>'DATA-Employment'!L9</f>
        <v>184.4</v>
      </c>
      <c r="Q124" s="375">
        <f>'DATA-Employment'!L27</f>
        <v>179.7</v>
      </c>
      <c r="R124" s="375">
        <f>'DATA-Employment'!L45</f>
        <v>14.5</v>
      </c>
      <c r="S124" s="375">
        <f>'DATA-Employment'!L63</f>
        <v>15.6</v>
      </c>
      <c r="T124" s="513">
        <f t="shared" si="6"/>
        <v>12725132.684802063</v>
      </c>
      <c r="U124" s="40">
        <f t="shared" si="7"/>
        <v>83545.684802062809</v>
      </c>
      <c r="V124" s="5">
        <f t="shared" si="8"/>
        <v>6.6087972026030286E-3</v>
      </c>
      <c r="AD124">
        <f t="shared" si="9"/>
        <v>0.66087972026030284</v>
      </c>
    </row>
    <row r="125" spans="1:41" ht="15" x14ac:dyDescent="0.25">
      <c r="A125" s="3">
        <v>37341</v>
      </c>
      <c r="B125" s="518">
        <f>'DATA-Purchased Power'!L9</f>
        <v>13657015</v>
      </c>
      <c r="C125" s="518">
        <f>'DATA-Degree Days'!L10</f>
        <v>513.5</v>
      </c>
      <c r="D125" s="518">
        <f>'DATA-Degree Days'!L30</f>
        <v>0</v>
      </c>
      <c r="E125" s="518">
        <f>'DATA-Calendar'!L10</f>
        <v>320</v>
      </c>
      <c r="F125" s="518">
        <f>'DATA-Calendar'!L30</f>
        <v>31</v>
      </c>
      <c r="G125" s="518">
        <f>'DATA-Calendar'!L50</f>
        <v>1</v>
      </c>
      <c r="H125" s="518">
        <f>'DATA-Calendar'!L70</f>
        <v>0</v>
      </c>
      <c r="I125" s="518">
        <f>'DATA-Calendar'!L89</f>
        <v>1</v>
      </c>
      <c r="J125" s="518">
        <f>'DATA-Calendar'!L108</f>
        <v>0</v>
      </c>
      <c r="K125" s="518">
        <f>'DATA-Customers'!L27</f>
        <v>6842.7460372341748</v>
      </c>
      <c r="L125" s="518">
        <f>'DATA-Population'!L10</f>
        <v>13960.948389265992</v>
      </c>
      <c r="M125" s="518">
        <v>0</v>
      </c>
      <c r="N125" s="519">
        <f>'DATA-GDP Qrtly'!M82</f>
        <v>121.42453624766327</v>
      </c>
      <c r="O125" s="519">
        <f>'DATA-GDP Annual'!N8</f>
        <v>122.22398869960362</v>
      </c>
      <c r="P125" s="375">
        <f>'DATA-Employment'!L10</f>
        <v>184.1</v>
      </c>
      <c r="Q125" s="375">
        <f>'DATA-Employment'!L28</f>
        <v>176.7</v>
      </c>
      <c r="R125" s="375">
        <f>'DATA-Employment'!L46</f>
        <v>15.2</v>
      </c>
      <c r="S125" s="375">
        <f>'DATA-Employment'!L64</f>
        <v>17.399999999999999</v>
      </c>
      <c r="T125" s="513">
        <f t="shared" si="6"/>
        <v>13388597.318832066</v>
      </c>
      <c r="U125" s="40">
        <f t="shared" si="7"/>
        <v>-268417.68116793409</v>
      </c>
      <c r="V125" s="5">
        <f t="shared" si="8"/>
        <v>-1.9654198312583981E-2</v>
      </c>
      <c r="AD125">
        <f t="shared" si="9"/>
        <v>1.9654198312583981</v>
      </c>
    </row>
    <row r="126" spans="1:41" ht="15" x14ac:dyDescent="0.25">
      <c r="A126" s="3">
        <v>37374</v>
      </c>
      <c r="B126" s="518">
        <f>'DATA-Purchased Power'!L10</f>
        <v>12616129</v>
      </c>
      <c r="C126" s="518">
        <f>'DATA-Degree Days'!L11</f>
        <v>314.89999999999998</v>
      </c>
      <c r="D126" s="518">
        <f>'DATA-Degree Days'!L31</f>
        <v>0</v>
      </c>
      <c r="E126" s="518">
        <f>'DATA-Calendar'!L11</f>
        <v>352</v>
      </c>
      <c r="F126" s="518">
        <f>'DATA-Calendar'!L31</f>
        <v>30</v>
      </c>
      <c r="G126" s="518">
        <f>'DATA-Calendar'!L51</f>
        <v>1</v>
      </c>
      <c r="H126" s="518">
        <f>'DATA-Calendar'!L71</f>
        <v>0</v>
      </c>
      <c r="I126" s="518">
        <f>'DATA-Calendar'!L90</f>
        <v>1</v>
      </c>
      <c r="J126" s="518">
        <f>'DATA-Calendar'!L109</f>
        <v>0</v>
      </c>
      <c r="K126" s="518">
        <f>'DATA-Customers'!L28</f>
        <v>6841.3286370463193</v>
      </c>
      <c r="L126" s="518">
        <f>'DATA-Population'!L11</f>
        <v>13973.202175679931</v>
      </c>
      <c r="M126" s="518">
        <v>0</v>
      </c>
      <c r="N126" s="519">
        <f>'DATA-GDP Qrtly'!M83</f>
        <v>121.56842163773302</v>
      </c>
      <c r="O126" s="519">
        <f>'DATA-GDP Annual'!N9</f>
        <v>122.58532592080604</v>
      </c>
      <c r="P126" s="375">
        <f>'DATA-Employment'!L11</f>
        <v>184.2</v>
      </c>
      <c r="Q126" s="375">
        <f>'DATA-Employment'!L29</f>
        <v>178.4</v>
      </c>
      <c r="R126" s="375">
        <f>'DATA-Employment'!L47</f>
        <v>15.7</v>
      </c>
      <c r="S126" s="375">
        <f>'DATA-Employment'!L65</f>
        <v>17.100000000000001</v>
      </c>
      <c r="T126" s="513">
        <f t="shared" si="6"/>
        <v>12209850.767298583</v>
      </c>
      <c r="U126" s="40">
        <f t="shared" si="7"/>
        <v>-406278.23270141706</v>
      </c>
      <c r="V126" s="5">
        <f t="shared" si="8"/>
        <v>-3.220308168229867E-2</v>
      </c>
      <c r="AD126">
        <f t="shared" si="9"/>
        <v>3.2203081682298671</v>
      </c>
    </row>
    <row r="127" spans="1:41" ht="15" x14ac:dyDescent="0.25">
      <c r="A127" s="3">
        <v>37407</v>
      </c>
      <c r="B127" s="518">
        <f>'DATA-Purchased Power'!L11</f>
        <v>12946863</v>
      </c>
      <c r="C127" s="518">
        <f>'DATA-Degree Days'!L12</f>
        <v>224.5</v>
      </c>
      <c r="D127" s="518">
        <f>'DATA-Degree Days'!L32</f>
        <v>2.4</v>
      </c>
      <c r="E127" s="518">
        <f>'DATA-Calendar'!L12</f>
        <v>352</v>
      </c>
      <c r="F127" s="518">
        <f>'DATA-Calendar'!L32</f>
        <v>31</v>
      </c>
      <c r="G127" s="518">
        <f>'DATA-Calendar'!L52</f>
        <v>1</v>
      </c>
      <c r="H127" s="518">
        <f>'DATA-Calendar'!L72</f>
        <v>0</v>
      </c>
      <c r="I127" s="518">
        <f>'DATA-Calendar'!L91</f>
        <v>1</v>
      </c>
      <c r="J127" s="518">
        <f>'DATA-Calendar'!L110</f>
        <v>0</v>
      </c>
      <c r="K127" s="518">
        <f>'DATA-Customers'!L29</f>
        <v>6839.9115304574489</v>
      </c>
      <c r="L127" s="518">
        <f>'DATA-Population'!L12</f>
        <v>13985.46671747218</v>
      </c>
      <c r="M127" s="518">
        <v>0</v>
      </c>
      <c r="N127" s="519">
        <f>'DATA-GDP Qrtly'!M84</f>
        <v>121.7124775288079</v>
      </c>
      <c r="O127" s="519">
        <f>'DATA-GDP Annual'!N10</f>
        <v>122.9477313822845</v>
      </c>
      <c r="P127" s="375">
        <f>'DATA-Employment'!L12</f>
        <v>184.9</v>
      </c>
      <c r="Q127" s="375">
        <f>'DATA-Employment'!L30</f>
        <v>182.2</v>
      </c>
      <c r="R127" s="375">
        <f>'DATA-Employment'!L48</f>
        <v>16</v>
      </c>
      <c r="S127" s="375">
        <f>'DATA-Employment'!L66</f>
        <v>17</v>
      </c>
      <c r="T127" s="513">
        <f t="shared" si="6"/>
        <v>12479058.94677496</v>
      </c>
      <c r="U127" s="40">
        <f t="shared" si="7"/>
        <v>-467804.05322504044</v>
      </c>
      <c r="V127" s="5">
        <f t="shared" si="8"/>
        <v>-3.6132617856931094E-2</v>
      </c>
      <c r="AD127">
        <f t="shared" si="9"/>
        <v>3.6132617856931093</v>
      </c>
    </row>
    <row r="128" spans="1:41" ht="15" x14ac:dyDescent="0.25">
      <c r="A128" s="3">
        <v>37408</v>
      </c>
      <c r="B128" s="518">
        <f>'DATA-Purchased Power'!L12</f>
        <v>14674061</v>
      </c>
      <c r="C128" s="518">
        <f>'DATA-Degree Days'!L13</f>
        <v>39.299999999999997</v>
      </c>
      <c r="D128" s="518">
        <f>'DATA-Degree Days'!L33</f>
        <v>54.8</v>
      </c>
      <c r="E128" s="518">
        <f>'DATA-Calendar'!L13</f>
        <v>320</v>
      </c>
      <c r="F128" s="518">
        <f>'DATA-Calendar'!L33</f>
        <v>30</v>
      </c>
      <c r="G128" s="518">
        <f>'DATA-Calendar'!L53</f>
        <v>0</v>
      </c>
      <c r="H128" s="518">
        <f>'DATA-Calendar'!L73</f>
        <v>0</v>
      </c>
      <c r="I128" s="518">
        <f>'DATA-Calendar'!L92</f>
        <v>0</v>
      </c>
      <c r="J128" s="518">
        <f>'DATA-Calendar'!L111</f>
        <v>0</v>
      </c>
      <c r="K128" s="518">
        <f>'DATA-Customers'!L30</f>
        <v>6838.4947174067474</v>
      </c>
      <c r="L128" s="518">
        <f>'DATA-Population'!L13</f>
        <v>13997.742024082936</v>
      </c>
      <c r="M128" s="518">
        <v>0</v>
      </c>
      <c r="N128" s="519">
        <f>'DATA-GDP Qrtly'!M85</f>
        <v>121.85670412292775</v>
      </c>
      <c r="O128" s="519">
        <f>'DATA-GDP Annual'!N11</f>
        <v>123.31120824213403</v>
      </c>
      <c r="P128" s="375">
        <f>'DATA-Employment'!L13</f>
        <v>186.2</v>
      </c>
      <c r="Q128" s="375">
        <f>'DATA-Employment'!L31</f>
        <v>187.9</v>
      </c>
      <c r="R128" s="375">
        <f>'DATA-Employment'!L49</f>
        <v>14.8</v>
      </c>
      <c r="S128" s="375">
        <f>'DATA-Employment'!L67</f>
        <v>14.6</v>
      </c>
      <c r="T128" s="513">
        <f t="shared" si="6"/>
        <v>13980777.417453183</v>
      </c>
      <c r="U128" s="40">
        <f t="shared" si="7"/>
        <v>-693283.58254681714</v>
      </c>
      <c r="V128" s="5">
        <f t="shared" si="8"/>
        <v>-4.724551591729223E-2</v>
      </c>
      <c r="AD128">
        <f t="shared" si="9"/>
        <v>4.7245515917292229</v>
      </c>
    </row>
    <row r="129" spans="1:40" ht="15" x14ac:dyDescent="0.25">
      <c r="A129" s="3">
        <v>37440</v>
      </c>
      <c r="B129" s="518">
        <f>'DATA-Purchased Power'!L13</f>
        <v>18274752</v>
      </c>
      <c r="C129" s="518">
        <f>'DATA-Degree Days'!L14</f>
        <v>0</v>
      </c>
      <c r="D129" s="518">
        <f>'DATA-Degree Days'!L34</f>
        <v>191.6</v>
      </c>
      <c r="E129" s="518">
        <f>'DATA-Calendar'!L14</f>
        <v>352</v>
      </c>
      <c r="F129" s="518">
        <f>'DATA-Calendar'!L34</f>
        <v>31</v>
      </c>
      <c r="G129" s="518">
        <f>'DATA-Calendar'!L54</f>
        <v>0</v>
      </c>
      <c r="H129" s="518">
        <f>'DATA-Calendar'!L74</f>
        <v>1</v>
      </c>
      <c r="I129" s="518">
        <f>'DATA-Calendar'!L93</f>
        <v>0</v>
      </c>
      <c r="J129" s="518">
        <f>'DATA-Calendar'!L112</f>
        <v>0</v>
      </c>
      <c r="K129" s="518">
        <f>'DATA-Customers'!L31</f>
        <v>6837.0781978334126</v>
      </c>
      <c r="L129" s="518">
        <f>'DATA-Population'!L14</f>
        <v>14010.028104960682</v>
      </c>
      <c r="M129" s="518">
        <v>0</v>
      </c>
      <c r="N129" s="519">
        <f>'DATA-GDP Qrtly'!M86</f>
        <v>122.36421858952309</v>
      </c>
      <c r="O129" s="519">
        <f>'DATA-GDP Annual'!N12</f>
        <v>123.67575966778612</v>
      </c>
      <c r="P129" s="375">
        <f>'DATA-Employment'!L14</f>
        <v>187.5</v>
      </c>
      <c r="Q129" s="375">
        <f>'DATA-Employment'!L32</f>
        <v>192.7</v>
      </c>
      <c r="R129" s="375">
        <f>'DATA-Employment'!L50</f>
        <v>14.2</v>
      </c>
      <c r="S129" s="375">
        <f>'DATA-Employment'!L68</f>
        <v>13.8</v>
      </c>
      <c r="T129" s="513">
        <f t="shared" si="6"/>
        <v>19455425.61631795</v>
      </c>
      <c r="U129" s="40">
        <f t="shared" si="7"/>
        <v>1180673.6163179502</v>
      </c>
      <c r="V129" s="5">
        <f t="shared" si="8"/>
        <v>6.4606820181086461E-2</v>
      </c>
      <c r="AD129">
        <f t="shared" si="9"/>
        <v>6.4606820181086464</v>
      </c>
    </row>
    <row r="130" spans="1:40" ht="15" x14ac:dyDescent="0.25">
      <c r="A130" s="3">
        <v>37473</v>
      </c>
      <c r="B130" s="518">
        <f>'DATA-Purchased Power'!L14</f>
        <v>19081340.899999999</v>
      </c>
      <c r="C130" s="518">
        <f>'DATA-Degree Days'!L15</f>
        <v>0</v>
      </c>
      <c r="D130" s="518">
        <f>'DATA-Degree Days'!L35</f>
        <v>155</v>
      </c>
      <c r="E130" s="518">
        <f>'DATA-Calendar'!L15</f>
        <v>336</v>
      </c>
      <c r="F130" s="518">
        <f>'DATA-Calendar'!L35</f>
        <v>31</v>
      </c>
      <c r="G130" s="518">
        <f>'DATA-Calendar'!L55</f>
        <v>0</v>
      </c>
      <c r="H130" s="518">
        <f>'DATA-Calendar'!L75</f>
        <v>1</v>
      </c>
      <c r="I130" s="518">
        <f>'DATA-Calendar'!L94</f>
        <v>0</v>
      </c>
      <c r="J130" s="518">
        <f>'DATA-Calendar'!L113</f>
        <v>0</v>
      </c>
      <c r="K130" s="518">
        <f>'DATA-Customers'!L32</f>
        <v>6835.6619716766527</v>
      </c>
      <c r="L130" s="518">
        <f>'DATA-Population'!L15</f>
        <v>14022.324969562193</v>
      </c>
      <c r="M130" s="518">
        <v>0</v>
      </c>
      <c r="N130" s="519">
        <f>'DATA-GDP Qrtly'!M87</f>
        <v>122.87384677596386</v>
      </c>
      <c r="O130" s="519">
        <f>'DATA-GDP Annual'!N13</f>
        <v>124.04138883603632</v>
      </c>
      <c r="P130" s="375">
        <f>'DATA-Employment'!L15</f>
        <v>190</v>
      </c>
      <c r="Q130" s="375">
        <f>'DATA-Employment'!L33</f>
        <v>196.5</v>
      </c>
      <c r="R130" s="375">
        <f>'DATA-Employment'!L51</f>
        <v>13.5</v>
      </c>
      <c r="S130" s="375">
        <f>'DATA-Employment'!L69</f>
        <v>12.6</v>
      </c>
      <c r="T130" s="513">
        <f t="shared" si="6"/>
        <v>18290059.417237207</v>
      </c>
      <c r="U130" s="40">
        <f t="shared" si="7"/>
        <v>-791281.48276279122</v>
      </c>
      <c r="V130" s="5">
        <f t="shared" si="8"/>
        <v>-4.1468861486709842E-2</v>
      </c>
      <c r="AD130">
        <f t="shared" si="9"/>
        <v>4.1468861486709843</v>
      </c>
    </row>
    <row r="131" spans="1:40" ht="15" x14ac:dyDescent="0.25">
      <c r="A131" s="3">
        <v>37506</v>
      </c>
      <c r="B131" s="518">
        <f>'DATA-Purchased Power'!L15</f>
        <v>16407410</v>
      </c>
      <c r="C131" s="518">
        <f>'DATA-Degree Days'!L16</f>
        <v>9.4</v>
      </c>
      <c r="D131" s="518">
        <f>'DATA-Degree Days'!L36</f>
        <v>98.85</v>
      </c>
      <c r="E131" s="518">
        <f>'DATA-Calendar'!L16</f>
        <v>320</v>
      </c>
      <c r="F131" s="518">
        <f>'DATA-Calendar'!L36</f>
        <v>30</v>
      </c>
      <c r="G131" s="518">
        <f>'DATA-Calendar'!L56</f>
        <v>1</v>
      </c>
      <c r="H131" s="518">
        <f>'DATA-Calendar'!L76</f>
        <v>1</v>
      </c>
      <c r="I131" s="518">
        <f>'DATA-Calendar'!L95</f>
        <v>0</v>
      </c>
      <c r="J131" s="518">
        <f>'DATA-Calendar'!L114</f>
        <v>1</v>
      </c>
      <c r="K131" s="518">
        <f>'DATA-Customers'!L33</f>
        <v>6834.2460388756908</v>
      </c>
      <c r="L131" s="518">
        <f>'DATA-Population'!L16</f>
        <v>14034.632627352546</v>
      </c>
      <c r="M131" s="518">
        <v>0</v>
      </c>
      <c r="N131" s="519">
        <f>'DATA-GDP Qrtly'!M88</f>
        <v>123.38559748556872</v>
      </c>
      <c r="O131" s="519">
        <f>'DATA-GDP Annual'!N14</f>
        <v>124.40809893307186</v>
      </c>
      <c r="P131" s="375">
        <f>'DATA-Employment'!L16</f>
        <v>192</v>
      </c>
      <c r="Q131" s="375">
        <f>'DATA-Employment'!L34</f>
        <v>197.3</v>
      </c>
      <c r="R131" s="375">
        <f>'DATA-Employment'!L52</f>
        <v>14.4</v>
      </c>
      <c r="S131" s="375">
        <f>'DATA-Employment'!L70</f>
        <v>13.2</v>
      </c>
      <c r="T131" s="513">
        <f t="shared" si="6"/>
        <v>16031268.489724889</v>
      </c>
      <c r="U131" s="40">
        <f t="shared" si="7"/>
        <v>-376141.5102751106</v>
      </c>
      <c r="V131" s="5">
        <f t="shared" si="8"/>
        <v>-2.2925099712575635E-2</v>
      </c>
      <c r="AD131">
        <f t="shared" si="9"/>
        <v>2.2925099712575636</v>
      </c>
    </row>
    <row r="132" spans="1:40" ht="15" x14ac:dyDescent="0.25">
      <c r="A132" s="3">
        <v>37539</v>
      </c>
      <c r="B132" s="518">
        <f>'DATA-Purchased Power'!L16</f>
        <v>13790066</v>
      </c>
      <c r="C132" s="518">
        <f>'DATA-Degree Days'!L17</f>
        <v>233.85</v>
      </c>
      <c r="D132" s="518">
        <f>'DATA-Degree Days'!L37</f>
        <v>11.4</v>
      </c>
      <c r="E132" s="518">
        <f>'DATA-Calendar'!L17</f>
        <v>352</v>
      </c>
      <c r="F132" s="518">
        <f>'DATA-Calendar'!L37</f>
        <v>31</v>
      </c>
      <c r="G132" s="518">
        <f>'DATA-Calendar'!L57</f>
        <v>1</v>
      </c>
      <c r="H132" s="518">
        <f>'DATA-Calendar'!L77</f>
        <v>0</v>
      </c>
      <c r="I132" s="518">
        <f>'DATA-Calendar'!L96</f>
        <v>0</v>
      </c>
      <c r="J132" s="518">
        <f>'DATA-Calendar'!L115</f>
        <v>1</v>
      </c>
      <c r="K132" s="518">
        <f>'DATA-Customers'!L34</f>
        <v>6832.8303993697609</v>
      </c>
      <c r="L132" s="518">
        <f>'DATA-Population'!L17</f>
        <v>14046.951087805128</v>
      </c>
      <c r="M132" s="518">
        <v>0</v>
      </c>
      <c r="N132" s="519">
        <f>'DATA-GDP Qrtly'!M89</f>
        <v>123.61047276510676</v>
      </c>
      <c r="O132" s="519">
        <f>'DATA-GDP Annual'!N15</f>
        <v>124.7758931544995</v>
      </c>
      <c r="P132" s="375">
        <f>'DATA-Employment'!L17</f>
        <v>192.7</v>
      </c>
      <c r="Q132" s="375">
        <f>'DATA-Employment'!L35</f>
        <v>196.7</v>
      </c>
      <c r="R132" s="375">
        <f>'DATA-Employment'!L53</f>
        <v>14.8</v>
      </c>
      <c r="S132" s="375">
        <f>'DATA-Employment'!L71</f>
        <v>13.4</v>
      </c>
      <c r="T132" s="513">
        <f t="shared" si="6"/>
        <v>13907484.007728381</v>
      </c>
      <c r="U132" s="40">
        <f t="shared" si="7"/>
        <v>117418.00772838108</v>
      </c>
      <c r="V132" s="5">
        <f t="shared" si="8"/>
        <v>8.5146806207005155E-3</v>
      </c>
      <c r="AD132">
        <f t="shared" si="9"/>
        <v>0.85146806207005155</v>
      </c>
    </row>
    <row r="133" spans="1:40" s="34" customFormat="1" ht="15" x14ac:dyDescent="0.25">
      <c r="A133" s="3">
        <v>37572</v>
      </c>
      <c r="B133" s="518">
        <f>'DATA-Purchased Power'!L17</f>
        <v>13598163</v>
      </c>
      <c r="C133" s="518">
        <f>'DATA-Degree Days'!L18</f>
        <v>381.2</v>
      </c>
      <c r="D133" s="518">
        <f>'DATA-Degree Days'!L38</f>
        <v>0</v>
      </c>
      <c r="E133" s="518">
        <f>'DATA-Calendar'!L18</f>
        <v>336</v>
      </c>
      <c r="F133" s="518">
        <f>'DATA-Calendar'!L38</f>
        <v>30</v>
      </c>
      <c r="G133" s="518">
        <f>'DATA-Calendar'!L58</f>
        <v>1</v>
      </c>
      <c r="H133" s="518">
        <f>'DATA-Calendar'!L78</f>
        <v>0</v>
      </c>
      <c r="I133" s="518">
        <f>'DATA-Calendar'!L97</f>
        <v>0</v>
      </c>
      <c r="J133" s="518">
        <f>'DATA-Calendar'!L116</f>
        <v>1</v>
      </c>
      <c r="K133" s="518">
        <f>'DATA-Customers'!L35</f>
        <v>6831.4150530981105</v>
      </c>
      <c r="L133" s="518">
        <f>'DATA-Population'!L18</f>
        <v>14059.280360401635</v>
      </c>
      <c r="M133" s="518">
        <v>0</v>
      </c>
      <c r="N133" s="519">
        <f>'DATA-GDP Qrtly'!M90</f>
        <v>123.83575788900572</v>
      </c>
      <c r="O133" s="519">
        <f>'DATA-GDP Annual'!N16</f>
        <v>125.14477470537335</v>
      </c>
      <c r="P133" s="375">
        <f>'DATA-Employment'!L18</f>
        <v>191.1</v>
      </c>
      <c r="Q133" s="375">
        <f>'DATA-Employment'!L36</f>
        <v>192</v>
      </c>
      <c r="R133" s="375">
        <f>'DATA-Employment'!L54</f>
        <v>14.9</v>
      </c>
      <c r="S133" s="375">
        <f>'DATA-Employment'!L72</f>
        <v>13.9</v>
      </c>
      <c r="T133" s="513">
        <f t="shared" si="6"/>
        <v>13627990.651049979</v>
      </c>
      <c r="U133" s="40">
        <f t="shared" si="7"/>
        <v>29827.651049979031</v>
      </c>
      <c r="V133" s="5">
        <f t="shared" si="8"/>
        <v>2.1935059206143531E-3</v>
      </c>
      <c r="W133"/>
      <c r="X133"/>
      <c r="Y133"/>
      <c r="Z133"/>
      <c r="AA133"/>
      <c r="AB133"/>
      <c r="AC133"/>
      <c r="AD133">
        <f t="shared" si="9"/>
        <v>0.21935059206143531</v>
      </c>
      <c r="AE133"/>
      <c r="AF133"/>
      <c r="AG133"/>
      <c r="AH133"/>
      <c r="AI133"/>
      <c r="AJ133"/>
      <c r="AK133"/>
      <c r="AL133"/>
      <c r="AM133"/>
      <c r="AN133"/>
    </row>
    <row r="134" spans="1:40" ht="15" x14ac:dyDescent="0.25">
      <c r="A134" s="33">
        <v>37605</v>
      </c>
      <c r="B134" s="518">
        <f>'DATA-Purchased Power'!L18</f>
        <v>15084566</v>
      </c>
      <c r="C134" s="518">
        <f>'DATA-Degree Days'!L19</f>
        <v>567.20000000000005</v>
      </c>
      <c r="D134" s="518">
        <f>'DATA-Degree Days'!L39</f>
        <v>0</v>
      </c>
      <c r="E134" s="518">
        <f>'DATA-Calendar'!L19</f>
        <v>320</v>
      </c>
      <c r="F134" s="518">
        <f>'DATA-Calendar'!L39</f>
        <v>31</v>
      </c>
      <c r="G134" s="518">
        <f>'DATA-Calendar'!L59</f>
        <v>0</v>
      </c>
      <c r="H134" s="518">
        <f>'DATA-Calendar'!L79</f>
        <v>0</v>
      </c>
      <c r="I134" s="518">
        <f>'DATA-Calendar'!L98</f>
        <v>0</v>
      </c>
      <c r="J134" s="518">
        <f>'DATA-Calendar'!L117</f>
        <v>0</v>
      </c>
      <c r="K134" s="518">
        <f>'DATA-Customers'!L36</f>
        <v>6830</v>
      </c>
      <c r="L134" s="518">
        <f>'DATA-Population'!L19</f>
        <v>14071.620454632091</v>
      </c>
      <c r="M134" s="518">
        <v>0</v>
      </c>
      <c r="N134" s="519">
        <f>'DATA-GDP Qrtly'!M91</f>
        <v>124.06145360422359</v>
      </c>
      <c r="O134" s="519">
        <f>'DATA-GDP Annual'!N17</f>
        <v>125.51474680022261</v>
      </c>
      <c r="P134" s="375">
        <f>'DATA-Employment'!L19</f>
        <v>188</v>
      </c>
      <c r="Q134" s="375">
        <f>'DATA-Employment'!L37</f>
        <v>187.4</v>
      </c>
      <c r="R134" s="375">
        <f>'DATA-Employment'!L55</f>
        <v>15.8</v>
      </c>
      <c r="S134" s="375">
        <f>'DATA-Employment'!L73</f>
        <v>15.3</v>
      </c>
      <c r="T134" s="513">
        <f t="shared" si="6"/>
        <v>14836382.897299612</v>
      </c>
      <c r="U134" s="40">
        <f t="shared" si="7"/>
        <v>-248183.10270038806</v>
      </c>
      <c r="V134" s="5">
        <f t="shared" si="8"/>
        <v>-1.6452783772525379E-2</v>
      </c>
      <c r="AD134">
        <f t="shared" si="9"/>
        <v>1.6452783772525379</v>
      </c>
    </row>
    <row r="135" spans="1:40" ht="15" x14ac:dyDescent="0.25">
      <c r="A135" s="3">
        <v>37622</v>
      </c>
      <c r="B135" s="518">
        <f>'DATA-Purchased Power'!M7</f>
        <v>15605142</v>
      </c>
      <c r="C135" s="518">
        <f>'DATA-Degree Days'!M8</f>
        <v>731.8</v>
      </c>
      <c r="D135" s="518">
        <f>'DATA-Degree Days'!M28</f>
        <v>0</v>
      </c>
      <c r="E135" s="518">
        <f>'DATA-Calendar'!M8</f>
        <v>352</v>
      </c>
      <c r="F135" s="518">
        <f>'DATA-Calendar'!M28</f>
        <v>31</v>
      </c>
      <c r="G135" s="518">
        <f>'DATA-Calendar'!M48</f>
        <v>0</v>
      </c>
      <c r="H135" s="518">
        <f>'DATA-Calendar'!M68</f>
        <v>0</v>
      </c>
      <c r="I135" s="518">
        <f>'DATA-Calendar'!M87</f>
        <v>0</v>
      </c>
      <c r="J135" s="518">
        <f>'DATA-Calendar'!M106</f>
        <v>0</v>
      </c>
      <c r="K135" s="518">
        <f>'DATA-Customers'!M25</f>
        <v>6841.6171554081975</v>
      </c>
      <c r="L135" s="518">
        <f>'DATA-Population'!M8</f>
        <v>14083.971379994846</v>
      </c>
      <c r="M135" s="518">
        <v>0</v>
      </c>
      <c r="N135" s="519">
        <f>'DATA-GDP Qrtly'!N80</f>
        <v>124.34225309249827</v>
      </c>
      <c r="O135" s="519">
        <f>'DATA-GDP Annual'!O6</f>
        <v>125.66024937363977</v>
      </c>
      <c r="P135" s="375">
        <f>'DATA-Employment'!M8</f>
        <v>188.4</v>
      </c>
      <c r="Q135" s="375">
        <f>'DATA-Employment'!M26</f>
        <v>184.2</v>
      </c>
      <c r="R135" s="375">
        <f>'DATA-Employment'!M44</f>
        <v>15.5</v>
      </c>
      <c r="S135" s="375">
        <f>'DATA-Employment'!M62</f>
        <v>16.2</v>
      </c>
      <c r="T135" s="513">
        <f t="shared" si="6"/>
        <v>15457328.587552495</v>
      </c>
      <c r="U135" s="40">
        <f t="shared" si="7"/>
        <v>-147813.4124475047</v>
      </c>
      <c r="V135" s="5">
        <f t="shared" si="8"/>
        <v>-9.4720965978716959E-3</v>
      </c>
      <c r="AD135">
        <f t="shared" si="9"/>
        <v>0.94720965978716953</v>
      </c>
    </row>
    <row r="136" spans="1:40" ht="15" x14ac:dyDescent="0.25">
      <c r="A136" s="3">
        <v>37653</v>
      </c>
      <c r="B136" s="518">
        <f>'DATA-Purchased Power'!M8</f>
        <v>13777511</v>
      </c>
      <c r="C136" s="518">
        <f>'DATA-Degree Days'!M9</f>
        <v>632.15</v>
      </c>
      <c r="D136" s="518">
        <f>'DATA-Degree Days'!M29</f>
        <v>0</v>
      </c>
      <c r="E136" s="518">
        <f>'DATA-Calendar'!M9</f>
        <v>320</v>
      </c>
      <c r="F136" s="518">
        <f>'DATA-Calendar'!M29</f>
        <v>28</v>
      </c>
      <c r="G136" s="518">
        <f>'DATA-Calendar'!M49</f>
        <v>0</v>
      </c>
      <c r="H136" s="518">
        <f>'DATA-Calendar'!M69</f>
        <v>0</v>
      </c>
      <c r="I136" s="518">
        <f>'DATA-Calendar'!M88</f>
        <v>0</v>
      </c>
      <c r="J136" s="518">
        <f>'DATA-Calendar'!M107</f>
        <v>0</v>
      </c>
      <c r="K136" s="518">
        <f>'DATA-Customers'!M26</f>
        <v>6853.2540704503308</v>
      </c>
      <c r="L136" s="518">
        <f>'DATA-Population'!M9</f>
        <v>14096.333145996588</v>
      </c>
      <c r="M136" s="518">
        <v>0</v>
      </c>
      <c r="N136" s="519">
        <f>'DATA-GDP Qrtly'!N81</f>
        <v>124.62368813960549</v>
      </c>
      <c r="O136" s="519">
        <f>'DATA-GDP Annual'!O7</f>
        <v>125.80592062045517</v>
      </c>
      <c r="P136" s="375">
        <f>'DATA-Employment'!M9</f>
        <v>189.2</v>
      </c>
      <c r="Q136" s="375">
        <f>'DATA-Employment'!M27</f>
        <v>183.7</v>
      </c>
      <c r="R136" s="375">
        <f>'DATA-Employment'!M45</f>
        <v>16.100000000000001</v>
      </c>
      <c r="S136" s="375">
        <f>'DATA-Employment'!M63</f>
        <v>17.2</v>
      </c>
      <c r="T136" s="513">
        <f t="shared" si="6"/>
        <v>13649657.661464777</v>
      </c>
      <c r="U136" s="40">
        <f t="shared" si="7"/>
        <v>-127853.33853522316</v>
      </c>
      <c r="V136" s="5">
        <f t="shared" si="8"/>
        <v>-9.2798574818937288E-3</v>
      </c>
      <c r="AD136">
        <f t="shared" si="9"/>
        <v>0.92798574818937285</v>
      </c>
    </row>
    <row r="137" spans="1:40" ht="15" x14ac:dyDescent="0.25">
      <c r="A137" s="3">
        <v>37681</v>
      </c>
      <c r="B137" s="518">
        <f>'DATA-Purchased Power'!M9</f>
        <v>13886125</v>
      </c>
      <c r="C137" s="518">
        <f>'DATA-Degree Days'!M10</f>
        <v>547.70000000000005</v>
      </c>
      <c r="D137" s="518">
        <f>'DATA-Degree Days'!M30</f>
        <v>0</v>
      </c>
      <c r="E137" s="518">
        <f>'DATA-Calendar'!M10</f>
        <v>336</v>
      </c>
      <c r="F137" s="518">
        <f>'DATA-Calendar'!M30</f>
        <v>31</v>
      </c>
      <c r="G137" s="518">
        <f>'DATA-Calendar'!M50</f>
        <v>1</v>
      </c>
      <c r="H137" s="518">
        <f>'DATA-Calendar'!M70</f>
        <v>0</v>
      </c>
      <c r="I137" s="518">
        <f>'DATA-Calendar'!M89</f>
        <v>1</v>
      </c>
      <c r="J137" s="518">
        <f>'DATA-Calendar'!M108</f>
        <v>0</v>
      </c>
      <c r="K137" s="518">
        <f>'DATA-Customers'!M27</f>
        <v>6864.9107787355852</v>
      </c>
      <c r="L137" s="518">
        <f>'DATA-Population'!M10</f>
        <v>14108.705762152351</v>
      </c>
      <c r="M137" s="518">
        <v>0</v>
      </c>
      <c r="N137" s="519">
        <f>'DATA-GDP Qrtly'!N82</f>
        <v>124.90576018406294</v>
      </c>
      <c r="O137" s="519">
        <f>'DATA-GDP Annual'!O8</f>
        <v>125.9517607362029</v>
      </c>
      <c r="P137" s="375">
        <f>'DATA-Employment'!M10</f>
        <v>193.1</v>
      </c>
      <c r="Q137" s="375">
        <f>'DATA-Employment'!M28</f>
        <v>185.6</v>
      </c>
      <c r="R137" s="375">
        <f>'DATA-Employment'!M46</f>
        <v>13.8</v>
      </c>
      <c r="S137" s="375">
        <f>'DATA-Employment'!M64</f>
        <v>16</v>
      </c>
      <c r="T137" s="513">
        <f t="shared" si="6"/>
        <v>13901980.395200104</v>
      </c>
      <c r="U137" s="40">
        <f t="shared" si="7"/>
        <v>15855.395200103521</v>
      </c>
      <c r="V137" s="5">
        <f t="shared" si="8"/>
        <v>1.1418156757269232E-3</v>
      </c>
      <c r="AD137">
        <f t="shared" si="9"/>
        <v>0.11418156757269232</v>
      </c>
    </row>
    <row r="138" spans="1:40" ht="15" x14ac:dyDescent="0.25">
      <c r="A138" s="3">
        <v>37712</v>
      </c>
      <c r="B138" s="518">
        <f>'DATA-Purchased Power'!M10</f>
        <v>12732906</v>
      </c>
      <c r="C138" s="518">
        <f>'DATA-Degree Days'!M11</f>
        <v>398.3</v>
      </c>
      <c r="D138" s="518">
        <f>'DATA-Degree Days'!M31</f>
        <v>0</v>
      </c>
      <c r="E138" s="518">
        <f>'DATA-Calendar'!M11</f>
        <v>336</v>
      </c>
      <c r="F138" s="518">
        <f>'DATA-Calendar'!M31</f>
        <v>30</v>
      </c>
      <c r="G138" s="518">
        <f>'DATA-Calendar'!M51</f>
        <v>1</v>
      </c>
      <c r="H138" s="518">
        <f>'DATA-Calendar'!M71</f>
        <v>0</v>
      </c>
      <c r="I138" s="518">
        <f>'DATA-Calendar'!M90</f>
        <v>1</v>
      </c>
      <c r="J138" s="518">
        <f>'DATA-Calendar'!M109</f>
        <v>0</v>
      </c>
      <c r="K138" s="518">
        <f>'DATA-Customers'!M28</f>
        <v>6876.5873139303121</v>
      </c>
      <c r="L138" s="518">
        <f>'DATA-Population'!M11</f>
        <v>14121.089237985516</v>
      </c>
      <c r="M138" s="518">
        <v>0</v>
      </c>
      <c r="N138" s="519">
        <f>'DATA-GDP Qrtly'!N83</f>
        <v>124.77208937957472</v>
      </c>
      <c r="O138" s="519">
        <f>'DATA-GDP Annual'!O9</f>
        <v>126.09776991664374</v>
      </c>
      <c r="P138" s="375">
        <f>'DATA-Employment'!M11</f>
        <v>192.3</v>
      </c>
      <c r="Q138" s="375">
        <f>'DATA-Employment'!M29</f>
        <v>186</v>
      </c>
      <c r="R138" s="375">
        <f>'DATA-Employment'!M47</f>
        <v>13.6</v>
      </c>
      <c r="S138" s="375">
        <f>'DATA-Employment'!M65</f>
        <v>15.1</v>
      </c>
      <c r="T138" s="513">
        <f t="shared" si="6"/>
        <v>12881933.787902717</v>
      </c>
      <c r="U138" s="40">
        <f t="shared" si="7"/>
        <v>149027.78790271655</v>
      </c>
      <c r="V138" s="5">
        <f t="shared" si="8"/>
        <v>1.1704145770236311E-2</v>
      </c>
      <c r="AD138">
        <f t="shared" si="9"/>
        <v>1.1704145770236312</v>
      </c>
    </row>
    <row r="139" spans="1:40" ht="15" x14ac:dyDescent="0.25">
      <c r="A139" s="3">
        <v>37742</v>
      </c>
      <c r="B139" s="518">
        <f>'DATA-Purchased Power'!M11</f>
        <v>12550053</v>
      </c>
      <c r="C139" s="518">
        <f>'DATA-Degree Days'!M12</f>
        <v>235.4</v>
      </c>
      <c r="D139" s="518">
        <f>'DATA-Degree Days'!M32</f>
        <v>0</v>
      </c>
      <c r="E139" s="518">
        <f>'DATA-Calendar'!M12</f>
        <v>336</v>
      </c>
      <c r="F139" s="518">
        <f>'DATA-Calendar'!M32</f>
        <v>31</v>
      </c>
      <c r="G139" s="518">
        <f>'DATA-Calendar'!M52</f>
        <v>1</v>
      </c>
      <c r="H139" s="518">
        <f>'DATA-Calendar'!M72</f>
        <v>0</v>
      </c>
      <c r="I139" s="518">
        <f>'DATA-Calendar'!M91</f>
        <v>1</v>
      </c>
      <c r="J139" s="518">
        <f>'DATA-Calendar'!M110</f>
        <v>0</v>
      </c>
      <c r="K139" s="518">
        <f>'DATA-Customers'!M29</f>
        <v>6888.283709758126</v>
      </c>
      <c r="L139" s="518">
        <f>'DATA-Population'!M12</f>
        <v>14133.483583027828</v>
      </c>
      <c r="M139" s="518">
        <v>0</v>
      </c>
      <c r="N139" s="519">
        <f>'DATA-GDP Qrtly'!N84</f>
        <v>124.63856162600702</v>
      </c>
      <c r="O139" s="519">
        <f>'DATA-GDP Annual'!O10</f>
        <v>126.2439483577654</v>
      </c>
      <c r="P139" s="375">
        <f>'DATA-Employment'!M12</f>
        <v>192</v>
      </c>
      <c r="Q139" s="375">
        <f>'DATA-Employment'!M30</f>
        <v>188.4</v>
      </c>
      <c r="R139" s="375">
        <f>'DATA-Employment'!M48</f>
        <v>12.9</v>
      </c>
      <c r="S139" s="375">
        <f>'DATA-Employment'!M66</f>
        <v>14.3</v>
      </c>
      <c r="T139" s="513">
        <f t="shared" si="6"/>
        <v>12782914.329235962</v>
      </c>
      <c r="U139" s="40">
        <f t="shared" si="7"/>
        <v>232861.32923596166</v>
      </c>
      <c r="V139" s="5">
        <f t="shared" si="8"/>
        <v>1.8554609230412147E-2</v>
      </c>
      <c r="AD139">
        <f t="shared" si="9"/>
        <v>1.8554609230412147</v>
      </c>
    </row>
    <row r="140" spans="1:40" ht="15" x14ac:dyDescent="0.25">
      <c r="A140" s="3">
        <v>37773</v>
      </c>
      <c r="B140" s="518">
        <f>'DATA-Purchased Power'!M12</f>
        <v>13748210</v>
      </c>
      <c r="C140" s="518">
        <f>'DATA-Degree Days'!M13</f>
        <v>74.099999999999994</v>
      </c>
      <c r="D140" s="518">
        <f>'DATA-Degree Days'!M33</f>
        <v>44.6</v>
      </c>
      <c r="E140" s="518">
        <f>'DATA-Calendar'!M13</f>
        <v>336</v>
      </c>
      <c r="F140" s="518">
        <f>'DATA-Calendar'!M33</f>
        <v>30</v>
      </c>
      <c r="G140" s="518">
        <f>'DATA-Calendar'!M53</f>
        <v>0</v>
      </c>
      <c r="H140" s="518">
        <f>'DATA-Calendar'!M73</f>
        <v>0</v>
      </c>
      <c r="I140" s="518">
        <f>'DATA-Calendar'!M92</f>
        <v>0</v>
      </c>
      <c r="J140" s="518">
        <f>'DATA-Calendar'!M111</f>
        <v>0</v>
      </c>
      <c r="K140" s="518">
        <f>'DATA-Customers'!M30</f>
        <v>6900</v>
      </c>
      <c r="L140" s="518">
        <f>'DATA-Population'!M13</f>
        <v>14145.888806819394</v>
      </c>
      <c r="M140" s="518">
        <v>0</v>
      </c>
      <c r="N140" s="519">
        <f>'DATA-GDP Qrtly'!N85</f>
        <v>124.50517677027055</v>
      </c>
      <c r="O140" s="519">
        <f>'DATA-GDP Annual'!O11</f>
        <v>126.3902962557828</v>
      </c>
      <c r="P140" s="375">
        <f>'DATA-Employment'!M13</f>
        <v>190.6</v>
      </c>
      <c r="Q140" s="375">
        <f>'DATA-Employment'!M31</f>
        <v>191.2</v>
      </c>
      <c r="R140" s="375">
        <f>'DATA-Employment'!M49</f>
        <v>14.1</v>
      </c>
      <c r="S140" s="375">
        <f>'DATA-Employment'!M67</f>
        <v>14.3</v>
      </c>
      <c r="T140" s="513">
        <f t="shared" si="6"/>
        <v>14093570.582676625</v>
      </c>
      <c r="U140" s="40">
        <f t="shared" si="7"/>
        <v>345360.58267662488</v>
      </c>
      <c r="V140" s="5">
        <f t="shared" si="8"/>
        <v>2.5120403505374509E-2</v>
      </c>
      <c r="AD140">
        <f t="shared" si="9"/>
        <v>2.5120403505374509</v>
      </c>
    </row>
    <row r="141" spans="1:40" ht="15" x14ac:dyDescent="0.25">
      <c r="A141" s="3">
        <v>37803</v>
      </c>
      <c r="B141" s="518">
        <f>'DATA-Purchased Power'!M13</f>
        <v>16691749</v>
      </c>
      <c r="C141" s="518">
        <f>'DATA-Degree Days'!M14</f>
        <v>3.4</v>
      </c>
      <c r="D141" s="518">
        <f>'DATA-Degree Days'!M34</f>
        <v>105</v>
      </c>
      <c r="E141" s="518">
        <f>'DATA-Calendar'!M14</f>
        <v>352</v>
      </c>
      <c r="F141" s="518">
        <f>'DATA-Calendar'!M34</f>
        <v>31</v>
      </c>
      <c r="G141" s="518">
        <f>'DATA-Calendar'!M54</f>
        <v>0</v>
      </c>
      <c r="H141" s="518">
        <f>'DATA-Calendar'!M74</f>
        <v>1</v>
      </c>
      <c r="I141" s="518">
        <f>'DATA-Calendar'!M93</f>
        <v>0</v>
      </c>
      <c r="J141" s="518">
        <f>'DATA-Calendar'!M112</f>
        <v>0</v>
      </c>
      <c r="K141" s="518">
        <f>'DATA-Customers'!M31</f>
        <v>6912.9755838673818</v>
      </c>
      <c r="L141" s="518">
        <f>'DATA-Population'!M14</f>
        <v>14158.304918908698</v>
      </c>
      <c r="M141" s="518">
        <v>0</v>
      </c>
      <c r="N141" s="519">
        <f>'DATA-GDP Qrtly'!N86</f>
        <v>124.15264189018579</v>
      </c>
      <c r="O141" s="519">
        <f>'DATA-GDP Annual'!O12</f>
        <v>126.5368138071383</v>
      </c>
      <c r="P141" s="375">
        <f>'DATA-Employment'!M14</f>
        <v>192.4</v>
      </c>
      <c r="Q141" s="375">
        <f>'DATA-Employment'!M32</f>
        <v>196.7</v>
      </c>
      <c r="R141" s="375">
        <f>'DATA-Employment'!M50</f>
        <v>13.9</v>
      </c>
      <c r="S141" s="375">
        <f>'DATA-Employment'!M68</f>
        <v>14</v>
      </c>
      <c r="T141" s="513">
        <f t="shared" si="6"/>
        <v>16918023.27919478</v>
      </c>
      <c r="U141" s="40">
        <f t="shared" si="7"/>
        <v>226274.27919477969</v>
      </c>
      <c r="V141" s="5">
        <f t="shared" si="8"/>
        <v>1.3556055701219788E-2</v>
      </c>
      <c r="AD141">
        <f t="shared" si="9"/>
        <v>1.3556055701219787</v>
      </c>
    </row>
    <row r="142" spans="1:40" ht="15" x14ac:dyDescent="0.25">
      <c r="A142" s="3">
        <v>37834</v>
      </c>
      <c r="B142" s="518">
        <f>'DATA-Purchased Power'!M14</f>
        <v>18092812</v>
      </c>
      <c r="C142" s="518">
        <f>'DATA-Degree Days'!M15</f>
        <v>0</v>
      </c>
      <c r="D142" s="518">
        <f>'DATA-Degree Days'!M35</f>
        <v>139.85</v>
      </c>
      <c r="E142" s="518">
        <f>'DATA-Calendar'!M15</f>
        <v>320</v>
      </c>
      <c r="F142" s="518">
        <f>'DATA-Calendar'!M35</f>
        <v>31</v>
      </c>
      <c r="G142" s="518">
        <f>'DATA-Calendar'!M55</f>
        <v>0</v>
      </c>
      <c r="H142" s="518">
        <f>'DATA-Calendar'!M75</f>
        <v>1</v>
      </c>
      <c r="I142" s="518">
        <f>'DATA-Calendar'!M94</f>
        <v>0</v>
      </c>
      <c r="J142" s="518">
        <f>'DATA-Calendar'!M113</f>
        <v>0</v>
      </c>
      <c r="K142" s="518">
        <f>'DATA-Customers'!M32</f>
        <v>6925.9755685719665</v>
      </c>
      <c r="L142" s="518">
        <f>'DATA-Population'!M15</f>
        <v>14170.731928852601</v>
      </c>
      <c r="M142" s="518">
        <v>0</v>
      </c>
      <c r="N142" s="519">
        <f>'DATA-GDP Qrtly'!N87</f>
        <v>123.80110520828764</v>
      </c>
      <c r="O142" s="519">
        <f>'DATA-GDP Annual'!O13</f>
        <v>126.68350120850199</v>
      </c>
      <c r="P142" s="375">
        <f>'DATA-Employment'!M15</f>
        <v>194.4</v>
      </c>
      <c r="Q142" s="375">
        <f>'DATA-Employment'!M33</f>
        <v>200.4</v>
      </c>
      <c r="R142" s="375">
        <f>'DATA-Employment'!M51</f>
        <v>14</v>
      </c>
      <c r="S142" s="375">
        <f>'DATA-Employment'!M69</f>
        <v>13.4</v>
      </c>
      <c r="T142" s="513">
        <f t="shared" si="6"/>
        <v>18066593.323716801</v>
      </c>
      <c r="U142" s="40">
        <f t="shared" si="7"/>
        <v>-26218.67628319934</v>
      </c>
      <c r="V142" s="5">
        <f t="shared" si="8"/>
        <v>-1.4491211362390401E-3</v>
      </c>
      <c r="AD142">
        <f t="shared" si="9"/>
        <v>0.14491211362390399</v>
      </c>
    </row>
    <row r="143" spans="1:40" ht="15" x14ac:dyDescent="0.25">
      <c r="A143" s="3">
        <v>37865</v>
      </c>
      <c r="B143" s="518">
        <f>'DATA-Purchased Power'!M15</f>
        <v>14888714</v>
      </c>
      <c r="C143" s="518">
        <f>'DATA-Degree Days'!M16</f>
        <v>26.8</v>
      </c>
      <c r="D143" s="518">
        <f>'DATA-Degree Days'!M36</f>
        <v>27.4</v>
      </c>
      <c r="E143" s="518">
        <f>'DATA-Calendar'!M16</f>
        <v>336</v>
      </c>
      <c r="F143" s="518">
        <f>'DATA-Calendar'!M36</f>
        <v>30</v>
      </c>
      <c r="G143" s="518">
        <f>'DATA-Calendar'!M56</f>
        <v>1</v>
      </c>
      <c r="H143" s="518">
        <f>'DATA-Calendar'!M76</f>
        <v>1</v>
      </c>
      <c r="I143" s="518">
        <f>'DATA-Calendar'!M95</f>
        <v>0</v>
      </c>
      <c r="J143" s="518">
        <f>'DATA-Calendar'!M114</f>
        <v>1</v>
      </c>
      <c r="K143" s="518">
        <f>'DATA-Customers'!M33</f>
        <v>6939</v>
      </c>
      <c r="L143" s="518">
        <f>'DATA-Population'!M16</f>
        <v>14183.169846216359</v>
      </c>
      <c r="M143" s="518">
        <v>0</v>
      </c>
      <c r="N143" s="519">
        <f>'DATA-GDP Qrtly'!N88</f>
        <v>123.45056389819018</v>
      </c>
      <c r="O143" s="519">
        <f>'DATA-GDP Annual'!O14</f>
        <v>126.83035865677196</v>
      </c>
      <c r="P143" s="375">
        <f>'DATA-Employment'!M16</f>
        <v>195</v>
      </c>
      <c r="Q143" s="375">
        <f>'DATA-Employment'!M34</f>
        <v>200.6</v>
      </c>
      <c r="R143" s="375">
        <f>'DATA-Employment'!M52</f>
        <v>14.5</v>
      </c>
      <c r="S143" s="375">
        <f>'DATA-Employment'!M70</f>
        <v>13.2</v>
      </c>
      <c r="T143" s="513">
        <f t="shared" si="6"/>
        <v>13997898.535657939</v>
      </c>
      <c r="U143" s="40">
        <f t="shared" si="7"/>
        <v>-890815.46434206143</v>
      </c>
      <c r="V143" s="5">
        <f t="shared" si="8"/>
        <v>-5.9831592194064677E-2</v>
      </c>
      <c r="AD143">
        <f t="shared" si="9"/>
        <v>5.9831592194064678</v>
      </c>
    </row>
    <row r="144" spans="1:40" ht="15" x14ac:dyDescent="0.25">
      <c r="A144" s="3">
        <v>37895</v>
      </c>
      <c r="B144" s="518">
        <f>'DATA-Purchased Power'!M16</f>
        <v>13889177</v>
      </c>
      <c r="C144" s="518">
        <f>'DATA-Degree Days'!M17</f>
        <v>245.3</v>
      </c>
      <c r="D144" s="518">
        <f>'DATA-Degree Days'!M37</f>
        <v>0</v>
      </c>
      <c r="E144" s="518">
        <f>'DATA-Calendar'!M17</f>
        <v>352</v>
      </c>
      <c r="F144" s="518">
        <f>'DATA-Calendar'!M37</f>
        <v>31</v>
      </c>
      <c r="G144" s="518">
        <f>'DATA-Calendar'!M57</f>
        <v>1</v>
      </c>
      <c r="H144" s="518">
        <f>'DATA-Calendar'!M77</f>
        <v>0</v>
      </c>
      <c r="I144" s="518">
        <f>'DATA-Calendar'!M96</f>
        <v>0</v>
      </c>
      <c r="J144" s="518">
        <f>'DATA-Calendar'!M115</f>
        <v>1</v>
      </c>
      <c r="K144" s="518">
        <f>'DATA-Customers'!M34</f>
        <v>6954.6314274392334</v>
      </c>
      <c r="L144" s="518">
        <f>'DATA-Population'!M17</f>
        <v>14195.618680573614</v>
      </c>
      <c r="M144" s="518">
        <v>0</v>
      </c>
      <c r="N144" s="519">
        <f>'DATA-GDP Qrtly'!N89</f>
        <v>123.84015870415841</v>
      </c>
      <c r="O144" s="519">
        <f>'DATA-GDP Annual'!O15</f>
        <v>126.97738634907456</v>
      </c>
      <c r="P144" s="375">
        <f>'DATA-Employment'!M17</f>
        <v>194.6</v>
      </c>
      <c r="Q144" s="375">
        <f>'DATA-Employment'!M35</f>
        <v>199</v>
      </c>
      <c r="R144" s="375">
        <f>'DATA-Employment'!M53</f>
        <v>14.9</v>
      </c>
      <c r="S144" s="375">
        <f>'DATA-Employment'!M71</f>
        <v>13.2</v>
      </c>
      <c r="T144" s="513">
        <f t="shared" si="6"/>
        <v>13803653.787993826</v>
      </c>
      <c r="U144" s="40">
        <f t="shared" si="7"/>
        <v>-85523.212006174028</v>
      </c>
      <c r="V144" s="5">
        <f t="shared" si="8"/>
        <v>-6.1575435323614949E-3</v>
      </c>
      <c r="AD144">
        <f t="shared" si="9"/>
        <v>0.61575435323614947</v>
      </c>
    </row>
    <row r="145" spans="1:30" ht="15" x14ac:dyDescent="0.25">
      <c r="A145" s="3">
        <v>37926</v>
      </c>
      <c r="B145" s="518">
        <f>'DATA-Purchased Power'!M17</f>
        <v>13623711</v>
      </c>
      <c r="C145" s="518">
        <f>'DATA-Degree Days'!M18</f>
        <v>348</v>
      </c>
      <c r="D145" s="518">
        <f>'DATA-Degree Days'!M38</f>
        <v>0</v>
      </c>
      <c r="E145" s="518">
        <f>'DATA-Calendar'!M18</f>
        <v>320</v>
      </c>
      <c r="F145" s="518">
        <f>'DATA-Calendar'!M38</f>
        <v>30</v>
      </c>
      <c r="G145" s="518">
        <f>'DATA-Calendar'!M58</f>
        <v>1</v>
      </c>
      <c r="H145" s="518">
        <f>'DATA-Calendar'!M78</f>
        <v>0</v>
      </c>
      <c r="I145" s="518">
        <f>'DATA-Calendar'!M97</f>
        <v>0</v>
      </c>
      <c r="J145" s="518">
        <f>'DATA-Calendar'!M116</f>
        <v>1</v>
      </c>
      <c r="K145" s="518">
        <f>'DATA-Customers'!M35</f>
        <v>6970.2980676647167</v>
      </c>
      <c r="L145" s="518">
        <f>'DATA-Population'!M18</f>
        <v>14208.078441506419</v>
      </c>
      <c r="M145" s="518">
        <v>0</v>
      </c>
      <c r="N145" s="519">
        <f>'DATA-GDP Qrtly'!N90</f>
        <v>124.23098302344796</v>
      </c>
      <c r="O145" s="519">
        <f>'DATA-GDP Annual'!O16</f>
        <v>127.12458448276465</v>
      </c>
      <c r="P145" s="375">
        <f>'DATA-Employment'!M18</f>
        <v>192.9</v>
      </c>
      <c r="Q145" s="375">
        <f>'DATA-Employment'!M36</f>
        <v>194.5</v>
      </c>
      <c r="R145" s="375">
        <f>'DATA-Employment'!M54</f>
        <v>14.7</v>
      </c>
      <c r="S145" s="375">
        <f>'DATA-Employment'!M72</f>
        <v>13.4</v>
      </c>
      <c r="T145" s="513">
        <f t="shared" si="6"/>
        <v>13711600.393028537</v>
      </c>
      <c r="U145" s="40">
        <f t="shared" si="7"/>
        <v>87889.393028536811</v>
      </c>
      <c r="V145" s="5">
        <f t="shared" si="8"/>
        <v>6.4512079732560986E-3</v>
      </c>
      <c r="AD145">
        <f t="shared" si="9"/>
        <v>0.6451207973256099</v>
      </c>
    </row>
    <row r="146" spans="1:30" ht="15" x14ac:dyDescent="0.25">
      <c r="A146" s="3">
        <v>37956</v>
      </c>
      <c r="B146" s="518">
        <f>'DATA-Purchased Power'!M18</f>
        <v>14991479</v>
      </c>
      <c r="C146" s="518">
        <f>'DATA-Degree Days'!M19</f>
        <v>510.1</v>
      </c>
      <c r="D146" s="518">
        <f>'DATA-Degree Days'!M39</f>
        <v>0</v>
      </c>
      <c r="E146" s="518">
        <f>'DATA-Calendar'!M19</f>
        <v>336</v>
      </c>
      <c r="F146" s="518">
        <f>'DATA-Calendar'!M39</f>
        <v>31</v>
      </c>
      <c r="G146" s="518">
        <f>'DATA-Calendar'!M59</f>
        <v>0</v>
      </c>
      <c r="H146" s="518">
        <f>'DATA-Calendar'!M79</f>
        <v>0</v>
      </c>
      <c r="I146" s="518">
        <f>'DATA-Calendar'!M98</f>
        <v>0</v>
      </c>
      <c r="J146" s="518">
        <f>'DATA-Calendar'!M117</f>
        <v>0</v>
      </c>
      <c r="K146" s="518">
        <f>'DATA-Customers'!M36</f>
        <v>6986</v>
      </c>
      <c r="L146" s="518">
        <f>'DATA-Population'!M19</f>
        <v>14220.549138605234</v>
      </c>
      <c r="M146" s="518">
        <v>0</v>
      </c>
      <c r="N146" s="519">
        <f>'DATA-GDP Qrtly'!N91</f>
        <v>124.62304073625177</v>
      </c>
      <c r="O146" s="519">
        <f>'DATA-GDP Annual'!O17</f>
        <v>127.27195325542573</v>
      </c>
      <c r="P146" s="375">
        <f>'DATA-Employment'!M19</f>
        <v>192.6</v>
      </c>
      <c r="Q146" s="375">
        <f>'DATA-Employment'!M37</f>
        <v>192.6</v>
      </c>
      <c r="R146" s="375">
        <f>'DATA-Employment'!M55</f>
        <v>13.5</v>
      </c>
      <c r="S146" s="375">
        <f>'DATA-Employment'!M73</f>
        <v>12.8</v>
      </c>
      <c r="T146" s="513">
        <f t="shared" si="6"/>
        <v>14808887.241997067</v>
      </c>
      <c r="U146" s="40">
        <f t="shared" si="7"/>
        <v>-182591.75800293311</v>
      </c>
      <c r="V146" s="5">
        <f t="shared" si="8"/>
        <v>-1.2179702750004394E-2</v>
      </c>
      <c r="AD146">
        <f t="shared" si="9"/>
        <v>1.2179702750004395</v>
      </c>
    </row>
    <row r="147" spans="1:30" ht="15" x14ac:dyDescent="0.25">
      <c r="A147" s="3">
        <v>37987</v>
      </c>
      <c r="B147" s="518">
        <f>'DATA-Purchased Power'!N7</f>
        <v>16050658</v>
      </c>
      <c r="C147" s="518">
        <f>'DATA-Degree Days'!N8</f>
        <v>750.2</v>
      </c>
      <c r="D147" s="518">
        <f>'DATA-Degree Days'!N28</f>
        <v>0</v>
      </c>
      <c r="E147" s="518">
        <f>'DATA-Calendar'!N8</f>
        <v>336</v>
      </c>
      <c r="F147" s="518">
        <f>'DATA-Calendar'!N28</f>
        <v>31</v>
      </c>
      <c r="G147" s="518">
        <f>'DATA-Calendar'!N48</f>
        <v>0</v>
      </c>
      <c r="H147" s="518">
        <f>'DATA-Calendar'!N68</f>
        <v>0</v>
      </c>
      <c r="I147" s="518">
        <f>'DATA-Calendar'!N87</f>
        <v>0</v>
      </c>
      <c r="J147" s="518">
        <f>'DATA-Calendar'!N106</f>
        <v>0</v>
      </c>
      <c r="K147" s="518">
        <f>'DATA-Customers'!N25</f>
        <v>7009.5869400887377</v>
      </c>
      <c r="L147" s="518">
        <f>'DATA-Population'!N8</f>
        <v>14233.030781468937</v>
      </c>
      <c r="M147" s="518">
        <v>0</v>
      </c>
      <c r="N147" s="519">
        <f>'DATA-GDP Qrtly'!O80</f>
        <v>124.77922651412962</v>
      </c>
      <c r="O147" s="519">
        <f>'DATA-GDP Annual'!P6</f>
        <v>127.53411264087498</v>
      </c>
      <c r="P147" s="375">
        <f>'DATA-Employment'!N8</f>
        <v>191</v>
      </c>
      <c r="Q147" s="375">
        <f>'DATA-Employment'!N26</f>
        <v>187.5</v>
      </c>
      <c r="R147" s="375">
        <f>'DATA-Employment'!N44</f>
        <v>14.1</v>
      </c>
      <c r="S147" s="375">
        <f>'DATA-Employment'!N62</f>
        <v>14.5</v>
      </c>
      <c r="T147" s="513">
        <f t="shared" si="6"/>
        <v>15719842.007001113</v>
      </c>
      <c r="U147" s="40">
        <f t="shared" si="7"/>
        <v>-330815.99299888685</v>
      </c>
      <c r="V147" s="5">
        <f t="shared" si="8"/>
        <v>-2.0610743372569951E-2</v>
      </c>
      <c r="AD147">
        <f t="shared" si="9"/>
        <v>2.0610743372569953</v>
      </c>
    </row>
    <row r="148" spans="1:30" ht="15" x14ac:dyDescent="0.25">
      <c r="A148" s="3">
        <v>38018</v>
      </c>
      <c r="B148" s="518">
        <f>'DATA-Purchased Power'!N8</f>
        <v>14148177</v>
      </c>
      <c r="C148" s="518">
        <f>'DATA-Degree Days'!N9</f>
        <v>578.9</v>
      </c>
      <c r="D148" s="518">
        <f>'DATA-Degree Days'!N29</f>
        <v>0</v>
      </c>
      <c r="E148" s="518">
        <f>'DATA-Calendar'!N9</f>
        <v>320</v>
      </c>
      <c r="F148" s="518">
        <f>'DATA-Calendar'!N29</f>
        <v>29</v>
      </c>
      <c r="G148" s="518">
        <f>'DATA-Calendar'!N49</f>
        <v>0</v>
      </c>
      <c r="H148" s="518">
        <f>'DATA-Calendar'!N69</f>
        <v>0</v>
      </c>
      <c r="I148" s="518">
        <f>'DATA-Calendar'!N88</f>
        <v>0</v>
      </c>
      <c r="J148" s="518">
        <f>'DATA-Calendar'!N107</f>
        <v>0</v>
      </c>
      <c r="K148" s="518">
        <f>'DATA-Customers'!N26</f>
        <v>7033.2535171289137</v>
      </c>
      <c r="L148" s="518">
        <f>'DATA-Population'!N9</f>
        <v>14245.523379704831</v>
      </c>
      <c r="M148" s="518">
        <v>0</v>
      </c>
      <c r="N148" s="519">
        <f>'DATA-GDP Qrtly'!O81</f>
        <v>124.93560803428007</v>
      </c>
      <c r="O148" s="519">
        <f>'DATA-GDP Annual'!P7</f>
        <v>127.79681203173486</v>
      </c>
      <c r="P148" s="375">
        <f>'DATA-Employment'!N9</f>
        <v>188.9</v>
      </c>
      <c r="Q148" s="375">
        <f>'DATA-Employment'!N27</f>
        <v>184.1</v>
      </c>
      <c r="R148" s="375">
        <f>'DATA-Employment'!N45</f>
        <v>14.9</v>
      </c>
      <c r="S148" s="375">
        <f>'DATA-Employment'!N63</f>
        <v>15.8</v>
      </c>
      <c r="T148" s="513">
        <f t="shared" si="6"/>
        <v>14145972.662505239</v>
      </c>
      <c r="U148" s="40">
        <f t="shared" si="7"/>
        <v>-2204.3374947607517</v>
      </c>
      <c r="V148" s="5">
        <f t="shared" si="8"/>
        <v>-1.5580364132854372E-4</v>
      </c>
      <c r="AD148">
        <f t="shared" si="9"/>
        <v>1.5580364132854373E-2</v>
      </c>
    </row>
    <row r="149" spans="1:30" ht="15" x14ac:dyDescent="0.25">
      <c r="A149" s="3">
        <v>38047</v>
      </c>
      <c r="B149" s="518">
        <f>'DATA-Purchased Power'!N9</f>
        <v>14273134</v>
      </c>
      <c r="C149" s="518">
        <f>'DATA-Degree Days'!N10</f>
        <v>479.8</v>
      </c>
      <c r="D149" s="518">
        <f>'DATA-Degree Days'!N30</f>
        <v>0</v>
      </c>
      <c r="E149" s="518">
        <f>'DATA-Calendar'!N10</f>
        <v>368</v>
      </c>
      <c r="F149" s="518">
        <f>'DATA-Calendar'!N30</f>
        <v>31</v>
      </c>
      <c r="G149" s="518">
        <f>'DATA-Calendar'!N50</f>
        <v>1</v>
      </c>
      <c r="H149" s="518">
        <f>'DATA-Calendar'!N70</f>
        <v>0</v>
      </c>
      <c r="I149" s="518">
        <f>'DATA-Calendar'!N89</f>
        <v>1</v>
      </c>
      <c r="J149" s="518">
        <f>'DATA-Calendar'!N108</f>
        <v>0</v>
      </c>
      <c r="K149" s="518">
        <f>'DATA-Customers'!N27</f>
        <v>7057</v>
      </c>
      <c r="L149" s="518">
        <f>'DATA-Population'!N10</f>
        <v>14258.026942928653</v>
      </c>
      <c r="M149" s="518">
        <v>0</v>
      </c>
      <c r="N149" s="519">
        <f>'DATA-GDP Qrtly'!O82</f>
        <v>125.09218554202018</v>
      </c>
      <c r="O149" s="519">
        <f>'DATA-GDP Annual'!P8</f>
        <v>128.06005254032812</v>
      </c>
      <c r="P149" s="375">
        <f>'DATA-Employment'!N10</f>
        <v>187.1</v>
      </c>
      <c r="Q149" s="375">
        <f>'DATA-Employment'!N28</f>
        <v>180.9</v>
      </c>
      <c r="R149" s="375">
        <f>'DATA-Employment'!N46</f>
        <v>16.2</v>
      </c>
      <c r="S149" s="375">
        <f>'DATA-Employment'!N64</f>
        <v>18.100000000000001</v>
      </c>
      <c r="T149" s="513">
        <f t="shared" si="6"/>
        <v>13871230.55637349</v>
      </c>
      <c r="U149" s="40">
        <f t="shared" si="7"/>
        <v>-401903.44362650998</v>
      </c>
      <c r="V149" s="5">
        <f t="shared" si="8"/>
        <v>-2.8158037584913725E-2</v>
      </c>
      <c r="AD149">
        <f t="shared" si="9"/>
        <v>2.8158037584913727</v>
      </c>
    </row>
    <row r="150" spans="1:30" ht="15" x14ac:dyDescent="0.25">
      <c r="A150" s="3">
        <v>38078</v>
      </c>
      <c r="B150" s="518">
        <f>'DATA-Purchased Power'!N10</f>
        <v>12863305</v>
      </c>
      <c r="C150" s="518">
        <f>'DATA-Degree Days'!N11</f>
        <v>332.5</v>
      </c>
      <c r="D150" s="518">
        <f>'DATA-Degree Days'!N31</f>
        <v>0.5</v>
      </c>
      <c r="E150" s="518">
        <f>'DATA-Calendar'!N11</f>
        <v>336</v>
      </c>
      <c r="F150" s="518">
        <f>'DATA-Calendar'!N31</f>
        <v>30</v>
      </c>
      <c r="G150" s="518">
        <f>'DATA-Calendar'!N51</f>
        <v>1</v>
      </c>
      <c r="H150" s="518">
        <f>'DATA-Calendar'!N71</f>
        <v>0</v>
      </c>
      <c r="I150" s="518">
        <f>'DATA-Calendar'!N90</f>
        <v>1</v>
      </c>
      <c r="J150" s="518">
        <f>'DATA-Calendar'!N109</f>
        <v>0</v>
      </c>
      <c r="K150" s="518">
        <f>'DATA-Customers'!N28</f>
        <v>7085.2203322403957</v>
      </c>
      <c r="L150" s="518">
        <f>'DATA-Population'!N11</f>
        <v>14270.541480764577</v>
      </c>
      <c r="M150" s="518">
        <v>0</v>
      </c>
      <c r="N150" s="519">
        <f>'DATA-GDP Qrtly'!O83</f>
        <v>125.74799214874636</v>
      </c>
      <c r="O150" s="519">
        <f>'DATA-GDP Annual'!P9</f>
        <v>128.32383528126866</v>
      </c>
      <c r="P150" s="375">
        <f>'DATA-Employment'!N11</f>
        <v>186.1</v>
      </c>
      <c r="Q150" s="375">
        <f>'DATA-Employment'!N29</f>
        <v>180.5</v>
      </c>
      <c r="R150" s="375">
        <f>'DATA-Employment'!N47</f>
        <v>16.100000000000001</v>
      </c>
      <c r="S150" s="375">
        <f>'DATA-Employment'!N65</f>
        <v>17.5</v>
      </c>
      <c r="T150" s="513">
        <f t="shared" si="6"/>
        <v>12887595.413352525</v>
      </c>
      <c r="U150" s="40">
        <f t="shared" si="7"/>
        <v>24290.413352524862</v>
      </c>
      <c r="V150" s="5">
        <f t="shared" si="8"/>
        <v>1.8883493279934558E-3</v>
      </c>
      <c r="AD150">
        <f t="shared" si="9"/>
        <v>0.18883493279934557</v>
      </c>
    </row>
    <row r="151" spans="1:30" ht="15" x14ac:dyDescent="0.25">
      <c r="A151" s="3">
        <v>38108</v>
      </c>
      <c r="B151" s="518">
        <f>'DATA-Purchased Power'!N11</f>
        <v>13398133</v>
      </c>
      <c r="C151" s="518">
        <f>'DATA-Degree Days'!N12</f>
        <v>169.7</v>
      </c>
      <c r="D151" s="518">
        <f>'DATA-Degree Days'!N32</f>
        <v>1.2</v>
      </c>
      <c r="E151" s="518">
        <f>'DATA-Calendar'!N12</f>
        <v>320</v>
      </c>
      <c r="F151" s="518">
        <f>'DATA-Calendar'!N32</f>
        <v>31</v>
      </c>
      <c r="G151" s="518">
        <f>'DATA-Calendar'!N52</f>
        <v>1</v>
      </c>
      <c r="H151" s="518">
        <f>'DATA-Calendar'!N72</f>
        <v>0</v>
      </c>
      <c r="I151" s="518">
        <f>'DATA-Calendar'!N91</f>
        <v>1</v>
      </c>
      <c r="J151" s="518">
        <f>'DATA-Calendar'!N110</f>
        <v>0</v>
      </c>
      <c r="K151" s="518">
        <f>'DATA-Customers'!N29</f>
        <v>7113.5535151470467</v>
      </c>
      <c r="L151" s="518">
        <f>'DATA-Population'!N12</f>
        <v>14283.067002845228</v>
      </c>
      <c r="M151" s="518">
        <v>0</v>
      </c>
      <c r="N151" s="519">
        <f>'DATA-GDP Qrtly'!O84</f>
        <v>126.40723687835418</v>
      </c>
      <c r="O151" s="519">
        <f>'DATA-GDP Annual'!P10</f>
        <v>128.58816137146633</v>
      </c>
      <c r="P151" s="375">
        <f>'DATA-Employment'!N12</f>
        <v>185.4</v>
      </c>
      <c r="Q151" s="375">
        <f>'DATA-Employment'!N30</f>
        <v>181.7</v>
      </c>
      <c r="R151" s="375">
        <f>'DATA-Employment'!N48</f>
        <v>15.8</v>
      </c>
      <c r="S151" s="375">
        <f>'DATA-Employment'!N66</f>
        <v>17.399999999999999</v>
      </c>
      <c r="T151" s="513">
        <f t="shared" si="6"/>
        <v>12824240.996412318</v>
      </c>
      <c r="U151" s="40">
        <f t="shared" si="7"/>
        <v>-573892.0035876818</v>
      </c>
      <c r="V151" s="5">
        <f t="shared" si="8"/>
        <v>-4.2833729414962649E-2</v>
      </c>
      <c r="AD151">
        <f t="shared" si="9"/>
        <v>4.2833729414962649</v>
      </c>
    </row>
    <row r="152" spans="1:30" ht="15" x14ac:dyDescent="0.25">
      <c r="A152" s="3">
        <v>38139</v>
      </c>
      <c r="B152" s="518">
        <f>'DATA-Purchased Power'!N12</f>
        <v>14135802</v>
      </c>
      <c r="C152" s="518">
        <f>'DATA-Degree Days'!N13</f>
        <v>45.6</v>
      </c>
      <c r="D152" s="518">
        <f>'DATA-Degree Days'!N33</f>
        <v>26.3</v>
      </c>
      <c r="E152" s="518">
        <f>'DATA-Calendar'!N13</f>
        <v>352</v>
      </c>
      <c r="F152" s="518">
        <f>'DATA-Calendar'!N33</f>
        <v>30</v>
      </c>
      <c r="G152" s="518">
        <f>'DATA-Calendar'!N53</f>
        <v>0</v>
      </c>
      <c r="H152" s="518">
        <f>'DATA-Calendar'!N73</f>
        <v>0</v>
      </c>
      <c r="I152" s="518">
        <f>'DATA-Calendar'!N92</f>
        <v>0</v>
      </c>
      <c r="J152" s="518">
        <f>'DATA-Calendar'!N111</f>
        <v>0</v>
      </c>
      <c r="K152" s="518">
        <f>'DATA-Customers'!N30</f>
        <v>7142</v>
      </c>
      <c r="L152" s="518">
        <f>'DATA-Population'!N13</f>
        <v>14295.60351881168</v>
      </c>
      <c r="M152" s="518">
        <v>0</v>
      </c>
      <c r="N152" s="519">
        <f>'DATA-GDP Qrtly'!O85</f>
        <v>127.06993775550033</v>
      </c>
      <c r="O152" s="519">
        <f>'DATA-GDP Annual'!P11</f>
        <v>128.85303193013166</v>
      </c>
      <c r="P152" s="375">
        <f>'DATA-Employment'!N13</f>
        <v>184.2</v>
      </c>
      <c r="Q152" s="375">
        <f>'DATA-Employment'!N31</f>
        <v>183.9</v>
      </c>
      <c r="R152" s="375">
        <f>'DATA-Employment'!N49</f>
        <v>15.8</v>
      </c>
      <c r="S152" s="375">
        <f>'DATA-Employment'!N67</f>
        <v>16.399999999999999</v>
      </c>
      <c r="T152" s="513">
        <f t="shared" si="6"/>
        <v>13642992.916247617</v>
      </c>
      <c r="U152" s="40">
        <f t="shared" si="7"/>
        <v>-492809.08375238255</v>
      </c>
      <c r="V152" s="5">
        <f t="shared" si="8"/>
        <v>-3.4862477824207115E-2</v>
      </c>
      <c r="AD152">
        <f t="shared" si="9"/>
        <v>3.4862477824207114</v>
      </c>
    </row>
    <row r="153" spans="1:30" ht="15" x14ac:dyDescent="0.25">
      <c r="A153" s="3">
        <v>38169</v>
      </c>
      <c r="B153" s="518">
        <f>'DATA-Purchased Power'!N13</f>
        <v>16671355</v>
      </c>
      <c r="C153" s="518">
        <f>'DATA-Degree Days'!N14</f>
        <v>1.9</v>
      </c>
      <c r="D153" s="518">
        <f>'DATA-Degree Days'!N34</f>
        <v>79.3</v>
      </c>
      <c r="E153" s="518">
        <f>'DATA-Calendar'!N14</f>
        <v>336</v>
      </c>
      <c r="F153" s="518">
        <f>'DATA-Calendar'!N34</f>
        <v>31</v>
      </c>
      <c r="G153" s="518">
        <f>'DATA-Calendar'!N54</f>
        <v>0</v>
      </c>
      <c r="H153" s="518">
        <f>'DATA-Calendar'!N74</f>
        <v>1</v>
      </c>
      <c r="I153" s="518">
        <f>'DATA-Calendar'!N93</f>
        <v>0</v>
      </c>
      <c r="J153" s="518">
        <f>'DATA-Calendar'!N112</f>
        <v>0</v>
      </c>
      <c r="K153" s="518">
        <f>'DATA-Customers'!N31</f>
        <v>7141.6666511080339</v>
      </c>
      <c r="L153" s="518">
        <f>'DATA-Population'!N14</f>
        <v>14308.151038313477</v>
      </c>
      <c r="M153" s="518">
        <v>0</v>
      </c>
      <c r="N153" s="519">
        <f>'DATA-GDP Qrtly'!O86</f>
        <v>127.6278732068247</v>
      </c>
      <c r="O153" s="519">
        <f>'DATA-GDP Annual'!P12</f>
        <v>129.11844807878055</v>
      </c>
      <c r="P153" s="375">
        <f>'DATA-Employment'!N14</f>
        <v>184.2</v>
      </c>
      <c r="Q153" s="375">
        <f>'DATA-Employment'!N32</f>
        <v>187.8</v>
      </c>
      <c r="R153" s="375">
        <f>'DATA-Employment'!N50</f>
        <v>15.3</v>
      </c>
      <c r="S153" s="375">
        <f>'DATA-Employment'!N68</f>
        <v>15.9</v>
      </c>
      <c r="T153" s="513">
        <f t="shared" si="6"/>
        <v>16335875.366800774</v>
      </c>
      <c r="U153" s="40">
        <f t="shared" si="7"/>
        <v>-335479.63319922611</v>
      </c>
      <c r="V153" s="5">
        <f t="shared" si="8"/>
        <v>-2.0123117359040467E-2</v>
      </c>
      <c r="AD153">
        <f t="shared" si="9"/>
        <v>2.0123117359040466</v>
      </c>
    </row>
    <row r="154" spans="1:30" ht="15" x14ac:dyDescent="0.25">
      <c r="A154" s="3">
        <v>38200</v>
      </c>
      <c r="B154" s="518">
        <f>'DATA-Purchased Power'!N14</f>
        <v>17143727</v>
      </c>
      <c r="C154" s="518">
        <f>'DATA-Degree Days'!N15</f>
        <v>1.8</v>
      </c>
      <c r="D154" s="518">
        <f>'DATA-Degree Days'!N35</f>
        <v>85</v>
      </c>
      <c r="E154" s="518">
        <f>'DATA-Calendar'!N15</f>
        <v>336</v>
      </c>
      <c r="F154" s="518">
        <f>'DATA-Calendar'!N35</f>
        <v>31</v>
      </c>
      <c r="G154" s="518">
        <f>'DATA-Calendar'!N55</f>
        <v>0</v>
      </c>
      <c r="H154" s="518">
        <f>'DATA-Calendar'!N75</f>
        <v>1</v>
      </c>
      <c r="I154" s="518">
        <f>'DATA-Calendar'!N94</f>
        <v>0</v>
      </c>
      <c r="J154" s="518">
        <f>'DATA-Calendar'!N113</f>
        <v>0</v>
      </c>
      <c r="K154" s="518">
        <f>'DATA-Customers'!N32</f>
        <v>7141.3333177749428</v>
      </c>
      <c r="L154" s="518">
        <f>'DATA-Population'!N15</f>
        <v>14320.709571008627</v>
      </c>
      <c r="M154" s="518">
        <v>0</v>
      </c>
      <c r="N154" s="519">
        <f>'DATA-GDP Qrtly'!O87</f>
        <v>128.18825842694051</v>
      </c>
      <c r="O154" s="519">
        <f>'DATA-GDP Annual'!P13</f>
        <v>129.38441094123903</v>
      </c>
      <c r="P154" s="375">
        <f>'DATA-Employment'!N15</f>
        <v>185.3</v>
      </c>
      <c r="Q154" s="375">
        <f>'DATA-Employment'!N33</f>
        <v>191</v>
      </c>
      <c r="R154" s="375">
        <f>'DATA-Employment'!N51</f>
        <v>14.9</v>
      </c>
      <c r="S154" s="375">
        <f>'DATA-Employment'!N69</f>
        <v>14.7</v>
      </c>
      <c r="T154" s="513">
        <f t="shared" si="6"/>
        <v>16550565.270400088</v>
      </c>
      <c r="U154" s="40">
        <f t="shared" si="7"/>
        <v>-593161.72959991172</v>
      </c>
      <c r="V154" s="5">
        <f t="shared" si="8"/>
        <v>-3.4599345264883868E-2</v>
      </c>
      <c r="AD154">
        <f t="shared" si="9"/>
        <v>3.4599345264883867</v>
      </c>
    </row>
    <row r="155" spans="1:30" ht="15" x14ac:dyDescent="0.25">
      <c r="A155" s="3">
        <v>38231</v>
      </c>
      <c r="B155" s="518">
        <f>'DATA-Purchased Power'!N15</f>
        <v>15916123</v>
      </c>
      <c r="C155" s="518">
        <f>'DATA-Degree Days'!N16</f>
        <v>14.6</v>
      </c>
      <c r="D155" s="518">
        <f>'DATA-Degree Days'!N36</f>
        <v>65.3</v>
      </c>
      <c r="E155" s="518">
        <f>'DATA-Calendar'!N16</f>
        <v>336</v>
      </c>
      <c r="F155" s="518">
        <f>'DATA-Calendar'!N36</f>
        <v>30</v>
      </c>
      <c r="G155" s="518">
        <f>'DATA-Calendar'!N56</f>
        <v>1</v>
      </c>
      <c r="H155" s="518">
        <f>'DATA-Calendar'!N76</f>
        <v>1</v>
      </c>
      <c r="I155" s="518">
        <f>'DATA-Calendar'!N95</f>
        <v>0</v>
      </c>
      <c r="J155" s="518">
        <f>'DATA-Calendar'!N114</f>
        <v>1</v>
      </c>
      <c r="K155" s="518">
        <f>'DATA-Customers'!N33</f>
        <v>7141</v>
      </c>
      <c r="L155" s="518">
        <f>'DATA-Population'!N16</f>
        <v>14333.279126563615</v>
      </c>
      <c r="M155" s="518">
        <v>0</v>
      </c>
      <c r="N155" s="519">
        <f>'DATA-GDP Qrtly'!O88</f>
        <v>128.75110417223033</v>
      </c>
      <c r="O155" s="519">
        <f>'DATA-GDP Annual'!P14</f>
        <v>129.65092164364802</v>
      </c>
      <c r="P155" s="375">
        <f>'DATA-Employment'!N16</f>
        <v>187.6</v>
      </c>
      <c r="Q155" s="375">
        <f>'DATA-Employment'!N34</f>
        <v>193.2</v>
      </c>
      <c r="R155" s="375">
        <f>'DATA-Employment'!N52</f>
        <v>13.6</v>
      </c>
      <c r="S155" s="375">
        <f>'DATA-Employment'!N70</f>
        <v>12.8</v>
      </c>
      <c r="T155" s="513">
        <f t="shared" si="6"/>
        <v>15492314.44096542</v>
      </c>
      <c r="U155" s="40">
        <f t="shared" si="7"/>
        <v>-423808.55903458036</v>
      </c>
      <c r="V155" s="5">
        <f t="shared" si="8"/>
        <v>-2.662762527247247E-2</v>
      </c>
      <c r="AD155">
        <f t="shared" si="9"/>
        <v>2.662762527247247</v>
      </c>
    </row>
    <row r="156" spans="1:30" ht="15" x14ac:dyDescent="0.25">
      <c r="A156" s="3">
        <v>38261</v>
      </c>
      <c r="B156" s="518">
        <f>'DATA-Purchased Power'!N16</f>
        <v>13910480</v>
      </c>
      <c r="C156" s="518">
        <f>'DATA-Degree Days'!N17</f>
        <v>196.4</v>
      </c>
      <c r="D156" s="518">
        <f>'DATA-Degree Days'!N37</f>
        <v>2.6</v>
      </c>
      <c r="E156" s="518">
        <f>'DATA-Calendar'!N17</f>
        <v>320</v>
      </c>
      <c r="F156" s="518">
        <f>'DATA-Calendar'!N37</f>
        <v>31</v>
      </c>
      <c r="G156" s="518">
        <f>'DATA-Calendar'!N57</f>
        <v>1</v>
      </c>
      <c r="H156" s="518">
        <f>'DATA-Calendar'!N77</f>
        <v>0</v>
      </c>
      <c r="I156" s="518">
        <f>'DATA-Calendar'!N96</f>
        <v>0</v>
      </c>
      <c r="J156" s="518">
        <f>'DATA-Calendar'!N115</f>
        <v>1</v>
      </c>
      <c r="K156" s="518">
        <f>'DATA-Customers'!N34</f>
        <v>7169.5523516791964</v>
      </c>
      <c r="L156" s="518">
        <f>'DATA-Population'!N17</f>
        <v>14345.859714653414</v>
      </c>
      <c r="M156" s="518">
        <v>0</v>
      </c>
      <c r="N156" s="519">
        <f>'DATA-GDP Qrtly'!O89</f>
        <v>128.94971981468001</v>
      </c>
      <c r="O156" s="519">
        <f>'DATA-GDP Annual'!P15</f>
        <v>129.91798131446814</v>
      </c>
      <c r="P156" s="375">
        <f>'DATA-Employment'!N17</f>
        <v>190.6</v>
      </c>
      <c r="Q156" s="375">
        <f>'DATA-Employment'!N35</f>
        <v>195.3</v>
      </c>
      <c r="R156" s="375">
        <f>'DATA-Employment'!N53</f>
        <v>13.1</v>
      </c>
      <c r="S156" s="375">
        <f>'DATA-Employment'!N71</f>
        <v>11.4</v>
      </c>
      <c r="T156" s="513">
        <f t="shared" si="6"/>
        <v>14014839.447228501</v>
      </c>
      <c r="U156" s="40">
        <f t="shared" si="7"/>
        <v>104359.44722850062</v>
      </c>
      <c r="V156" s="5">
        <f t="shared" si="8"/>
        <v>7.5022175531326467E-3</v>
      </c>
      <c r="AD156">
        <f t="shared" si="9"/>
        <v>0.75022175531326463</v>
      </c>
    </row>
    <row r="157" spans="1:30" ht="15" x14ac:dyDescent="0.25">
      <c r="A157" s="3">
        <v>38292</v>
      </c>
      <c r="B157" s="518">
        <f>'DATA-Purchased Power'!N17</f>
        <v>13805540</v>
      </c>
      <c r="C157" s="518">
        <f>'DATA-Degree Days'!N18</f>
        <v>341</v>
      </c>
      <c r="D157" s="518">
        <f>'DATA-Degree Days'!N38</f>
        <v>0</v>
      </c>
      <c r="E157" s="518">
        <f>'DATA-Calendar'!N18</f>
        <v>352</v>
      </c>
      <c r="F157" s="518">
        <f>'DATA-Calendar'!N38</f>
        <v>30</v>
      </c>
      <c r="G157" s="518">
        <f>'DATA-Calendar'!N58</f>
        <v>1</v>
      </c>
      <c r="H157" s="518">
        <f>'DATA-Calendar'!N78</f>
        <v>0</v>
      </c>
      <c r="I157" s="518">
        <f>'DATA-Calendar'!N97</f>
        <v>0</v>
      </c>
      <c r="J157" s="518">
        <f>'DATA-Calendar'!N116</f>
        <v>1</v>
      </c>
      <c r="K157" s="518">
        <f>'DATA-Customers'!N35</f>
        <v>7198.2188661908267</v>
      </c>
      <c r="L157" s="518">
        <f>'DATA-Population'!N18</f>
        <v>14358.451344961486</v>
      </c>
      <c r="M157" s="518">
        <v>0</v>
      </c>
      <c r="N157" s="519">
        <f>'DATA-GDP Qrtly'!O90</f>
        <v>129.14864184808206</v>
      </c>
      <c r="O157" s="519">
        <f>'DATA-GDP Annual'!P16</f>
        <v>130.18559108448443</v>
      </c>
      <c r="P157" s="375">
        <f>'DATA-Employment'!N18</f>
        <v>194</v>
      </c>
      <c r="Q157" s="375">
        <f>'DATA-Employment'!N36</f>
        <v>196.6</v>
      </c>
      <c r="R157" s="375">
        <f>'DATA-Employment'!N54</f>
        <v>13.3</v>
      </c>
      <c r="S157" s="375">
        <f>'DATA-Employment'!N72</f>
        <v>11.6</v>
      </c>
      <c r="T157" s="513">
        <f t="shared" si="6"/>
        <v>14004032.99185665</v>
      </c>
      <c r="U157" s="40">
        <f t="shared" si="7"/>
        <v>198492.99185664952</v>
      </c>
      <c r="V157" s="5">
        <f t="shared" si="8"/>
        <v>1.4377778185905767E-2</v>
      </c>
      <c r="AD157">
        <f t="shared" si="9"/>
        <v>1.4377778185905767</v>
      </c>
    </row>
    <row r="158" spans="1:30" ht="15" x14ac:dyDescent="0.25">
      <c r="A158" s="3">
        <v>38322</v>
      </c>
      <c r="B158" s="518">
        <f>'DATA-Purchased Power'!N18</f>
        <v>15835971</v>
      </c>
      <c r="C158" s="518">
        <f>'DATA-Degree Days'!N19</f>
        <v>566.70000000000005</v>
      </c>
      <c r="D158" s="518">
        <f>'DATA-Degree Days'!N39</f>
        <v>0</v>
      </c>
      <c r="E158" s="518">
        <f>'DATA-Calendar'!N19</f>
        <v>336</v>
      </c>
      <c r="F158" s="518">
        <f>'DATA-Calendar'!N39</f>
        <v>31</v>
      </c>
      <c r="G158" s="518">
        <f>'DATA-Calendar'!N59</f>
        <v>0</v>
      </c>
      <c r="H158" s="518">
        <f>'DATA-Calendar'!N79</f>
        <v>0</v>
      </c>
      <c r="I158" s="518">
        <f>'DATA-Calendar'!N98</f>
        <v>0</v>
      </c>
      <c r="J158" s="518">
        <f>'DATA-Calendar'!N117</f>
        <v>0</v>
      </c>
      <c r="K158" s="518">
        <f>'DATA-Customers'!N36</f>
        <v>7227</v>
      </c>
      <c r="L158" s="518">
        <f>'DATA-Population'!N19</f>
        <v>14371.054027179793</v>
      </c>
      <c r="M158" s="518">
        <v>0</v>
      </c>
      <c r="N158" s="519">
        <f>'DATA-GDP Qrtly'!O91</f>
        <v>129.34787074508515</v>
      </c>
      <c r="O158" s="519">
        <f>'DATA-GDP Annual'!P17</f>
        <v>130.45375208681136</v>
      </c>
      <c r="P158" s="375">
        <f>'DATA-Employment'!N19</f>
        <v>196.6</v>
      </c>
      <c r="Q158" s="375">
        <f>'DATA-Employment'!N37</f>
        <v>197.7</v>
      </c>
      <c r="R158" s="375">
        <f>'DATA-Employment'!N55</f>
        <v>14.1</v>
      </c>
      <c r="S158" s="375">
        <f>'DATA-Employment'!N73</f>
        <v>12.9</v>
      </c>
      <c r="T158" s="513">
        <f t="shared" si="6"/>
        <v>15347960.11395344</v>
      </c>
      <c r="U158" s="40">
        <f t="shared" si="7"/>
        <v>-488010.88604656048</v>
      </c>
      <c r="V158" s="5">
        <f t="shared" si="8"/>
        <v>-3.0816606449112622E-2</v>
      </c>
      <c r="AD158">
        <f t="shared" si="9"/>
        <v>3.081660644911262</v>
      </c>
    </row>
    <row r="159" spans="1:30" ht="15" x14ac:dyDescent="0.25">
      <c r="A159" s="3">
        <v>38353</v>
      </c>
      <c r="B159" s="518">
        <f>'DATA-Purchased Power'!O7</f>
        <v>16331485</v>
      </c>
      <c r="C159" s="518">
        <f>'DATA-Degree Days'!O8</f>
        <v>693.3</v>
      </c>
      <c r="D159" s="518">
        <f>'DATA-Degree Days'!O28</f>
        <v>0</v>
      </c>
      <c r="E159" s="518">
        <f>'DATA-Calendar'!O8</f>
        <v>320</v>
      </c>
      <c r="F159" s="518">
        <f>'DATA-Calendar'!O28</f>
        <v>31</v>
      </c>
      <c r="G159" s="518">
        <f>'DATA-Calendar'!O48</f>
        <v>0</v>
      </c>
      <c r="H159" s="518">
        <f>'DATA-Calendar'!O68</f>
        <v>0</v>
      </c>
      <c r="I159" s="518">
        <f>'DATA-Calendar'!O87</f>
        <v>0</v>
      </c>
      <c r="J159" s="518">
        <f>'DATA-Calendar'!O106</f>
        <v>0</v>
      </c>
      <c r="K159" s="518">
        <f>'DATA-Customers'!O25</f>
        <v>7249.2646707315043</v>
      </c>
      <c r="L159" s="518">
        <f>'DATA-Population'!O8</f>
        <v>14383.667771008804</v>
      </c>
      <c r="M159" s="518">
        <v>0</v>
      </c>
      <c r="N159" s="519">
        <f>'DATA-GDP Qrtly'!P80</f>
        <v>129.5645757593544</v>
      </c>
      <c r="O159" s="519">
        <f>'DATA-GDP Annual'!Q6</f>
        <v>130.74370215685079</v>
      </c>
      <c r="P159" s="375">
        <f>'DATA-Employment'!O8</f>
        <v>198.8</v>
      </c>
      <c r="Q159" s="375">
        <f>'DATA-Employment'!O26</f>
        <v>196.3</v>
      </c>
      <c r="R159" s="375">
        <f>'DATA-Employment'!O44</f>
        <v>14.2</v>
      </c>
      <c r="S159" s="375">
        <f>'DATA-Employment'!O62</f>
        <v>14.2</v>
      </c>
      <c r="T159" s="513">
        <f t="shared" si="6"/>
        <v>15844060.005731024</v>
      </c>
      <c r="U159" s="40">
        <f t="shared" si="7"/>
        <v>-487424.99426897615</v>
      </c>
      <c r="V159" s="5">
        <f t="shared" si="8"/>
        <v>-2.9845724027482874E-2</v>
      </c>
      <c r="AD159">
        <f t="shared" si="9"/>
        <v>2.9845724027482876</v>
      </c>
    </row>
    <row r="160" spans="1:30" ht="15" x14ac:dyDescent="0.25">
      <c r="A160" s="3">
        <v>38384</v>
      </c>
      <c r="B160" s="518">
        <f>'DATA-Purchased Power'!O8</f>
        <v>13966621</v>
      </c>
      <c r="C160" s="518">
        <f>'DATA-Degree Days'!O9</f>
        <v>582</v>
      </c>
      <c r="D160" s="518">
        <f>'DATA-Degree Days'!O29</f>
        <v>0</v>
      </c>
      <c r="E160" s="518">
        <f>'DATA-Calendar'!O9</f>
        <v>320</v>
      </c>
      <c r="F160" s="518">
        <f>'DATA-Calendar'!O29</f>
        <v>28</v>
      </c>
      <c r="G160" s="518">
        <f>'DATA-Calendar'!O49</f>
        <v>0</v>
      </c>
      <c r="H160" s="518">
        <f>'DATA-Calendar'!O69</f>
        <v>0</v>
      </c>
      <c r="I160" s="518">
        <f>'DATA-Calendar'!O88</f>
        <v>0</v>
      </c>
      <c r="J160" s="518">
        <f>'DATA-Calendar'!O107</f>
        <v>0</v>
      </c>
      <c r="K160" s="518">
        <f>'DATA-Customers'!O26</f>
        <v>7271.5979336261162</v>
      </c>
      <c r="L160" s="518">
        <f>'DATA-Population'!O9</f>
        <v>14396.292586157504</v>
      </c>
      <c r="M160" s="518">
        <v>0</v>
      </c>
      <c r="N160" s="519">
        <f>'DATA-GDP Qrtly'!P81</f>
        <v>129.78164383381892</v>
      </c>
      <c r="O160" s="519">
        <f>'DATA-GDP Annual'!Q7</f>
        <v>131.0342966778299</v>
      </c>
      <c r="P160" s="375">
        <f>'DATA-Employment'!O9</f>
        <v>200</v>
      </c>
      <c r="Q160" s="375">
        <f>'DATA-Employment'!O27</f>
        <v>195.5</v>
      </c>
      <c r="R160" s="375">
        <f>'DATA-Employment'!O45</f>
        <v>13.6</v>
      </c>
      <c r="S160" s="375">
        <f>'DATA-Employment'!O63</f>
        <v>14.2</v>
      </c>
      <c r="T160" s="513">
        <f t="shared" si="6"/>
        <v>14008575.541280394</v>
      </c>
      <c r="U160" s="40">
        <f t="shared" si="7"/>
        <v>41954.54128039442</v>
      </c>
      <c r="V160" s="5">
        <f t="shared" si="8"/>
        <v>3.0039149254779966E-3</v>
      </c>
      <c r="AD160">
        <f t="shared" si="9"/>
        <v>0.30039149254779968</v>
      </c>
    </row>
    <row r="161" spans="1:30" ht="15" x14ac:dyDescent="0.25">
      <c r="A161" s="3">
        <v>38412</v>
      </c>
      <c r="B161" s="518">
        <f>'DATA-Purchased Power'!O9</f>
        <v>14896809</v>
      </c>
      <c r="C161" s="518">
        <f>'DATA-Degree Days'!O10</f>
        <v>576.1</v>
      </c>
      <c r="D161" s="518">
        <f>'DATA-Degree Days'!O30</f>
        <v>0</v>
      </c>
      <c r="E161" s="518">
        <f>'DATA-Calendar'!O10</f>
        <v>352</v>
      </c>
      <c r="F161" s="518">
        <f>'DATA-Calendar'!O30</f>
        <v>31</v>
      </c>
      <c r="G161" s="518">
        <f>'DATA-Calendar'!O50</f>
        <v>1</v>
      </c>
      <c r="H161" s="518">
        <f>'DATA-Calendar'!O70</f>
        <v>0</v>
      </c>
      <c r="I161" s="518">
        <f>'DATA-Calendar'!O89</f>
        <v>1</v>
      </c>
      <c r="J161" s="518">
        <f>'DATA-Calendar'!O108</f>
        <v>0</v>
      </c>
      <c r="K161" s="518">
        <f>'DATA-Customers'!O27</f>
        <v>7294</v>
      </c>
      <c r="L161" s="518">
        <f>'DATA-Population'!O10</f>
        <v>14408.928482343395</v>
      </c>
      <c r="M161" s="518">
        <v>0</v>
      </c>
      <c r="N161" s="519">
        <f>'DATA-GDP Qrtly'!P82</f>
        <v>129.9990755767374</v>
      </c>
      <c r="O161" s="519">
        <f>'DATA-GDP Annual'!Q8</f>
        <v>131.32553708212293</v>
      </c>
      <c r="P161" s="375">
        <f>'DATA-Employment'!O10</f>
        <v>199.3</v>
      </c>
      <c r="Q161" s="375">
        <f>'DATA-Employment'!O28</f>
        <v>192.9</v>
      </c>
      <c r="R161" s="375">
        <f>'DATA-Employment'!O46</f>
        <v>14</v>
      </c>
      <c r="S161" s="375">
        <f>'DATA-Employment'!O64</f>
        <v>15.5</v>
      </c>
      <c r="T161" s="513">
        <f t="shared" si="6"/>
        <v>14565120.993470728</v>
      </c>
      <c r="U161" s="40">
        <f t="shared" si="7"/>
        <v>-331688.0065292716</v>
      </c>
      <c r="V161" s="5">
        <f t="shared" si="8"/>
        <v>-2.226570848355991E-2</v>
      </c>
      <c r="AD161">
        <f t="shared" si="9"/>
        <v>2.226570848355991</v>
      </c>
    </row>
    <row r="162" spans="1:30" ht="15" x14ac:dyDescent="0.25">
      <c r="A162" s="3">
        <v>38443</v>
      </c>
      <c r="B162" s="518">
        <f>'DATA-Purchased Power'!O10</f>
        <v>12976713</v>
      </c>
      <c r="C162" s="518">
        <f>'DATA-Degree Days'!O11</f>
        <v>345.1</v>
      </c>
      <c r="D162" s="518">
        <f>'DATA-Degree Days'!O31</f>
        <v>0</v>
      </c>
      <c r="E162" s="518">
        <f>'DATA-Calendar'!O11</f>
        <v>336</v>
      </c>
      <c r="F162" s="518">
        <f>'DATA-Calendar'!O31</f>
        <v>30</v>
      </c>
      <c r="G162" s="518">
        <f>'DATA-Calendar'!O51</f>
        <v>1</v>
      </c>
      <c r="H162" s="518">
        <f>'DATA-Calendar'!O71</f>
        <v>0</v>
      </c>
      <c r="I162" s="518">
        <f>'DATA-Calendar'!O90</f>
        <v>1</v>
      </c>
      <c r="J162" s="518">
        <f>'DATA-Calendar'!O109</f>
        <v>0</v>
      </c>
      <c r="K162" s="518">
        <f>'DATA-Customers'!O28</f>
        <v>7312.6190980091151</v>
      </c>
      <c r="L162" s="518">
        <f>'DATA-Population'!O11</f>
        <v>14421.575469292515</v>
      </c>
      <c r="M162" s="518">
        <v>0</v>
      </c>
      <c r="N162" s="519">
        <f>'DATA-GDP Qrtly'!P83</f>
        <v>130.20921319749556</v>
      </c>
      <c r="O162" s="519">
        <f>'DATA-GDP Annual'!Q9</f>
        <v>131.61742480528775</v>
      </c>
      <c r="P162" s="375">
        <f>'DATA-Employment'!O11</f>
        <v>197.4</v>
      </c>
      <c r="Q162" s="375">
        <f>'DATA-Employment'!O29</f>
        <v>191.5</v>
      </c>
      <c r="R162" s="375">
        <f>'DATA-Employment'!O47</f>
        <v>15.3</v>
      </c>
      <c r="S162" s="375">
        <f>'DATA-Employment'!O65</f>
        <v>16.7</v>
      </c>
      <c r="T162" s="513">
        <f t="shared" si="6"/>
        <v>13259904.85465795</v>
      </c>
      <c r="U162" s="40">
        <f t="shared" si="7"/>
        <v>283191.85465794988</v>
      </c>
      <c r="V162" s="5">
        <f t="shared" si="8"/>
        <v>2.1823080672120118E-2</v>
      </c>
      <c r="AD162">
        <f t="shared" si="9"/>
        <v>2.1823080672120119</v>
      </c>
    </row>
    <row r="163" spans="1:30" ht="15" x14ac:dyDescent="0.25">
      <c r="A163" s="3">
        <v>38473</v>
      </c>
      <c r="B163" s="518">
        <f>'DATA-Purchased Power'!O11</f>
        <v>13102698</v>
      </c>
      <c r="C163" s="518">
        <f>'DATA-Degree Days'!O12</f>
        <v>215.3</v>
      </c>
      <c r="D163" s="518">
        <f>'DATA-Degree Days'!O32</f>
        <v>0</v>
      </c>
      <c r="E163" s="518">
        <f>'DATA-Calendar'!O12</f>
        <v>336</v>
      </c>
      <c r="F163" s="518">
        <f>'DATA-Calendar'!O32</f>
        <v>31</v>
      </c>
      <c r="G163" s="518">
        <f>'DATA-Calendar'!O52</f>
        <v>1</v>
      </c>
      <c r="H163" s="518">
        <f>'DATA-Calendar'!O72</f>
        <v>0</v>
      </c>
      <c r="I163" s="518">
        <f>'DATA-Calendar'!O91</f>
        <v>1</v>
      </c>
      <c r="J163" s="518">
        <f>'DATA-Calendar'!O110</f>
        <v>0</v>
      </c>
      <c r="K163" s="518">
        <f>'DATA-Customers'!O29</f>
        <v>7331.2857242346645</v>
      </c>
      <c r="L163" s="518">
        <f>'DATA-Population'!O12</f>
        <v>14434.233556739433</v>
      </c>
      <c r="M163" s="518">
        <v>0</v>
      </c>
      <c r="N163" s="519">
        <f>'DATA-GDP Qrtly'!P84</f>
        <v>130.41969049620496</v>
      </c>
      <c r="O163" s="519">
        <f>'DATA-GDP Annual'!Q10</f>
        <v>131.90996128607298</v>
      </c>
      <c r="P163" s="375">
        <f>'DATA-Employment'!O12</f>
        <v>194.9</v>
      </c>
      <c r="Q163" s="375">
        <f>'DATA-Employment'!O30</f>
        <v>191.9</v>
      </c>
      <c r="R163" s="375">
        <f>'DATA-Employment'!O48</f>
        <v>15.6</v>
      </c>
      <c r="S163" s="375">
        <f>'DATA-Employment'!O66</f>
        <v>15.9</v>
      </c>
      <c r="T163" s="513">
        <f t="shared" si="6"/>
        <v>13297926.142386738</v>
      </c>
      <c r="U163" s="40">
        <f t="shared" si="7"/>
        <v>195228.14238673821</v>
      </c>
      <c r="V163" s="5">
        <f t="shared" si="8"/>
        <v>1.4899842947363833E-2</v>
      </c>
      <c r="AD163">
        <f t="shared" si="9"/>
        <v>1.4899842947363833</v>
      </c>
    </row>
    <row r="164" spans="1:30" ht="15" x14ac:dyDescent="0.25">
      <c r="A164" s="3">
        <v>38504</v>
      </c>
      <c r="B164" s="518">
        <f>'DATA-Purchased Power'!O12</f>
        <v>17368816</v>
      </c>
      <c r="C164" s="518">
        <f>'DATA-Degree Days'!O13</f>
        <v>10.4</v>
      </c>
      <c r="D164" s="518">
        <f>'DATA-Degree Days'!O33</f>
        <v>107.8</v>
      </c>
      <c r="E164" s="518">
        <f>'DATA-Calendar'!O13</f>
        <v>352</v>
      </c>
      <c r="F164" s="518">
        <f>'DATA-Calendar'!O33</f>
        <v>30</v>
      </c>
      <c r="G164" s="518">
        <f>'DATA-Calendar'!O53</f>
        <v>0</v>
      </c>
      <c r="H164" s="518">
        <f>'DATA-Calendar'!O73</f>
        <v>0</v>
      </c>
      <c r="I164" s="518">
        <f>'DATA-Calendar'!O92</f>
        <v>0</v>
      </c>
      <c r="J164" s="518">
        <f>'DATA-Calendar'!O111</f>
        <v>0</v>
      </c>
      <c r="K164" s="518">
        <f>'DATA-Customers'!O30</f>
        <v>7350</v>
      </c>
      <c r="L164" s="518">
        <f>'DATA-Population'!O13</f>
        <v>14446.902754427263</v>
      </c>
      <c r="M164" s="518">
        <v>0</v>
      </c>
      <c r="N164" s="519">
        <f>'DATA-GDP Qrtly'!P85</f>
        <v>130.63050802193965</v>
      </c>
      <c r="O164" s="519">
        <f>'DATA-GDP Annual'!Q11</f>
        <v>132.20314796642501</v>
      </c>
      <c r="P164" s="375">
        <f>'DATA-Employment'!O13</f>
        <v>195.2</v>
      </c>
      <c r="Q164" s="375">
        <f>'DATA-Employment'!O31</f>
        <v>195.8</v>
      </c>
      <c r="R164" s="375">
        <f>'DATA-Employment'!O49</f>
        <v>14.7</v>
      </c>
      <c r="S164" s="375">
        <f>'DATA-Employment'!O67</f>
        <v>13.9</v>
      </c>
      <c r="T164" s="513">
        <f t="shared" si="6"/>
        <v>16541331.208249515</v>
      </c>
      <c r="U164" s="40">
        <f t="shared" si="7"/>
        <v>-827484.79175048508</v>
      </c>
      <c r="V164" s="5">
        <f t="shared" si="8"/>
        <v>-4.7641980417691403E-2</v>
      </c>
      <c r="AD164">
        <f t="shared" si="9"/>
        <v>4.7641980417691405</v>
      </c>
    </row>
    <row r="165" spans="1:30" ht="15" x14ac:dyDescent="0.25">
      <c r="A165" s="3">
        <v>38534</v>
      </c>
      <c r="B165" s="518">
        <f>'DATA-Purchased Power'!O13</f>
        <v>19805768</v>
      </c>
      <c r="C165" s="518">
        <f>'DATA-Degree Days'!O14</f>
        <v>0</v>
      </c>
      <c r="D165" s="518">
        <f>'DATA-Degree Days'!O34</f>
        <v>183.5</v>
      </c>
      <c r="E165" s="518">
        <f>'DATA-Calendar'!O14</f>
        <v>320</v>
      </c>
      <c r="F165" s="518">
        <f>'DATA-Calendar'!O34</f>
        <v>31</v>
      </c>
      <c r="G165" s="518">
        <f>'DATA-Calendar'!O54</f>
        <v>0</v>
      </c>
      <c r="H165" s="518">
        <f>'DATA-Calendar'!O74</f>
        <v>1</v>
      </c>
      <c r="I165" s="518">
        <f>'DATA-Calendar'!O93</f>
        <v>0</v>
      </c>
      <c r="J165" s="518">
        <f>'DATA-Calendar'!O112</f>
        <v>0</v>
      </c>
      <c r="K165" s="518">
        <f>'DATA-Customers'!O31</f>
        <v>7374.5843450506209</v>
      </c>
      <c r="L165" s="518">
        <f>'DATA-Population'!O14</f>
        <v>14459.583072107675</v>
      </c>
      <c r="M165" s="518">
        <v>0</v>
      </c>
      <c r="N165" s="519">
        <f>'DATA-GDP Qrtly'!P86</f>
        <v>130.91773116132472</v>
      </c>
      <c r="O165" s="519">
        <f>'DATA-GDP Annual'!Q12</f>
        <v>132.49698629149512</v>
      </c>
      <c r="P165" s="375">
        <f>'DATA-Employment'!O14</f>
        <v>194.5</v>
      </c>
      <c r="Q165" s="375">
        <f>'DATA-Employment'!O32</f>
        <v>199.2</v>
      </c>
      <c r="R165" s="375">
        <f>'DATA-Employment'!O50</f>
        <v>14.6</v>
      </c>
      <c r="S165" s="375">
        <f>'DATA-Employment'!O68</f>
        <v>13.9</v>
      </c>
      <c r="T165" s="513">
        <f t="shared" si="6"/>
        <v>20106085.768723793</v>
      </c>
      <c r="U165" s="40">
        <f t="shared" si="7"/>
        <v>300317.76872379333</v>
      </c>
      <c r="V165" s="5">
        <f t="shared" si="8"/>
        <v>1.5163146853168901E-2</v>
      </c>
      <c r="AD165">
        <f t="shared" si="9"/>
        <v>1.5163146853168901</v>
      </c>
    </row>
    <row r="166" spans="1:30" ht="15" x14ac:dyDescent="0.25">
      <c r="A166" s="3">
        <v>38565</v>
      </c>
      <c r="B166" s="518">
        <f>'DATA-Purchased Power'!O14</f>
        <v>19394910</v>
      </c>
      <c r="C166" s="518">
        <f>'DATA-Degree Days'!O15</f>
        <v>0</v>
      </c>
      <c r="D166" s="518">
        <f>'DATA-Degree Days'!O35</f>
        <v>165.7</v>
      </c>
      <c r="E166" s="518">
        <f>'DATA-Calendar'!O15</f>
        <v>352</v>
      </c>
      <c r="F166" s="518">
        <f>'DATA-Calendar'!O35</f>
        <v>31</v>
      </c>
      <c r="G166" s="518">
        <f>'DATA-Calendar'!O55</f>
        <v>0</v>
      </c>
      <c r="H166" s="518">
        <f>'DATA-Calendar'!O75</f>
        <v>1</v>
      </c>
      <c r="I166" s="518">
        <f>'DATA-Calendar'!O94</f>
        <v>0</v>
      </c>
      <c r="J166" s="518">
        <f>'DATA-Calendar'!O113</f>
        <v>0</v>
      </c>
      <c r="K166" s="518">
        <f>'DATA-Customers'!O32</f>
        <v>7399.2509200361492</v>
      </c>
      <c r="L166" s="518">
        <f>'DATA-Population'!O15</f>
        <v>14472.274519540892</v>
      </c>
      <c r="M166" s="518">
        <v>0</v>
      </c>
      <c r="N166" s="519">
        <f>'DATA-GDP Qrtly'!P87</f>
        <v>131.2055858310701</v>
      </c>
      <c r="O166" s="519">
        <f>'DATA-GDP Annual'!Q13</f>
        <v>132.79147770964664</v>
      </c>
      <c r="P166" s="375">
        <f>'DATA-Employment'!O15</f>
        <v>193.4</v>
      </c>
      <c r="Q166" s="375">
        <f>'DATA-Employment'!O33</f>
        <v>199.1</v>
      </c>
      <c r="R166" s="375">
        <f>'DATA-Employment'!O51</f>
        <v>16.5</v>
      </c>
      <c r="S166" s="375">
        <f>'DATA-Employment'!O69</f>
        <v>16.3</v>
      </c>
      <c r="T166" s="513">
        <f t="shared" si="6"/>
        <v>19551451.189305596</v>
      </c>
      <c r="U166" s="40">
        <f t="shared" si="7"/>
        <v>156541.18930559605</v>
      </c>
      <c r="V166" s="5">
        <f t="shared" si="8"/>
        <v>8.0712511326732662E-3</v>
      </c>
      <c r="AD166">
        <f t="shared" si="9"/>
        <v>0.80712511326732661</v>
      </c>
    </row>
    <row r="167" spans="1:30" ht="15" x14ac:dyDescent="0.25">
      <c r="A167" s="3">
        <v>38596</v>
      </c>
      <c r="B167" s="518">
        <f>'DATA-Purchased Power'!O15</f>
        <v>16134163</v>
      </c>
      <c r="C167" s="518">
        <f>'DATA-Degree Days'!O16</f>
        <v>7.3</v>
      </c>
      <c r="D167" s="518">
        <f>'DATA-Degree Days'!O36</f>
        <v>76.599999999999994</v>
      </c>
      <c r="E167" s="518">
        <f>'DATA-Calendar'!O16</f>
        <v>336</v>
      </c>
      <c r="F167" s="518">
        <f>'DATA-Calendar'!O36</f>
        <v>30</v>
      </c>
      <c r="G167" s="518">
        <f>'DATA-Calendar'!O56</f>
        <v>1</v>
      </c>
      <c r="H167" s="518">
        <f>'DATA-Calendar'!O76</f>
        <v>1</v>
      </c>
      <c r="I167" s="518">
        <f>'DATA-Calendar'!O95</f>
        <v>0</v>
      </c>
      <c r="J167" s="518">
        <f>'DATA-Calendar'!O114</f>
        <v>1</v>
      </c>
      <c r="K167" s="518">
        <f>'DATA-Customers'!O33</f>
        <v>7424</v>
      </c>
      <c r="L167" s="518">
        <f>'DATA-Population'!O16</f>
        <v>14484.977106495708</v>
      </c>
      <c r="M167" s="518">
        <v>0</v>
      </c>
      <c r="N167" s="519">
        <f>'DATA-GDP Qrtly'!P88</f>
        <v>131.49407341974978</v>
      </c>
      <c r="O167" s="519">
        <f>'DATA-GDP Annual'!Q14</f>
        <v>133.08662367246211</v>
      </c>
      <c r="P167" s="375">
        <f>'DATA-Employment'!O16</f>
        <v>191.9</v>
      </c>
      <c r="Q167" s="375">
        <f>'DATA-Employment'!O34</f>
        <v>197.5</v>
      </c>
      <c r="R167" s="375">
        <f>'DATA-Employment'!O52</f>
        <v>16.8</v>
      </c>
      <c r="S167" s="375">
        <f>'DATA-Employment'!O70</f>
        <v>16.100000000000001</v>
      </c>
      <c r="T167" s="513">
        <f t="shared" si="6"/>
        <v>16194126.543001611</v>
      </c>
      <c r="U167" s="40">
        <f t="shared" si="7"/>
        <v>59963.543001610786</v>
      </c>
      <c r="V167" s="5">
        <f t="shared" si="8"/>
        <v>3.7165574068893929E-3</v>
      </c>
      <c r="AD167">
        <f t="shared" si="9"/>
        <v>0.37165574068893931</v>
      </c>
    </row>
    <row r="168" spans="1:30" ht="15" x14ac:dyDescent="0.25">
      <c r="A168" s="3">
        <v>38626</v>
      </c>
      <c r="B168" s="518">
        <f>'DATA-Purchased Power'!O16</f>
        <v>14385984</v>
      </c>
      <c r="C168" s="518">
        <f>'DATA-Degree Days'!O17</f>
        <v>201.6</v>
      </c>
      <c r="D168" s="518">
        <f>'DATA-Degree Days'!O37</f>
        <v>10.7</v>
      </c>
      <c r="E168" s="518">
        <f>'DATA-Calendar'!O17</f>
        <v>320</v>
      </c>
      <c r="F168" s="518">
        <f>'DATA-Calendar'!O37</f>
        <v>31</v>
      </c>
      <c r="G168" s="518">
        <f>'DATA-Calendar'!O57</f>
        <v>1</v>
      </c>
      <c r="H168" s="518">
        <f>'DATA-Calendar'!O77</f>
        <v>0</v>
      </c>
      <c r="I168" s="518">
        <f>'DATA-Calendar'!O96</f>
        <v>0</v>
      </c>
      <c r="J168" s="518">
        <f>'DATA-Calendar'!O115</f>
        <v>1</v>
      </c>
      <c r="K168" s="518">
        <f>'DATA-Customers'!O34</f>
        <v>7429.9951573832359</v>
      </c>
      <c r="L168" s="518">
        <f>'DATA-Population'!O17</f>
        <v>14497.690842749491</v>
      </c>
      <c r="M168" s="518">
        <v>0</v>
      </c>
      <c r="N168" s="519">
        <f>'DATA-GDP Qrtly'!P89</f>
        <v>131.74191634615366</v>
      </c>
      <c r="O168" s="519">
        <f>'DATA-GDP Annual'!Q15</f>
        <v>133.38242563475035</v>
      </c>
      <c r="P168" s="375">
        <f>'DATA-Employment'!O17</f>
        <v>190.3</v>
      </c>
      <c r="Q168" s="375">
        <f>'DATA-Employment'!O35</f>
        <v>195</v>
      </c>
      <c r="R168" s="375">
        <f>'DATA-Employment'!O53</f>
        <v>16</v>
      </c>
      <c r="S168" s="375">
        <f>'DATA-Employment'!O71</f>
        <v>14.3</v>
      </c>
      <c r="T168" s="513">
        <f t="shared" si="6"/>
        <v>14660433.356668096</v>
      </c>
      <c r="U168" s="40">
        <f t="shared" si="7"/>
        <v>274449.35666809604</v>
      </c>
      <c r="V168" s="5">
        <f t="shared" si="8"/>
        <v>1.9077551919152422E-2</v>
      </c>
      <c r="AD168">
        <f t="shared" si="9"/>
        <v>1.9077551919152422</v>
      </c>
    </row>
    <row r="169" spans="1:30" ht="15" x14ac:dyDescent="0.25">
      <c r="A169" s="3">
        <v>38657</v>
      </c>
      <c r="B169" s="518">
        <f>'DATA-Purchased Power'!O17</f>
        <v>14028139</v>
      </c>
      <c r="C169" s="518">
        <f>'DATA-Degree Days'!O18</f>
        <v>350.6</v>
      </c>
      <c r="D169" s="518">
        <f>'DATA-Degree Days'!O38</f>
        <v>0</v>
      </c>
      <c r="E169" s="518">
        <f>'DATA-Calendar'!O18</f>
        <v>352</v>
      </c>
      <c r="F169" s="518">
        <f>'DATA-Calendar'!O38</f>
        <v>30</v>
      </c>
      <c r="G169" s="518">
        <f>'DATA-Calendar'!O58</f>
        <v>1</v>
      </c>
      <c r="H169" s="518">
        <f>'DATA-Calendar'!O78</f>
        <v>0</v>
      </c>
      <c r="I169" s="518">
        <f>'DATA-Calendar'!O97</f>
        <v>0</v>
      </c>
      <c r="J169" s="518">
        <f>'DATA-Calendar'!O116</f>
        <v>1</v>
      </c>
      <c r="K169" s="518">
        <f>'DATA-Customers'!O35</f>
        <v>7435.9951560800564</v>
      </c>
      <c r="L169" s="518">
        <f>'DATA-Population'!O18</f>
        <v>14510.41573808819</v>
      </c>
      <c r="M169" s="518">
        <v>0</v>
      </c>
      <c r="N169" s="519">
        <f>'DATA-GDP Qrtly'!P90</f>
        <v>131.99022641236522</v>
      </c>
      <c r="O169" s="519">
        <f>'DATA-GDP Annual'!Q16</f>
        <v>133.67888505455369</v>
      </c>
      <c r="P169" s="375">
        <f>'DATA-Employment'!O18</f>
        <v>190.2</v>
      </c>
      <c r="Q169" s="375">
        <f>'DATA-Employment'!O36</f>
        <v>193.2</v>
      </c>
      <c r="R169" s="375">
        <f>'DATA-Employment'!O54</f>
        <v>14.3</v>
      </c>
      <c r="S169" s="375">
        <f>'DATA-Employment'!O72</f>
        <v>12.5</v>
      </c>
      <c r="T169" s="513">
        <f t="shared" si="6"/>
        <v>14402499.879050931</v>
      </c>
      <c r="U169" s="40">
        <f t="shared" si="7"/>
        <v>374360.87905093096</v>
      </c>
      <c r="V169" s="5">
        <f t="shared" si="8"/>
        <v>2.6686424981312986E-2</v>
      </c>
      <c r="AD169">
        <f t="shared" si="9"/>
        <v>2.6686424981312986</v>
      </c>
    </row>
    <row r="170" spans="1:30" ht="15" x14ac:dyDescent="0.25">
      <c r="A170" s="3">
        <v>38687</v>
      </c>
      <c r="B170" s="518">
        <f>'DATA-Purchased Power'!O18</f>
        <v>16177808</v>
      </c>
      <c r="C170" s="518">
        <f>'DATA-Degree Days'!O19</f>
        <v>631.29999999999995</v>
      </c>
      <c r="D170" s="518">
        <f>'DATA-Degree Days'!O39</f>
        <v>0</v>
      </c>
      <c r="E170" s="518">
        <f>'DATA-Calendar'!O19</f>
        <v>320</v>
      </c>
      <c r="F170" s="518">
        <f>'DATA-Calendar'!O39</f>
        <v>31</v>
      </c>
      <c r="G170" s="518">
        <f>'DATA-Calendar'!O59</f>
        <v>0</v>
      </c>
      <c r="H170" s="518">
        <f>'DATA-Calendar'!O79</f>
        <v>0</v>
      </c>
      <c r="I170" s="518">
        <f>'DATA-Calendar'!O98</f>
        <v>0</v>
      </c>
      <c r="J170" s="518">
        <f>'DATA-Calendar'!O117</f>
        <v>0</v>
      </c>
      <c r="K170" s="518">
        <f>'DATA-Customers'!O36</f>
        <v>7442</v>
      </c>
      <c r="L170" s="518">
        <f>'DATA-Population'!O19</f>
        <v>14523.151802306342</v>
      </c>
      <c r="M170" s="518">
        <v>0</v>
      </c>
      <c r="N170" s="519">
        <f>'DATA-GDP Qrtly'!P91</f>
        <v>132.23900449885988</v>
      </c>
      <c r="O170" s="519">
        <f>'DATA-GDP Annual'!Q17</f>
        <v>133.97600339315525</v>
      </c>
      <c r="P170" s="375">
        <f>'DATA-Employment'!O19</f>
        <v>188.8</v>
      </c>
      <c r="Q170" s="375">
        <f>'DATA-Employment'!O37</f>
        <v>190.4</v>
      </c>
      <c r="R170" s="375">
        <f>'DATA-Employment'!O55</f>
        <v>14.4</v>
      </c>
      <c r="S170" s="375">
        <f>'DATA-Employment'!O73</f>
        <v>13.1</v>
      </c>
      <c r="T170" s="513">
        <f t="shared" si="6"/>
        <v>15951868.059150865</v>
      </c>
      <c r="U170" s="40">
        <f t="shared" si="7"/>
        <v>-225939.9408491347</v>
      </c>
      <c r="V170" s="5">
        <f t="shared" si="8"/>
        <v>-1.3966041681860403E-2</v>
      </c>
      <c r="AD170">
        <f t="shared" si="9"/>
        <v>1.3966041681860404</v>
      </c>
    </row>
    <row r="171" spans="1:30" ht="15" x14ac:dyDescent="0.25">
      <c r="A171" s="3">
        <v>38718</v>
      </c>
      <c r="B171" s="518">
        <f>'DATA-Purchased Power'!P7</f>
        <v>15068183</v>
      </c>
      <c r="C171" s="518">
        <f>'DATA-Degree Days'!P8</f>
        <v>509.6</v>
      </c>
      <c r="D171" s="518">
        <f>'DATA-Degree Days'!P28</f>
        <v>0</v>
      </c>
      <c r="E171" s="518">
        <f>'DATA-Calendar'!P8</f>
        <v>336</v>
      </c>
      <c r="F171" s="518">
        <f>'DATA-Calendar'!P28</f>
        <v>31</v>
      </c>
      <c r="G171" s="518">
        <f>'DATA-Calendar'!P48</f>
        <v>0</v>
      </c>
      <c r="H171" s="518">
        <f>'DATA-Calendar'!P68</f>
        <v>0</v>
      </c>
      <c r="I171" s="518">
        <f>'DATA-Calendar'!P87</f>
        <v>0</v>
      </c>
      <c r="J171" s="518">
        <f>'DATA-Calendar'!P106</f>
        <v>0</v>
      </c>
      <c r="K171" s="518">
        <f>'DATA-Customers'!P25</f>
        <v>7454.9773569356121</v>
      </c>
      <c r="L171" s="518">
        <f>'DATA-Population'!P8</f>
        <v>14535.899045207083</v>
      </c>
      <c r="M171" s="518">
        <f>'DATA-CDM'!P6</f>
        <v>7666.666666666667</v>
      </c>
      <c r="N171" s="519">
        <f>'DATA-GDP Qrtly'!Q80</f>
        <v>132.73946368666071</v>
      </c>
      <c r="O171" s="519">
        <f>'DATA-GDP Annual'!R6</f>
        <v>134.25197202423305</v>
      </c>
      <c r="P171" s="375">
        <f>'DATA-Employment'!P8</f>
        <v>188.4</v>
      </c>
      <c r="Q171" s="375">
        <f>'DATA-Employment'!P26</f>
        <v>186.2</v>
      </c>
      <c r="R171" s="375">
        <f>'DATA-Employment'!P44</f>
        <v>14.3</v>
      </c>
      <c r="S171" s="375">
        <f>'DATA-Employment'!P62</f>
        <v>14.8</v>
      </c>
      <c r="T171" s="513">
        <f t="shared" si="6"/>
        <v>15515750.704672735</v>
      </c>
      <c r="U171" s="40">
        <f t="shared" si="7"/>
        <v>447567.70467273518</v>
      </c>
      <c r="V171" s="5">
        <f t="shared" si="8"/>
        <v>2.9702831766294263E-2</v>
      </c>
      <c r="AD171">
        <f t="shared" si="9"/>
        <v>2.9702831766294264</v>
      </c>
    </row>
    <row r="172" spans="1:30" ht="15" x14ac:dyDescent="0.25">
      <c r="A172" s="3">
        <v>38749</v>
      </c>
      <c r="B172" s="518">
        <f>'DATA-Purchased Power'!P8</f>
        <v>13944271</v>
      </c>
      <c r="C172" s="518">
        <f>'DATA-Degree Days'!P9</f>
        <v>547.6</v>
      </c>
      <c r="D172" s="518">
        <f>'DATA-Degree Days'!P29</f>
        <v>0</v>
      </c>
      <c r="E172" s="518">
        <f>'DATA-Calendar'!P9</f>
        <v>320</v>
      </c>
      <c r="F172" s="518">
        <f>'DATA-Calendar'!P29</f>
        <v>28</v>
      </c>
      <c r="G172" s="518">
        <f>'DATA-Calendar'!P49</f>
        <v>0</v>
      </c>
      <c r="H172" s="518">
        <f>'DATA-Calendar'!P69</f>
        <v>0</v>
      </c>
      <c r="I172" s="518">
        <f>'DATA-Calendar'!P88</f>
        <v>0</v>
      </c>
      <c r="J172" s="518">
        <f>'DATA-Calendar'!P107</f>
        <v>0</v>
      </c>
      <c r="K172" s="518">
        <f>'DATA-Customers'!P26</f>
        <v>7467.977343781602</v>
      </c>
      <c r="L172" s="518">
        <f>'DATA-Population'!P9</f>
        <v>14548.657476602153</v>
      </c>
      <c r="M172" s="518">
        <f>'DATA-CDM'!P7</f>
        <v>15333.333333333334</v>
      </c>
      <c r="N172" s="519">
        <f>'DATA-GDP Qrtly'!Q81</f>
        <v>133.24181686481336</v>
      </c>
      <c r="O172" s="519">
        <f>'DATA-GDP Annual'!R7</f>
        <v>134.52850910550649</v>
      </c>
      <c r="P172" s="375">
        <f>'DATA-Employment'!P9</f>
        <v>186.4</v>
      </c>
      <c r="Q172" s="375">
        <f>'DATA-Employment'!P27</f>
        <v>182</v>
      </c>
      <c r="R172" s="375">
        <f>'DATA-Employment'!P45</f>
        <v>13.7</v>
      </c>
      <c r="S172" s="375">
        <f>'DATA-Employment'!P63</f>
        <v>14.8</v>
      </c>
      <c r="T172" s="513">
        <f t="shared" si="6"/>
        <v>14211432.447836667</v>
      </c>
      <c r="U172" s="40">
        <f t="shared" si="7"/>
        <v>267161.4478366673</v>
      </c>
      <c r="V172" s="5">
        <f t="shared" si="8"/>
        <v>1.9159226598268731E-2</v>
      </c>
      <c r="AD172">
        <f t="shared" si="9"/>
        <v>1.915922659826873</v>
      </c>
    </row>
    <row r="173" spans="1:30" ht="15" x14ac:dyDescent="0.25">
      <c r="A173" s="3">
        <v>38777</v>
      </c>
      <c r="B173" s="518">
        <f>'DATA-Purchased Power'!P9</f>
        <v>14286598</v>
      </c>
      <c r="C173" s="518">
        <f>'DATA-Degree Days'!P10</f>
        <v>486.4</v>
      </c>
      <c r="D173" s="518">
        <f>'DATA-Degree Days'!P30</f>
        <v>0</v>
      </c>
      <c r="E173" s="518">
        <f>'DATA-Calendar'!P10</f>
        <v>368</v>
      </c>
      <c r="F173" s="518">
        <f>'DATA-Calendar'!P30</f>
        <v>31</v>
      </c>
      <c r="G173" s="518">
        <f>'DATA-Calendar'!P50</f>
        <v>1</v>
      </c>
      <c r="H173" s="518">
        <f>'DATA-Calendar'!P70</f>
        <v>0</v>
      </c>
      <c r="I173" s="518">
        <f>'DATA-Calendar'!P89</f>
        <v>1</v>
      </c>
      <c r="J173" s="518">
        <f>'DATA-Calendar'!P108</f>
        <v>0</v>
      </c>
      <c r="K173" s="518">
        <f>'DATA-Customers'!P27</f>
        <v>7481</v>
      </c>
      <c r="L173" s="518">
        <f>'DATA-Population'!P10</f>
        <v>14561.427106311903</v>
      </c>
      <c r="M173" s="518">
        <f>'DATA-CDM'!P8</f>
        <v>23000</v>
      </c>
      <c r="N173" s="519">
        <f>'DATA-GDP Qrtly'!Q82</f>
        <v>133.74607120113396</v>
      </c>
      <c r="O173" s="519">
        <f>'DATA-GDP Annual'!R8</f>
        <v>134.80561580788986</v>
      </c>
      <c r="P173" s="375">
        <f>'DATA-Employment'!P10</f>
        <v>186.9</v>
      </c>
      <c r="Q173" s="375">
        <f>'DATA-Employment'!P28</f>
        <v>180.5</v>
      </c>
      <c r="R173" s="375">
        <f>'DATA-Employment'!P46</f>
        <v>13.6</v>
      </c>
      <c r="S173" s="375">
        <f>'DATA-Employment'!P64</f>
        <v>15.6</v>
      </c>
      <c r="T173" s="513">
        <f t="shared" si="6"/>
        <v>14546093.244742911</v>
      </c>
      <c r="U173" s="40">
        <f t="shared" si="7"/>
        <v>259495.24474291131</v>
      </c>
      <c r="V173" s="5">
        <f t="shared" si="8"/>
        <v>1.8163543535200704E-2</v>
      </c>
      <c r="AD173">
        <f t="shared" si="9"/>
        <v>1.8163543535200704</v>
      </c>
    </row>
    <row r="174" spans="1:30" ht="15" x14ac:dyDescent="0.25">
      <c r="A174" s="3">
        <v>38808</v>
      </c>
      <c r="B174" s="518">
        <f>'DATA-Purchased Power'!P10</f>
        <v>12746759</v>
      </c>
      <c r="C174" s="518">
        <f>'DATA-Degree Days'!P11</f>
        <v>314.60000000000002</v>
      </c>
      <c r="D174" s="518">
        <f>'DATA-Degree Days'!P31</f>
        <v>0</v>
      </c>
      <c r="E174" s="518">
        <f>'DATA-Calendar'!P11</f>
        <v>304</v>
      </c>
      <c r="F174" s="518">
        <f>'DATA-Calendar'!P31</f>
        <v>30</v>
      </c>
      <c r="G174" s="518">
        <f>'DATA-Calendar'!P51</f>
        <v>1</v>
      </c>
      <c r="H174" s="518">
        <f>'DATA-Calendar'!P71</f>
        <v>0</v>
      </c>
      <c r="I174" s="518">
        <f>'DATA-Calendar'!P90</f>
        <v>1</v>
      </c>
      <c r="J174" s="518">
        <f>'DATA-Calendar'!P109</f>
        <v>0</v>
      </c>
      <c r="K174" s="518">
        <f>'DATA-Customers'!P28</f>
        <v>7487.9934602690946</v>
      </c>
      <c r="L174" s="518">
        <f>'DATA-Population'!P11</f>
        <v>14574.207944165304</v>
      </c>
      <c r="M174" s="518">
        <f>'DATA-CDM'!P9</f>
        <v>30666.666666666668</v>
      </c>
      <c r="N174" s="519">
        <f>'DATA-GDP Qrtly'!Q83</f>
        <v>133.9072230470581</v>
      </c>
      <c r="O174" s="519">
        <f>'DATA-GDP Annual'!R9</f>
        <v>135.08329330470943</v>
      </c>
      <c r="P174" s="375">
        <f>'DATA-Employment'!P11</f>
        <v>188.6</v>
      </c>
      <c r="Q174" s="375">
        <f>'DATA-Employment'!P29</f>
        <v>182.9</v>
      </c>
      <c r="R174" s="375">
        <f>'DATA-Employment'!P47</f>
        <v>12.7</v>
      </c>
      <c r="S174" s="375">
        <f>'DATA-Employment'!P65</f>
        <v>14.1</v>
      </c>
      <c r="T174" s="513">
        <f t="shared" si="6"/>
        <v>13440408.816894647</v>
      </c>
      <c r="U174" s="40">
        <f t="shared" si="7"/>
        <v>693649.81689464673</v>
      </c>
      <c r="V174" s="5">
        <f t="shared" si="8"/>
        <v>5.4417739983524185E-2</v>
      </c>
      <c r="AD174">
        <f t="shared" si="9"/>
        <v>5.4417739983524189</v>
      </c>
    </row>
    <row r="175" spans="1:30" ht="15" x14ac:dyDescent="0.25">
      <c r="A175" s="3">
        <v>38838</v>
      </c>
      <c r="B175" s="518">
        <f>'DATA-Purchased Power'!P11</f>
        <v>13662946</v>
      </c>
      <c r="C175" s="518">
        <f>'DATA-Degree Days'!P12</f>
        <v>155.1</v>
      </c>
      <c r="D175" s="518">
        <f>'DATA-Degree Days'!P32</f>
        <v>28.3</v>
      </c>
      <c r="E175" s="518">
        <f>'DATA-Calendar'!P12</f>
        <v>352</v>
      </c>
      <c r="F175" s="518">
        <f>'DATA-Calendar'!P32</f>
        <v>31</v>
      </c>
      <c r="G175" s="518">
        <f>'DATA-Calendar'!P52</f>
        <v>1</v>
      </c>
      <c r="H175" s="518">
        <f>'DATA-Calendar'!P72</f>
        <v>0</v>
      </c>
      <c r="I175" s="518">
        <f>'DATA-Calendar'!P91</f>
        <v>1</v>
      </c>
      <c r="J175" s="518">
        <f>'DATA-Calendar'!P110</f>
        <v>0</v>
      </c>
      <c r="K175" s="518">
        <f>'DATA-Customers'!P29</f>
        <v>7494.9934582318847</v>
      </c>
      <c r="L175" s="518">
        <f>'DATA-Population'!P12</f>
        <v>14587</v>
      </c>
      <c r="M175" s="518">
        <f>'DATA-CDM'!P10</f>
        <v>38333.333333333336</v>
      </c>
      <c r="N175" s="519">
        <f>'DATA-GDP Qrtly'!Q84</f>
        <v>134.06856906629298</v>
      </c>
      <c r="O175" s="519">
        <f>'DATA-GDP Annual'!R10</f>
        <v>135.36154277170829</v>
      </c>
      <c r="P175" s="375">
        <f>'DATA-Employment'!P12</f>
        <v>191.9</v>
      </c>
      <c r="Q175" s="375">
        <f>'DATA-Employment'!P30</f>
        <v>188.9</v>
      </c>
      <c r="R175" s="375">
        <f>'DATA-Employment'!P48</f>
        <v>13.3</v>
      </c>
      <c r="S175" s="375">
        <f>'DATA-Employment'!P66</f>
        <v>13.9</v>
      </c>
      <c r="T175" s="513">
        <f t="shared" si="6"/>
        <v>14281229.55402511</v>
      </c>
      <c r="U175" s="40">
        <f t="shared" si="7"/>
        <v>618283.55402510986</v>
      </c>
      <c r="V175" s="5">
        <f t="shared" si="8"/>
        <v>4.5252579789535133E-2</v>
      </c>
      <c r="AD175">
        <f t="shared" si="9"/>
        <v>4.5252579789535137</v>
      </c>
    </row>
    <row r="176" spans="1:30" ht="15" x14ac:dyDescent="0.25">
      <c r="A176" s="3">
        <v>38869</v>
      </c>
      <c r="B176" s="518">
        <f>'DATA-Purchased Power'!P12</f>
        <v>15421790</v>
      </c>
      <c r="C176" s="518">
        <f>'DATA-Degree Days'!P13</f>
        <v>16.3</v>
      </c>
      <c r="D176" s="518">
        <f>'DATA-Degree Days'!P33</f>
        <v>56.8</v>
      </c>
      <c r="E176" s="518">
        <f>'DATA-Calendar'!P13</f>
        <v>352</v>
      </c>
      <c r="F176" s="518">
        <f>'DATA-Calendar'!P33</f>
        <v>30</v>
      </c>
      <c r="G176" s="518">
        <f>'DATA-Calendar'!P53</f>
        <v>0</v>
      </c>
      <c r="H176" s="518">
        <f>'DATA-Calendar'!P73</f>
        <v>0</v>
      </c>
      <c r="I176" s="518">
        <f>'DATA-Calendar'!P92</f>
        <v>0</v>
      </c>
      <c r="J176" s="518">
        <f>'DATA-Calendar'!P111</f>
        <v>0</v>
      </c>
      <c r="K176" s="518">
        <f>'DATA-Customers'!P30</f>
        <v>7502</v>
      </c>
      <c r="L176" s="518">
        <f>'DATA-Population'!P13</f>
        <v>14600.191828641176</v>
      </c>
      <c r="M176" s="518">
        <f>'DATA-CDM'!P11</f>
        <v>46000</v>
      </c>
      <c r="N176" s="519">
        <f>'DATA-GDP Qrtly'!Q85</f>
        <v>134.23010949279976</v>
      </c>
      <c r="O176" s="519">
        <f>'DATA-GDP Annual'!R11</f>
        <v>135.64036538705133</v>
      </c>
      <c r="P176" s="375">
        <f>'DATA-Employment'!P13</f>
        <v>193.5</v>
      </c>
      <c r="Q176" s="375">
        <f>'DATA-Employment'!P31</f>
        <v>194.1</v>
      </c>
      <c r="R176" s="375">
        <f>'DATA-Employment'!P49</f>
        <v>13.1</v>
      </c>
      <c r="S176" s="375">
        <f>'DATA-Employment'!P67</f>
        <v>12.5</v>
      </c>
      <c r="T176" s="513">
        <f t="shared" si="6"/>
        <v>15142236.020961825</v>
      </c>
      <c r="U176" s="40">
        <f t="shared" si="7"/>
        <v>-279553.9790381752</v>
      </c>
      <c r="V176" s="5">
        <f t="shared" si="8"/>
        <v>-1.8127206960941316E-2</v>
      </c>
      <c r="AD176">
        <f t="shared" si="9"/>
        <v>1.8127206960941316</v>
      </c>
    </row>
    <row r="177" spans="1:30" ht="15" x14ac:dyDescent="0.25">
      <c r="A177" s="3">
        <v>38899</v>
      </c>
      <c r="B177" s="518">
        <f>'DATA-Purchased Power'!P13</f>
        <v>19240751</v>
      </c>
      <c r="C177" s="518">
        <f>'DATA-Degree Days'!P14</f>
        <v>0</v>
      </c>
      <c r="D177" s="518">
        <f>'DATA-Degree Days'!P34</f>
        <v>161.19999999999999</v>
      </c>
      <c r="E177" s="518">
        <f>'DATA-Calendar'!P14</f>
        <v>320</v>
      </c>
      <c r="F177" s="518">
        <f>'DATA-Calendar'!P34</f>
        <v>31</v>
      </c>
      <c r="G177" s="518">
        <f>'DATA-Calendar'!P54</f>
        <v>0</v>
      </c>
      <c r="H177" s="518">
        <f>'DATA-Calendar'!P74</f>
        <v>1</v>
      </c>
      <c r="I177" s="518">
        <f>'DATA-Calendar'!P93</f>
        <v>0</v>
      </c>
      <c r="J177" s="518">
        <f>'DATA-Calendar'!P112</f>
        <v>0</v>
      </c>
      <c r="K177" s="518">
        <f>'DATA-Customers'!P31</f>
        <v>7528.9034046394354</v>
      </c>
      <c r="L177" s="518">
        <f>'DATA-Population'!P14</f>
        <v>14613.395587380584</v>
      </c>
      <c r="M177" s="518">
        <f>'DATA-CDM'!P12</f>
        <v>53666.666666666664</v>
      </c>
      <c r="N177" s="519">
        <f>'DATA-GDP Qrtly'!Q86</f>
        <v>134.18661326846785</v>
      </c>
      <c r="O177" s="519">
        <f>'DATA-GDP Annual'!R12</f>
        <v>135.9197623313303</v>
      </c>
      <c r="P177" s="375">
        <f>'DATA-Employment'!P14</f>
        <v>194.7</v>
      </c>
      <c r="Q177" s="375">
        <f>'DATA-Employment'!P32</f>
        <v>199.3</v>
      </c>
      <c r="R177" s="375">
        <f>'DATA-Employment'!P50</f>
        <v>13.4</v>
      </c>
      <c r="S177" s="375">
        <f>'DATA-Employment'!P68</f>
        <v>12.8</v>
      </c>
      <c r="T177" s="513">
        <f t="shared" si="6"/>
        <v>19610522.981652245</v>
      </c>
      <c r="U177" s="40">
        <f t="shared" si="7"/>
        <v>369771.98165224493</v>
      </c>
      <c r="V177" s="5">
        <f t="shared" si="8"/>
        <v>1.9218167817474742E-2</v>
      </c>
      <c r="AD177">
        <f t="shared" si="9"/>
        <v>1.9218167817474743</v>
      </c>
    </row>
    <row r="178" spans="1:30" ht="15" x14ac:dyDescent="0.25">
      <c r="A178" s="3">
        <v>38930</v>
      </c>
      <c r="B178" s="518">
        <f>'DATA-Purchased Power'!P14</f>
        <v>18721230</v>
      </c>
      <c r="C178" s="518">
        <f>'DATA-Degree Days'!P15</f>
        <v>4.2</v>
      </c>
      <c r="D178" s="518">
        <f>'DATA-Degree Days'!P35</f>
        <v>97.7</v>
      </c>
      <c r="E178" s="518">
        <f>'DATA-Calendar'!P15</f>
        <v>352</v>
      </c>
      <c r="F178" s="518">
        <f>'DATA-Calendar'!P35</f>
        <v>31</v>
      </c>
      <c r="G178" s="518">
        <f>'DATA-Calendar'!P55</f>
        <v>0</v>
      </c>
      <c r="H178" s="518">
        <f>'DATA-Calendar'!P75</f>
        <v>1</v>
      </c>
      <c r="I178" s="518">
        <f>'DATA-Calendar'!P94</f>
        <v>0</v>
      </c>
      <c r="J178" s="518">
        <f>'DATA-Calendar'!P113</f>
        <v>0</v>
      </c>
      <c r="K178" s="518">
        <f>'DATA-Customers'!P32</f>
        <v>7555.9032893083549</v>
      </c>
      <c r="L178" s="518">
        <f>'DATA-Population'!P15</f>
        <v>14626.611287007268</v>
      </c>
      <c r="M178" s="518">
        <f>'DATA-CDM'!P13</f>
        <v>61333.333333333328</v>
      </c>
      <c r="N178" s="519">
        <f>'DATA-GDP Qrtly'!Q87</f>
        <v>134.14313113874957</v>
      </c>
      <c r="O178" s="519">
        <f>'DATA-GDP Annual'!R13</f>
        <v>136.19973478756879</v>
      </c>
      <c r="P178" s="375">
        <f>'DATA-Employment'!P15</f>
        <v>197.4</v>
      </c>
      <c r="Q178" s="375">
        <f>'DATA-Employment'!P33</f>
        <v>203.1</v>
      </c>
      <c r="R178" s="375">
        <f>'DATA-Employment'!P51</f>
        <v>12.9</v>
      </c>
      <c r="S178" s="375">
        <f>'DATA-Employment'!P69</f>
        <v>12.6</v>
      </c>
      <c r="T178" s="513">
        <f t="shared" si="6"/>
        <v>17550383.656765241</v>
      </c>
      <c r="U178" s="40">
        <f t="shared" si="7"/>
        <v>-1170846.3432347588</v>
      </c>
      <c r="V178" s="5">
        <f t="shared" si="8"/>
        <v>-6.2541101371798691E-2</v>
      </c>
      <c r="AD178">
        <f t="shared" si="9"/>
        <v>6.2541101371798691</v>
      </c>
    </row>
    <row r="179" spans="1:30" ht="15" x14ac:dyDescent="0.25">
      <c r="A179" s="3">
        <v>38961</v>
      </c>
      <c r="B179" s="518">
        <f>'DATA-Purchased Power'!P15</f>
        <v>14886931</v>
      </c>
      <c r="C179" s="518">
        <f>'DATA-Degree Days'!P16</f>
        <v>45.9</v>
      </c>
      <c r="D179" s="518">
        <f>'DATA-Degree Days'!P36</f>
        <v>17</v>
      </c>
      <c r="E179" s="518">
        <f>'DATA-Calendar'!P16</f>
        <v>320</v>
      </c>
      <c r="F179" s="518">
        <f>'DATA-Calendar'!P36</f>
        <v>30</v>
      </c>
      <c r="G179" s="518">
        <f>'DATA-Calendar'!P56</f>
        <v>1</v>
      </c>
      <c r="H179" s="518">
        <f>'DATA-Calendar'!P76</f>
        <v>1</v>
      </c>
      <c r="I179" s="518">
        <f>'DATA-Calendar'!P95</f>
        <v>0</v>
      </c>
      <c r="J179" s="518">
        <f>'DATA-Calendar'!P114</f>
        <v>1</v>
      </c>
      <c r="K179" s="518">
        <f>'DATA-Customers'!P33</f>
        <v>7583</v>
      </c>
      <c r="L179" s="518">
        <f>'DATA-Population'!P16</f>
        <v>14639.838938320034</v>
      </c>
      <c r="M179" s="518">
        <f>'DATA-CDM'!P14</f>
        <v>69000</v>
      </c>
      <c r="N179" s="519">
        <f>'DATA-GDP Qrtly'!Q88</f>
        <v>134.09966309907765</v>
      </c>
      <c r="O179" s="519">
        <f>'DATA-GDP Annual'!R14</f>
        <v>136.48028394122719</v>
      </c>
      <c r="P179" s="375">
        <f>'DATA-Employment'!P16</f>
        <v>196.7</v>
      </c>
      <c r="Q179" s="375">
        <f>'DATA-Employment'!P34</f>
        <v>202.1</v>
      </c>
      <c r="R179" s="375">
        <f>'DATA-Employment'!P52</f>
        <v>13.3</v>
      </c>
      <c r="S179" s="375">
        <f>'DATA-Employment'!P70</f>
        <v>12.7</v>
      </c>
      <c r="T179" s="513">
        <f t="shared" si="6"/>
        <v>14577456.785957176</v>
      </c>
      <c r="U179" s="40">
        <f t="shared" si="7"/>
        <v>-309474.21404282376</v>
      </c>
      <c r="V179" s="5">
        <f t="shared" si="8"/>
        <v>-2.0788315203638934E-2</v>
      </c>
      <c r="AD179">
        <f t="shared" si="9"/>
        <v>2.0788315203638934</v>
      </c>
    </row>
    <row r="180" spans="1:30" ht="15" x14ac:dyDescent="0.25">
      <c r="A180" s="3">
        <v>38991</v>
      </c>
      <c r="B180" s="518">
        <f>'DATA-Purchased Power'!P16</f>
        <v>14675076</v>
      </c>
      <c r="C180" s="518">
        <f>'DATA-Degree Days'!P17</f>
        <v>234.4</v>
      </c>
      <c r="D180" s="518">
        <f>'DATA-Degree Days'!P37</f>
        <v>0.4</v>
      </c>
      <c r="E180" s="518">
        <f>'DATA-Calendar'!P17</f>
        <v>336</v>
      </c>
      <c r="F180" s="518">
        <f>'DATA-Calendar'!P37</f>
        <v>31</v>
      </c>
      <c r="G180" s="518">
        <f>'DATA-Calendar'!P57</f>
        <v>1</v>
      </c>
      <c r="H180" s="518">
        <f>'DATA-Calendar'!P77</f>
        <v>0</v>
      </c>
      <c r="I180" s="518">
        <f>'DATA-Calendar'!P96</f>
        <v>0</v>
      </c>
      <c r="J180" s="518">
        <f>'DATA-Calendar'!P115</f>
        <v>1</v>
      </c>
      <c r="K180" s="518">
        <f>'DATA-Customers'!P34</f>
        <v>7589.3280510744071</v>
      </c>
      <c r="L180" s="518">
        <f>'DATA-Population'!P17</f>
        <v>14653.078552127447</v>
      </c>
      <c r="M180" s="518">
        <f>'DATA-CDM'!P15</f>
        <v>76666.666666666672</v>
      </c>
      <c r="N180" s="519">
        <f>'DATA-GDP Qrtly'!Q89</f>
        <v>134.43716897503936</v>
      </c>
      <c r="O180" s="519">
        <f>'DATA-GDP Annual'!R15</f>
        <v>136.76141098020776</v>
      </c>
      <c r="P180" s="375">
        <f>'DATA-Employment'!P17</f>
        <v>195.3</v>
      </c>
      <c r="Q180" s="375">
        <f>'DATA-Employment'!P35</f>
        <v>200</v>
      </c>
      <c r="R180" s="375">
        <f>'DATA-Employment'!P53</f>
        <v>13.3</v>
      </c>
      <c r="S180" s="375">
        <f>'DATA-Employment'!P71</f>
        <v>11.6</v>
      </c>
      <c r="T180" s="513">
        <f t="shared" ref="T180:T243" si="10">$X$18+C180*$X$19+D180*$X$20+O180*$X$21+I180*$X$22+H180*$X$23+M180*$X$24+F180*$X$25</f>
        <v>14624948.606150925</v>
      </c>
      <c r="U180" s="40">
        <f t="shared" ref="U180:U243" si="11">T180-B180</f>
        <v>-50127.393849074841</v>
      </c>
      <c r="V180" s="5">
        <f t="shared" ref="V180:V243" si="12">U180/B180</f>
        <v>-3.4158183473172363E-3</v>
      </c>
      <c r="AD180">
        <f t="shared" ref="AD180:AD243" si="13">ABS(B180-T180)/B180*100</f>
        <v>0.34158183473172365</v>
      </c>
    </row>
    <row r="181" spans="1:30" ht="15" x14ac:dyDescent="0.25">
      <c r="A181" s="3">
        <v>39022</v>
      </c>
      <c r="B181" s="518">
        <f>'DATA-Purchased Power'!P17</f>
        <v>14306931</v>
      </c>
      <c r="C181" s="518">
        <f>'DATA-Degree Days'!P18</f>
        <v>341.9</v>
      </c>
      <c r="D181" s="518">
        <f>'DATA-Degree Days'!P38</f>
        <v>0</v>
      </c>
      <c r="E181" s="518">
        <f>'DATA-Calendar'!P18</f>
        <v>352</v>
      </c>
      <c r="F181" s="518">
        <f>'DATA-Calendar'!P38</f>
        <v>30</v>
      </c>
      <c r="G181" s="518">
        <f>'DATA-Calendar'!P58</f>
        <v>1</v>
      </c>
      <c r="H181" s="518">
        <f>'DATA-Calendar'!P78</f>
        <v>0</v>
      </c>
      <c r="I181" s="518">
        <f>'DATA-Calendar'!P97</f>
        <v>0</v>
      </c>
      <c r="J181" s="518">
        <f>'DATA-Calendar'!P116</f>
        <v>1</v>
      </c>
      <c r="K181" s="518">
        <f>'DATA-Customers'!P35</f>
        <v>7595.6613829387916</v>
      </c>
      <c r="L181" s="518">
        <f>'DATA-Population'!P18</f>
        <v>14666.330139247853</v>
      </c>
      <c r="M181" s="518">
        <f>'DATA-CDM'!P16</f>
        <v>84333.333333333343</v>
      </c>
      <c r="N181" s="519">
        <f>'DATA-GDP Qrtly'!Q90</f>
        <v>134.77552429546407</v>
      </c>
      <c r="O181" s="519">
        <f>'DATA-GDP Annual'!R16</f>
        <v>137.04311709485967</v>
      </c>
      <c r="P181" s="375">
        <f>'DATA-Employment'!P18</f>
        <v>190.2</v>
      </c>
      <c r="Q181" s="375">
        <f>'DATA-Employment'!P36</f>
        <v>193.5</v>
      </c>
      <c r="R181" s="375">
        <f>'DATA-Employment'!P54</f>
        <v>13.8</v>
      </c>
      <c r="S181" s="375">
        <f>'DATA-Employment'!P72</f>
        <v>11.8</v>
      </c>
      <c r="T181" s="513">
        <f t="shared" si="10"/>
        <v>14534512.230364352</v>
      </c>
      <c r="U181" s="40">
        <f t="shared" si="11"/>
        <v>227581.23036435246</v>
      </c>
      <c r="V181" s="5">
        <f t="shared" si="12"/>
        <v>1.5907061435073144E-2</v>
      </c>
      <c r="AD181">
        <f t="shared" si="13"/>
        <v>1.5907061435073144</v>
      </c>
    </row>
    <row r="182" spans="1:30" ht="15" x14ac:dyDescent="0.25">
      <c r="A182" s="3">
        <v>39052</v>
      </c>
      <c r="B182" s="518">
        <f>'DATA-Purchased Power'!P18</f>
        <v>15491961</v>
      </c>
      <c r="C182" s="518">
        <f>'DATA-Degree Days'!P19</f>
        <v>445.2</v>
      </c>
      <c r="D182" s="518">
        <f>'DATA-Degree Days'!P39</f>
        <v>0</v>
      </c>
      <c r="E182" s="518">
        <f>'DATA-Calendar'!P19</f>
        <v>304</v>
      </c>
      <c r="F182" s="518">
        <f>'DATA-Calendar'!P39</f>
        <v>31</v>
      </c>
      <c r="G182" s="518">
        <f>'DATA-Calendar'!P59</f>
        <v>0</v>
      </c>
      <c r="H182" s="518">
        <f>'DATA-Calendar'!P79</f>
        <v>0</v>
      </c>
      <c r="I182" s="518">
        <f>'DATA-Calendar'!P98</f>
        <v>0</v>
      </c>
      <c r="J182" s="518">
        <f>'DATA-Calendar'!P117</f>
        <v>0</v>
      </c>
      <c r="K182" s="518">
        <f>'DATA-Customers'!P36</f>
        <v>7602</v>
      </c>
      <c r="L182" s="518">
        <f>'DATA-Population'!P19</f>
        <v>14679.59371050938</v>
      </c>
      <c r="M182" s="518">
        <f>'DATA-CDM'!P17</f>
        <v>92000.000000000015</v>
      </c>
      <c r="N182" s="519">
        <f>'DATA-GDP Qrtly'!Q91</f>
        <v>135.11473119825797</v>
      </c>
      <c r="O182" s="519">
        <f>'DATA-GDP Annual'!R17</f>
        <v>137.32540347798411</v>
      </c>
      <c r="P182" s="375">
        <f>'DATA-Employment'!P19</f>
        <v>188.9</v>
      </c>
      <c r="Q182" s="375">
        <f>'DATA-Employment'!P37</f>
        <v>190.9</v>
      </c>
      <c r="R182" s="375">
        <f>'DATA-Employment'!P55</f>
        <v>13.2</v>
      </c>
      <c r="S182" s="375">
        <f>'DATA-Employment'!P73</f>
        <v>11.7</v>
      </c>
      <c r="T182" s="513">
        <f t="shared" si="10"/>
        <v>15412526.580172019</v>
      </c>
      <c r="U182" s="40">
        <f t="shared" si="11"/>
        <v>-79434.419827980921</v>
      </c>
      <c r="V182" s="5">
        <f t="shared" si="12"/>
        <v>-5.1274606118606241E-3</v>
      </c>
      <c r="AD182">
        <f t="shared" si="13"/>
        <v>0.51274606118606236</v>
      </c>
    </row>
    <row r="183" spans="1:30" ht="15" x14ac:dyDescent="0.25">
      <c r="A183" s="3">
        <v>39083</v>
      </c>
      <c r="B183" s="518">
        <f>'DATA-Purchased Power'!Q7</f>
        <v>15851415</v>
      </c>
      <c r="C183" s="518">
        <f>'DATA-Degree Days'!Q8</f>
        <v>578</v>
      </c>
      <c r="D183" s="518">
        <f>'DATA-Degree Days'!Q28</f>
        <v>0</v>
      </c>
      <c r="E183" s="518">
        <f>'DATA-Calendar'!Q8</f>
        <v>352</v>
      </c>
      <c r="F183" s="518">
        <f>'DATA-Calendar'!Q28</f>
        <v>31</v>
      </c>
      <c r="G183" s="518">
        <f>'DATA-Calendar'!Q48</f>
        <v>0</v>
      </c>
      <c r="H183" s="518">
        <f>'DATA-Calendar'!Q68</f>
        <v>0</v>
      </c>
      <c r="I183" s="518">
        <f>'DATA-Calendar'!Q87</f>
        <v>0</v>
      </c>
      <c r="J183" s="518">
        <f>'DATA-Calendar'!Q106</f>
        <v>0</v>
      </c>
      <c r="K183" s="518">
        <f>'DATA-Customers'!Q25</f>
        <v>7637.5006240298508</v>
      </c>
      <c r="L183" s="518">
        <f>'DATA-Population'!Q8</f>
        <v>14692.869276749945</v>
      </c>
      <c r="M183" s="518">
        <f>'DATA-CDM'!Q6</f>
        <v>90769.23076923078</v>
      </c>
      <c r="N183" s="519">
        <f>'DATA-GDP Qrtly'!R80</f>
        <v>135.36753276297941</v>
      </c>
      <c r="O183" s="519">
        <f>'DATA-GDP Annual'!S6</f>
        <v>137.552207546647</v>
      </c>
      <c r="P183" s="375">
        <f>'DATA-Employment'!Q8</f>
        <v>188.1</v>
      </c>
      <c r="Q183" s="375">
        <f>'DATA-Employment'!Q26</f>
        <v>186.5</v>
      </c>
      <c r="R183" s="375">
        <f>'DATA-Employment'!Q44</f>
        <v>12.9</v>
      </c>
      <c r="S183" s="375">
        <f>'DATA-Employment'!Q62</f>
        <v>13.1</v>
      </c>
      <c r="T183" s="513">
        <f t="shared" si="10"/>
        <v>15927591.719071543</v>
      </c>
      <c r="U183" s="40">
        <f t="shared" si="11"/>
        <v>76176.719071542844</v>
      </c>
      <c r="V183" s="5">
        <f t="shared" si="12"/>
        <v>4.8056731258088216E-3</v>
      </c>
      <c r="AD183">
        <f t="shared" si="13"/>
        <v>0.48056731258088214</v>
      </c>
    </row>
    <row r="184" spans="1:30" ht="15" x14ac:dyDescent="0.25">
      <c r="A184" s="3">
        <v>39114</v>
      </c>
      <c r="B184" s="518">
        <f>'DATA-Purchased Power'!Q8</f>
        <v>15178391</v>
      </c>
      <c r="C184" s="518">
        <f>'DATA-Degree Days'!Q9</f>
        <v>657.8</v>
      </c>
      <c r="D184" s="518">
        <f>'DATA-Degree Days'!Q29</f>
        <v>0</v>
      </c>
      <c r="E184" s="518">
        <f>'DATA-Calendar'!Q9</f>
        <v>320</v>
      </c>
      <c r="F184" s="518">
        <f>'DATA-Calendar'!Q29</f>
        <v>28</v>
      </c>
      <c r="G184" s="518">
        <f>'DATA-Calendar'!Q49</f>
        <v>0</v>
      </c>
      <c r="H184" s="518">
        <f>'DATA-Calendar'!Q69</f>
        <v>0</v>
      </c>
      <c r="I184" s="518">
        <f>'DATA-Calendar'!Q88</f>
        <v>0</v>
      </c>
      <c r="J184" s="518">
        <f>'DATA-Calendar'!Q107</f>
        <v>0</v>
      </c>
      <c r="K184" s="518">
        <f>'DATA-Customers'!Q26</f>
        <v>7673.1670326304074</v>
      </c>
      <c r="L184" s="518">
        <f>'DATA-Population'!Q9</f>
        <v>14706.156848817272</v>
      </c>
      <c r="M184" s="518">
        <f>'DATA-CDM'!Q7</f>
        <v>89538.461538461546</v>
      </c>
      <c r="N184" s="519">
        <f>'DATA-GDP Qrtly'!R81</f>
        <v>135.62080732298833</v>
      </c>
      <c r="O184" s="519">
        <f>'DATA-GDP Annual'!S7</f>
        <v>137.77938620066888</v>
      </c>
      <c r="P184" s="375">
        <f>'DATA-Employment'!Q9</f>
        <v>189.8</v>
      </c>
      <c r="Q184" s="375">
        <f>'DATA-Employment'!Q27</f>
        <v>185.5</v>
      </c>
      <c r="R184" s="375">
        <f>'DATA-Employment'!Q45</f>
        <v>13.1</v>
      </c>
      <c r="S184" s="375">
        <f>'DATA-Employment'!Q63</f>
        <v>14.1</v>
      </c>
      <c r="T184" s="513">
        <f t="shared" si="10"/>
        <v>14791580.317507453</v>
      </c>
      <c r="U184" s="40">
        <f t="shared" si="11"/>
        <v>-386810.68249254674</v>
      </c>
      <c r="V184" s="5">
        <f t="shared" si="12"/>
        <v>-2.5484300838774461E-2</v>
      </c>
      <c r="AD184">
        <f t="shared" si="13"/>
        <v>2.5484300838774461</v>
      </c>
    </row>
    <row r="185" spans="1:30" ht="15" x14ac:dyDescent="0.25">
      <c r="A185" s="3">
        <v>39142</v>
      </c>
      <c r="B185" s="518">
        <f>'DATA-Purchased Power'!Q9</f>
        <v>15217726</v>
      </c>
      <c r="C185" s="518">
        <f>'DATA-Degree Days'!Q10</f>
        <v>514.20000000000005</v>
      </c>
      <c r="D185" s="518">
        <f>'DATA-Degree Days'!Q30</f>
        <v>0</v>
      </c>
      <c r="E185" s="518">
        <f>'DATA-Calendar'!Q10</f>
        <v>352</v>
      </c>
      <c r="F185" s="518">
        <f>'DATA-Calendar'!Q30</f>
        <v>31</v>
      </c>
      <c r="G185" s="518">
        <f>'DATA-Calendar'!Q50</f>
        <v>1</v>
      </c>
      <c r="H185" s="518">
        <f>'DATA-Calendar'!Q70</f>
        <v>0</v>
      </c>
      <c r="I185" s="518">
        <f>'DATA-Calendar'!Q89</f>
        <v>1</v>
      </c>
      <c r="J185" s="518">
        <f>'DATA-Calendar'!Q108</f>
        <v>0</v>
      </c>
      <c r="K185" s="518">
        <f>'DATA-Customers'!Q27</f>
        <v>7709</v>
      </c>
      <c r="L185" s="518">
        <f>'DATA-Population'!Q10</f>
        <v>14719.456437568891</v>
      </c>
      <c r="M185" s="518">
        <f>'DATA-CDM'!Q8</f>
        <v>88307.692307692312</v>
      </c>
      <c r="N185" s="519">
        <f>'DATA-GDP Qrtly'!R82</f>
        <v>135.87455576326548</v>
      </c>
      <c r="O185" s="519">
        <f>'DATA-GDP Annual'!S8</f>
        <v>138.00694005870795</v>
      </c>
      <c r="P185" s="375">
        <f>'DATA-Employment'!Q10</f>
        <v>192</v>
      </c>
      <c r="Q185" s="375">
        <f>'DATA-Employment'!Q28</f>
        <v>185.6</v>
      </c>
      <c r="R185" s="375">
        <f>'DATA-Employment'!Q46</f>
        <v>13.2</v>
      </c>
      <c r="S185" s="375">
        <f>'DATA-Employment'!Q64</f>
        <v>15</v>
      </c>
      <c r="T185" s="513">
        <f t="shared" si="10"/>
        <v>14837401.989596691</v>
      </c>
      <c r="U185" s="40">
        <f t="shared" si="11"/>
        <v>-380324.01040330902</v>
      </c>
      <c r="V185" s="5">
        <f t="shared" si="12"/>
        <v>-2.4992170998696456E-2</v>
      </c>
      <c r="AD185">
        <f t="shared" si="13"/>
        <v>2.4992170998696457</v>
      </c>
    </row>
    <row r="186" spans="1:30" ht="15" x14ac:dyDescent="0.25">
      <c r="A186" s="3">
        <v>39173</v>
      </c>
      <c r="B186" s="518">
        <f>'DATA-Purchased Power'!Q10</f>
        <v>13669243</v>
      </c>
      <c r="C186" s="518">
        <f>'DATA-Degree Days'!Q11</f>
        <v>362.1</v>
      </c>
      <c r="D186" s="518">
        <f>'DATA-Degree Days'!Q31</f>
        <v>0</v>
      </c>
      <c r="E186" s="518">
        <f>'DATA-Calendar'!Q11</f>
        <v>320</v>
      </c>
      <c r="F186" s="518">
        <f>'DATA-Calendar'!Q31</f>
        <v>30</v>
      </c>
      <c r="G186" s="518">
        <f>'DATA-Calendar'!Q51</f>
        <v>1</v>
      </c>
      <c r="H186" s="518">
        <f>'DATA-Calendar'!Q71</f>
        <v>0</v>
      </c>
      <c r="I186" s="518">
        <f>'DATA-Calendar'!Q90</f>
        <v>1</v>
      </c>
      <c r="J186" s="518">
        <f>'DATA-Calendar'!Q109</f>
        <v>0</v>
      </c>
      <c r="K186" s="518">
        <f>'DATA-Customers'!Q28</f>
        <v>7707.9998702534376</v>
      </c>
      <c r="L186" s="518">
        <f>'DATA-Population'!Q11</f>
        <v>14732.768053872152</v>
      </c>
      <c r="M186" s="518">
        <f>'DATA-CDM'!Q9</f>
        <v>87076.923076923078</v>
      </c>
      <c r="N186" s="519">
        <f>'DATA-GDP Qrtly'!R83</f>
        <v>136.32193992838455</v>
      </c>
      <c r="O186" s="519">
        <f>'DATA-GDP Annual'!S9</f>
        <v>138.23486974044414</v>
      </c>
      <c r="P186" s="375">
        <f>'DATA-Employment'!Q11</f>
        <v>195.1</v>
      </c>
      <c r="Q186" s="375">
        <f>'DATA-Employment'!Q29</f>
        <v>190</v>
      </c>
      <c r="R186" s="375">
        <f>'DATA-Employment'!Q47</f>
        <v>13.4</v>
      </c>
      <c r="S186" s="375">
        <f>'DATA-Employment'!Q65</f>
        <v>14.6</v>
      </c>
      <c r="T186" s="513">
        <f t="shared" si="10"/>
        <v>13818643.524720373</v>
      </c>
      <c r="U186" s="40">
        <f t="shared" si="11"/>
        <v>149400.52472037263</v>
      </c>
      <c r="V186" s="5">
        <f t="shared" si="12"/>
        <v>1.0929685332272799E-2</v>
      </c>
      <c r="AD186">
        <f t="shared" si="13"/>
        <v>1.0929685332272798</v>
      </c>
    </row>
    <row r="187" spans="1:30" ht="15" x14ac:dyDescent="0.25">
      <c r="A187" s="3">
        <v>39203</v>
      </c>
      <c r="B187" s="518">
        <f>'DATA-Purchased Power'!Q11</f>
        <v>13835998</v>
      </c>
      <c r="C187" s="518">
        <f>'DATA-Degree Days'!Q12</f>
        <v>157.9</v>
      </c>
      <c r="D187" s="518">
        <f>'DATA-Degree Days'!Q32</f>
        <v>13.6</v>
      </c>
      <c r="E187" s="518">
        <f>'DATA-Calendar'!Q12</f>
        <v>352</v>
      </c>
      <c r="F187" s="518">
        <f>'DATA-Calendar'!Q32</f>
        <v>31</v>
      </c>
      <c r="G187" s="518">
        <f>'DATA-Calendar'!Q52</f>
        <v>1</v>
      </c>
      <c r="H187" s="518">
        <f>'DATA-Calendar'!Q72</f>
        <v>0</v>
      </c>
      <c r="I187" s="518">
        <f>'DATA-Calendar'!Q91</f>
        <v>1</v>
      </c>
      <c r="J187" s="518">
        <f>'DATA-Calendar'!Q110</f>
        <v>0</v>
      </c>
      <c r="K187" s="518">
        <f>'DATA-Customers'!Q29</f>
        <v>7706.9998702590492</v>
      </c>
      <c r="L187" s="518">
        <f>'DATA-Population'!Q12</f>
        <v>14746.091708604234</v>
      </c>
      <c r="M187" s="518">
        <f>'DATA-CDM'!Q10</f>
        <v>85846.153846153844</v>
      </c>
      <c r="N187" s="519">
        <f>'DATA-GDP Qrtly'!R84</f>
        <v>136.77079716246843</v>
      </c>
      <c r="O187" s="519">
        <f>'DATA-GDP Annual'!S10</f>
        <v>138.46317586658083</v>
      </c>
      <c r="P187" s="375">
        <f>'DATA-Employment'!Q12</f>
        <v>197.1</v>
      </c>
      <c r="Q187" s="375">
        <f>'DATA-Employment'!Q30</f>
        <v>194.8</v>
      </c>
      <c r="R187" s="375">
        <f>'DATA-Employment'!Q48</f>
        <v>12.4</v>
      </c>
      <c r="S187" s="375">
        <f>'DATA-Employment'!Q66</f>
        <v>13.1</v>
      </c>
      <c r="T187" s="513">
        <f t="shared" si="10"/>
        <v>14026019.404028425</v>
      </c>
      <c r="U187" s="40">
        <f t="shared" si="11"/>
        <v>190021.40402842499</v>
      </c>
      <c r="V187" s="5">
        <f t="shared" si="12"/>
        <v>1.3733841536289973E-2</v>
      </c>
      <c r="AD187">
        <f t="shared" si="13"/>
        <v>1.3733841536289972</v>
      </c>
    </row>
    <row r="188" spans="1:30" ht="15" x14ac:dyDescent="0.25">
      <c r="A188" s="3">
        <v>39234</v>
      </c>
      <c r="B188" s="518">
        <f>'DATA-Purchased Power'!Q12</f>
        <v>16594307</v>
      </c>
      <c r="C188" s="518">
        <f>'DATA-Degree Days'!Q13</f>
        <v>10.9</v>
      </c>
      <c r="D188" s="518">
        <f>'DATA-Degree Days'!Q33</f>
        <v>81.7</v>
      </c>
      <c r="E188" s="518">
        <f>'DATA-Calendar'!Q13</f>
        <v>336</v>
      </c>
      <c r="F188" s="518">
        <f>'DATA-Calendar'!Q33</f>
        <v>30</v>
      </c>
      <c r="G188" s="518">
        <f>'DATA-Calendar'!Q53</f>
        <v>0</v>
      </c>
      <c r="H188" s="518">
        <f>'DATA-Calendar'!Q73</f>
        <v>0</v>
      </c>
      <c r="I188" s="518">
        <f>'DATA-Calendar'!Q92</f>
        <v>0</v>
      </c>
      <c r="J188" s="518">
        <f>'DATA-Calendar'!Q111</f>
        <v>0</v>
      </c>
      <c r="K188" s="518">
        <f>'DATA-Customers'!Q30</f>
        <v>7706</v>
      </c>
      <c r="L188" s="518">
        <f>'DATA-Population'!Q13</f>
        <v>14759.427412652152</v>
      </c>
      <c r="M188" s="518">
        <f>'DATA-CDM'!Q11</f>
        <v>84615.38461538461</v>
      </c>
      <c r="N188" s="519">
        <f>'DATA-GDP Qrtly'!R85</f>
        <v>137.221132315783</v>
      </c>
      <c r="O188" s="519">
        <f>'DATA-GDP Annual'!S11</f>
        <v>138.69185905884657</v>
      </c>
      <c r="P188" s="375">
        <f>'DATA-Employment'!Q13</f>
        <v>195.6</v>
      </c>
      <c r="Q188" s="375">
        <f>'DATA-Employment'!Q31</f>
        <v>197.3</v>
      </c>
      <c r="R188" s="375">
        <f>'DATA-Employment'!Q49</f>
        <v>13.5</v>
      </c>
      <c r="S188" s="375">
        <f>'DATA-Employment'!Q67</f>
        <v>12.9</v>
      </c>
      <c r="T188" s="513">
        <f t="shared" si="10"/>
        <v>16173234.596314093</v>
      </c>
      <c r="U188" s="40">
        <f t="shared" si="11"/>
        <v>-421072.4036859069</v>
      </c>
      <c r="V188" s="5">
        <f t="shared" si="12"/>
        <v>-2.5374509684912235E-2</v>
      </c>
      <c r="AD188">
        <f t="shared" si="13"/>
        <v>2.5374509684912234</v>
      </c>
    </row>
    <row r="189" spans="1:30" ht="15" x14ac:dyDescent="0.25">
      <c r="A189" s="3">
        <v>39264</v>
      </c>
      <c r="B189" s="518">
        <f>'DATA-Purchased Power'!Q13</f>
        <v>17565527</v>
      </c>
      <c r="C189" s="518">
        <f>'DATA-Degree Days'!Q14</f>
        <v>0</v>
      </c>
      <c r="D189" s="518">
        <f>'DATA-Degree Days'!Q34</f>
        <v>109</v>
      </c>
      <c r="E189" s="518">
        <f>'DATA-Calendar'!Q14</f>
        <v>336</v>
      </c>
      <c r="F189" s="518">
        <f>'DATA-Calendar'!Q34</f>
        <v>31</v>
      </c>
      <c r="G189" s="518">
        <f>'DATA-Calendar'!Q54</f>
        <v>0</v>
      </c>
      <c r="H189" s="518">
        <f>'DATA-Calendar'!Q74</f>
        <v>1</v>
      </c>
      <c r="I189" s="518">
        <f>'DATA-Calendar'!Q93</f>
        <v>0</v>
      </c>
      <c r="J189" s="518">
        <f>'DATA-Calendar'!Q112</f>
        <v>0</v>
      </c>
      <c r="K189" s="518">
        <f>'DATA-Customers'!Q31</f>
        <v>7714.6569378014128</v>
      </c>
      <c r="L189" s="518">
        <f>'DATA-Population'!Q14</f>
        <v>14772.775176912768</v>
      </c>
      <c r="M189" s="518">
        <f>'DATA-CDM'!Q12</f>
        <v>83384.615384615376</v>
      </c>
      <c r="N189" s="519">
        <f>'DATA-GDP Qrtly'!R86</f>
        <v>137.21342835608198</v>
      </c>
      <c r="O189" s="519">
        <f>'DATA-GDP Annual'!S12</f>
        <v>138.92091993999671</v>
      </c>
      <c r="P189" s="375">
        <f>'DATA-Employment'!Q14</f>
        <v>193</v>
      </c>
      <c r="Q189" s="375">
        <f>'DATA-Employment'!Q32</f>
        <v>197</v>
      </c>
      <c r="R189" s="375">
        <f>'DATA-Employment'!Q50</f>
        <v>15</v>
      </c>
      <c r="S189" s="375">
        <f>'DATA-Employment'!Q68</f>
        <v>14.6</v>
      </c>
      <c r="T189" s="513">
        <f t="shared" si="10"/>
        <v>18140778.095729455</v>
      </c>
      <c r="U189" s="40">
        <f t="shared" si="11"/>
        <v>575251.09572945535</v>
      </c>
      <c r="V189" s="5">
        <f t="shared" si="12"/>
        <v>3.274886632945629E-2</v>
      </c>
      <c r="AD189">
        <f t="shared" si="13"/>
        <v>3.2748866329456292</v>
      </c>
    </row>
    <row r="190" spans="1:30" ht="15" x14ac:dyDescent="0.25">
      <c r="A190" s="3">
        <v>39295</v>
      </c>
      <c r="B190" s="518">
        <f>'DATA-Purchased Power'!Q14</f>
        <v>19544883</v>
      </c>
      <c r="C190" s="518">
        <f>'DATA-Degree Days'!Q15</f>
        <v>6.8</v>
      </c>
      <c r="D190" s="518">
        <f>'DATA-Degree Days'!Q35</f>
        <v>142.5</v>
      </c>
      <c r="E190" s="518">
        <f>'DATA-Calendar'!Q15</f>
        <v>352</v>
      </c>
      <c r="F190" s="518">
        <f>'DATA-Calendar'!Q35</f>
        <v>31</v>
      </c>
      <c r="G190" s="518">
        <f>'DATA-Calendar'!Q55</f>
        <v>0</v>
      </c>
      <c r="H190" s="518">
        <f>'DATA-Calendar'!Q75</f>
        <v>1</v>
      </c>
      <c r="I190" s="518">
        <f>'DATA-Calendar'!Q94</f>
        <v>0</v>
      </c>
      <c r="J190" s="518">
        <f>'DATA-Calendar'!Q113</f>
        <v>0</v>
      </c>
      <c r="K190" s="518">
        <f>'DATA-Customers'!Q32</f>
        <v>7723.3236008263002</v>
      </c>
      <c r="L190" s="518">
        <f>'DATA-Population'!Q15</f>
        <v>14786.135012292796</v>
      </c>
      <c r="M190" s="518">
        <f>'DATA-CDM'!Q13</f>
        <v>82153.846153846142</v>
      </c>
      <c r="N190" s="519">
        <f>'DATA-GDP Qrtly'!R87</f>
        <v>137.20572482890177</v>
      </c>
      <c r="O190" s="519">
        <f>'DATA-GDP Annual'!S13</f>
        <v>139.15035913381516</v>
      </c>
      <c r="P190" s="375">
        <f>'DATA-Employment'!Q15</f>
        <v>192.3</v>
      </c>
      <c r="Q190" s="375">
        <f>'DATA-Employment'!Q33</f>
        <v>197.3</v>
      </c>
      <c r="R190" s="375">
        <f>'DATA-Employment'!Q51</f>
        <v>16.8</v>
      </c>
      <c r="S190" s="375">
        <f>'DATA-Employment'!Q69</f>
        <v>16.399999999999999</v>
      </c>
      <c r="T190" s="513">
        <f t="shared" si="10"/>
        <v>19293815.199839391</v>
      </c>
      <c r="U190" s="40">
        <f t="shared" si="11"/>
        <v>-251067.80016060919</v>
      </c>
      <c r="V190" s="5">
        <f t="shared" si="12"/>
        <v>-1.284570494285431E-2</v>
      </c>
      <c r="AD190">
        <f t="shared" si="13"/>
        <v>1.284570494285431</v>
      </c>
    </row>
    <row r="191" spans="1:30" ht="15" x14ac:dyDescent="0.25">
      <c r="A191" s="3">
        <v>39326</v>
      </c>
      <c r="B191" s="518">
        <f>'DATA-Purchased Power'!Q15</f>
        <v>16060666</v>
      </c>
      <c r="C191" s="518">
        <f>'DATA-Degree Days'!Q16</f>
        <v>19.2</v>
      </c>
      <c r="D191" s="518">
        <f>'DATA-Degree Days'!Q36</f>
        <v>54.7</v>
      </c>
      <c r="E191" s="518">
        <f>'DATA-Calendar'!Q16</f>
        <v>304</v>
      </c>
      <c r="F191" s="518">
        <f>'DATA-Calendar'!Q36</f>
        <v>30</v>
      </c>
      <c r="G191" s="518">
        <f>'DATA-Calendar'!Q56</f>
        <v>1</v>
      </c>
      <c r="H191" s="518">
        <f>'DATA-Calendar'!Q76</f>
        <v>1</v>
      </c>
      <c r="I191" s="518">
        <f>'DATA-Calendar'!Q95</f>
        <v>0</v>
      </c>
      <c r="J191" s="518">
        <f>'DATA-Calendar'!Q114</f>
        <v>1</v>
      </c>
      <c r="K191" s="518">
        <f>'DATA-Customers'!Q33</f>
        <v>7732</v>
      </c>
      <c r="L191" s="518">
        <f>'DATA-Population'!Q16</f>
        <v>14799.506929708816</v>
      </c>
      <c r="M191" s="518">
        <f>'DATA-CDM'!Q14</f>
        <v>80923.076923076907</v>
      </c>
      <c r="N191" s="519">
        <f>'DATA-GDP Qrtly'!R88</f>
        <v>137.19802173421806</v>
      </c>
      <c r="O191" s="519">
        <f>'DATA-GDP Annual'!S14</f>
        <v>139.38017726511606</v>
      </c>
      <c r="P191" s="375">
        <f>'DATA-Employment'!Q16</f>
        <v>194.2</v>
      </c>
      <c r="Q191" s="375">
        <f>'DATA-Employment'!Q34</f>
        <v>198.6</v>
      </c>
      <c r="R191" s="375">
        <f>'DATA-Employment'!Q52</f>
        <v>16.899999999999999</v>
      </c>
      <c r="S191" s="375">
        <f>'DATA-Employment'!Q70</f>
        <v>16.399999999999999</v>
      </c>
      <c r="T191" s="513">
        <f t="shared" si="10"/>
        <v>15993923.168063087</v>
      </c>
      <c r="U191" s="40">
        <f t="shared" si="11"/>
        <v>-66742.831936912611</v>
      </c>
      <c r="V191" s="5">
        <f t="shared" si="12"/>
        <v>-4.1556702528346345E-3</v>
      </c>
      <c r="AD191">
        <f t="shared" si="13"/>
        <v>0.41556702528346345</v>
      </c>
    </row>
    <row r="192" spans="1:30" ht="15" x14ac:dyDescent="0.25">
      <c r="A192" s="3">
        <v>39356</v>
      </c>
      <c r="B192" s="518">
        <f>'DATA-Purchased Power'!Q16</f>
        <v>14549269</v>
      </c>
      <c r="C192" s="518">
        <f>'DATA-Degree Days'!Q17</f>
        <v>103</v>
      </c>
      <c r="D192" s="518">
        <f>'DATA-Degree Days'!Q37</f>
        <v>20.6</v>
      </c>
      <c r="E192" s="518">
        <f>'DATA-Calendar'!Q17</f>
        <v>352</v>
      </c>
      <c r="F192" s="518">
        <f>'DATA-Calendar'!Q37</f>
        <v>31</v>
      </c>
      <c r="G192" s="518">
        <f>'DATA-Calendar'!Q57</f>
        <v>1</v>
      </c>
      <c r="H192" s="518">
        <f>'DATA-Calendar'!Q77</f>
        <v>0</v>
      </c>
      <c r="I192" s="518">
        <f>'DATA-Calendar'!Q96</f>
        <v>0</v>
      </c>
      <c r="J192" s="518">
        <f>'DATA-Calendar'!Q115</f>
        <v>1</v>
      </c>
      <c r="K192" s="518">
        <f>'DATA-Customers'!Q34</f>
        <v>7739.6590773191774</v>
      </c>
      <c r="L192" s="518">
        <f>'DATA-Population'!Q17</f>
        <v>14812.890940087278</v>
      </c>
      <c r="M192" s="518">
        <f>'DATA-CDM'!Q15</f>
        <v>79692.307692307673</v>
      </c>
      <c r="N192" s="519">
        <f>'DATA-GDP Qrtly'!R89</f>
        <v>137.26851557865251</v>
      </c>
      <c r="O192" s="519">
        <f>'DATA-GDP Annual'!S15</f>
        <v>139.61037495974546</v>
      </c>
      <c r="P192" s="375">
        <f>'DATA-Employment'!Q17</f>
        <v>196.9</v>
      </c>
      <c r="Q192" s="375">
        <f>'DATA-Employment'!Q35</f>
        <v>201.6</v>
      </c>
      <c r="R192" s="375">
        <f>'DATA-Employment'!Q53</f>
        <v>16.5</v>
      </c>
      <c r="S192" s="375">
        <f>'DATA-Employment'!Q71</f>
        <v>14.7</v>
      </c>
      <c r="T192" s="513">
        <f t="shared" si="10"/>
        <v>15094972.534426784</v>
      </c>
      <c r="U192" s="40">
        <f t="shared" si="11"/>
        <v>545703.53442678414</v>
      </c>
      <c r="V192" s="5">
        <f t="shared" si="12"/>
        <v>3.7507281941572747E-2</v>
      </c>
      <c r="AD192">
        <f t="shared" si="13"/>
        <v>3.7507281941572748</v>
      </c>
    </row>
    <row r="193" spans="1:30" ht="15" x14ac:dyDescent="0.25">
      <c r="A193" s="3">
        <v>39387</v>
      </c>
      <c r="B193" s="518">
        <f>'DATA-Purchased Power'!Q17</f>
        <v>14298213</v>
      </c>
      <c r="C193" s="518">
        <f>'DATA-Degree Days'!Q18</f>
        <v>385.4</v>
      </c>
      <c r="D193" s="518">
        <f>'DATA-Degree Days'!Q38</f>
        <v>0</v>
      </c>
      <c r="E193" s="518">
        <f>'DATA-Calendar'!Q18</f>
        <v>352</v>
      </c>
      <c r="F193" s="518">
        <f>'DATA-Calendar'!Q38</f>
        <v>30</v>
      </c>
      <c r="G193" s="518">
        <f>'DATA-Calendar'!Q58</f>
        <v>1</v>
      </c>
      <c r="H193" s="518">
        <f>'DATA-Calendar'!Q78</f>
        <v>0</v>
      </c>
      <c r="I193" s="518">
        <f>'DATA-Calendar'!Q97</f>
        <v>0</v>
      </c>
      <c r="J193" s="518">
        <f>'DATA-Calendar'!Q116</f>
        <v>1</v>
      </c>
      <c r="K193" s="518">
        <f>'DATA-Customers'!Q35</f>
        <v>7747.3257414807476</v>
      </c>
      <c r="L193" s="518">
        <f>'DATA-Population'!Q18</f>
        <v>14826.287054364515</v>
      </c>
      <c r="M193" s="518">
        <f>'DATA-CDM'!Q16</f>
        <v>78461.538461538439</v>
      </c>
      <c r="N193" s="519">
        <f>'DATA-GDP Qrtly'!R90</f>
        <v>137.33904564359537</v>
      </c>
      <c r="O193" s="519">
        <f>'DATA-GDP Annual'!S16</f>
        <v>139.84095284458306</v>
      </c>
      <c r="P193" s="375">
        <f>'DATA-Employment'!Q18</f>
        <v>199</v>
      </c>
      <c r="Q193" s="375">
        <f>'DATA-Employment'!Q36</f>
        <v>202.7</v>
      </c>
      <c r="R193" s="375">
        <f>'DATA-Employment'!Q54</f>
        <v>15.1</v>
      </c>
      <c r="S193" s="375">
        <f>'DATA-Employment'!Q72</f>
        <v>13</v>
      </c>
      <c r="T193" s="513">
        <f t="shared" si="10"/>
        <v>14998384.61031737</v>
      </c>
      <c r="U193" s="40">
        <f t="shared" si="11"/>
        <v>700171.61031736992</v>
      </c>
      <c r="V193" s="5">
        <f t="shared" si="12"/>
        <v>4.8969169106472948E-2</v>
      </c>
      <c r="AD193">
        <f t="shared" si="13"/>
        <v>4.8969169106472945</v>
      </c>
    </row>
    <row r="194" spans="1:30" ht="15" x14ac:dyDescent="0.25">
      <c r="A194" s="3">
        <v>39417</v>
      </c>
      <c r="B194" s="518">
        <f>'DATA-Purchased Power'!Q18</f>
        <v>16140952</v>
      </c>
      <c r="C194" s="518">
        <f>'DATA-Degree Days'!Q19</f>
        <v>567.1</v>
      </c>
      <c r="D194" s="518">
        <f>'DATA-Degree Days'!Q39</f>
        <v>0</v>
      </c>
      <c r="E194" s="518">
        <f>'DATA-Calendar'!Q19</f>
        <v>304</v>
      </c>
      <c r="F194" s="518">
        <f>'DATA-Calendar'!Q39</f>
        <v>31</v>
      </c>
      <c r="G194" s="518">
        <f>'DATA-Calendar'!Q59</f>
        <v>0</v>
      </c>
      <c r="H194" s="518">
        <f>'DATA-Calendar'!Q79</f>
        <v>0</v>
      </c>
      <c r="I194" s="518">
        <f>'DATA-Calendar'!Q98</f>
        <v>0</v>
      </c>
      <c r="J194" s="518">
        <f>'DATA-Calendar'!Q117</f>
        <v>0</v>
      </c>
      <c r="K194" s="518">
        <f>'DATA-Customers'!Q36</f>
        <v>7755</v>
      </c>
      <c r="L194" s="518">
        <f>'DATA-Population'!Q19</f>
        <v>14839.695283486752</v>
      </c>
      <c r="M194" s="518">
        <f>'DATA-CDM'!Q17</f>
        <v>77230.769230769205</v>
      </c>
      <c r="N194" s="519">
        <f>'DATA-GDP Qrtly'!R91</f>
        <v>137.40961194765711</v>
      </c>
      <c r="O194" s="519">
        <f>'DATA-GDP Annual'!S17</f>
        <v>140.07191154754381</v>
      </c>
      <c r="P194" s="375">
        <f>'DATA-Employment'!Q19</f>
        <v>198.8</v>
      </c>
      <c r="Q194" s="375">
        <f>'DATA-Employment'!Q37</f>
        <v>201.4</v>
      </c>
      <c r="R194" s="375">
        <f>'DATA-Employment'!Q55</f>
        <v>14.3</v>
      </c>
      <c r="S194" s="375">
        <f>'DATA-Employment'!Q73</f>
        <v>12.7</v>
      </c>
      <c r="T194" s="513">
        <f t="shared" si="10"/>
        <v>16179209.668685049</v>
      </c>
      <c r="U194" s="40">
        <f t="shared" si="11"/>
        <v>38257.668685048819</v>
      </c>
      <c r="V194" s="5">
        <f t="shared" si="12"/>
        <v>2.3702238061948772E-3</v>
      </c>
      <c r="AD194">
        <f t="shared" si="13"/>
        <v>0.23702238061948772</v>
      </c>
    </row>
    <row r="195" spans="1:30" ht="15" x14ac:dyDescent="0.25">
      <c r="A195" s="3">
        <v>39448</v>
      </c>
      <c r="B195" s="518">
        <f>'DATA-Purchased Power'!R7</f>
        <v>15813114</v>
      </c>
      <c r="C195" s="518">
        <f>'DATA-Degree Days'!R8</f>
        <v>562.4</v>
      </c>
      <c r="D195" s="518">
        <f>'DATA-Degree Days'!R28</f>
        <v>0</v>
      </c>
      <c r="E195" s="518">
        <f>'DATA-Calendar'!R8</f>
        <v>352</v>
      </c>
      <c r="F195" s="518">
        <f>'DATA-Calendar'!R28</f>
        <v>31</v>
      </c>
      <c r="G195" s="518">
        <f>'DATA-Calendar'!R48</f>
        <v>0</v>
      </c>
      <c r="H195" s="518">
        <f>'DATA-Calendar'!R68</f>
        <v>0</v>
      </c>
      <c r="I195" s="518">
        <f>'DATA-Calendar'!R87</f>
        <v>0</v>
      </c>
      <c r="J195" s="518">
        <f>'DATA-Calendar'!R106</f>
        <v>0</v>
      </c>
      <c r="K195" s="518">
        <f>'DATA-Customers'!R25</f>
        <v>7755</v>
      </c>
      <c r="L195" s="518">
        <f>'DATA-Population'!R8</f>
        <v>14853.11563841011</v>
      </c>
      <c r="M195" s="518">
        <f>'DATA-CDM'!R6</f>
        <v>86785.009861932922</v>
      </c>
      <c r="N195" s="519">
        <f>'DATA-GDP Qrtly'!S80</f>
        <v>137.13060610813258</v>
      </c>
      <c r="O195" s="519">
        <f>'DATA-GDP Annual'!T6</f>
        <v>139.96642175819056</v>
      </c>
      <c r="P195" s="375">
        <f>'DATA-Employment'!R8</f>
        <v>200.2</v>
      </c>
      <c r="Q195" s="375">
        <f>'DATA-Employment'!R26</f>
        <v>199.2</v>
      </c>
      <c r="R195" s="375">
        <f>'DATA-Employment'!R44</f>
        <v>13.6</v>
      </c>
      <c r="S195" s="375">
        <f>'DATA-Employment'!R62</f>
        <v>13.7</v>
      </c>
      <c r="T195" s="513">
        <f t="shared" si="10"/>
        <v>16129908.790516652</v>
      </c>
      <c r="U195" s="40">
        <f t="shared" si="11"/>
        <v>316794.79051665217</v>
      </c>
      <c r="V195" s="5">
        <f t="shared" si="12"/>
        <v>2.0033675246801622E-2</v>
      </c>
      <c r="AD195">
        <f t="shared" si="13"/>
        <v>2.0033675246801623</v>
      </c>
    </row>
    <row r="196" spans="1:30" ht="15" x14ac:dyDescent="0.25">
      <c r="A196" s="3">
        <v>39479</v>
      </c>
      <c r="B196" s="518">
        <f>'DATA-Purchased Power'!R8</f>
        <v>15009236</v>
      </c>
      <c r="C196" s="518">
        <f>'DATA-Degree Days'!R9</f>
        <v>599.9</v>
      </c>
      <c r="D196" s="518">
        <f>'DATA-Degree Days'!R29</f>
        <v>0</v>
      </c>
      <c r="E196" s="518">
        <f>'DATA-Calendar'!R9</f>
        <v>320</v>
      </c>
      <c r="F196" s="518">
        <f>'DATA-Calendar'!R29</f>
        <v>29</v>
      </c>
      <c r="G196" s="518">
        <f>'DATA-Calendar'!R49</f>
        <v>0</v>
      </c>
      <c r="H196" s="518">
        <f>'DATA-Calendar'!R69</f>
        <v>0</v>
      </c>
      <c r="I196" s="518">
        <f>'DATA-Calendar'!R88</f>
        <v>0</v>
      </c>
      <c r="J196" s="518">
        <f>'DATA-Calendar'!R107</f>
        <v>0</v>
      </c>
      <c r="K196" s="518">
        <f>'DATA-Customers'!R26</f>
        <v>7755</v>
      </c>
      <c r="L196" s="518">
        <f>'DATA-Population'!R9</f>
        <v>14866.548130100622</v>
      </c>
      <c r="M196" s="518">
        <f>'DATA-CDM'!R7</f>
        <v>96339.250493096639</v>
      </c>
      <c r="N196" s="519">
        <f>'DATA-GDP Qrtly'!S81</f>
        <v>136.85216678107676</v>
      </c>
      <c r="O196" s="519">
        <f>'DATA-GDP Annual'!T7</f>
        <v>139.86101141442734</v>
      </c>
      <c r="P196" s="375">
        <f>'DATA-Employment'!R9</f>
        <v>201.6</v>
      </c>
      <c r="Q196" s="375">
        <f>'DATA-Employment'!R27</f>
        <v>197.4</v>
      </c>
      <c r="R196" s="375">
        <f>'DATA-Employment'!R45</f>
        <v>13.4</v>
      </c>
      <c r="S196" s="375">
        <f>'DATA-Employment'!R63</f>
        <v>14.4</v>
      </c>
      <c r="T196" s="513">
        <f t="shared" si="10"/>
        <v>15265238.739535416</v>
      </c>
      <c r="U196" s="40">
        <f t="shared" si="11"/>
        <v>256002.73953541555</v>
      </c>
      <c r="V196" s="5">
        <f t="shared" si="12"/>
        <v>1.705634714088149E-2</v>
      </c>
      <c r="AD196">
        <f t="shared" si="13"/>
        <v>1.7056347140881489</v>
      </c>
    </row>
    <row r="197" spans="1:30" ht="15" x14ac:dyDescent="0.25">
      <c r="A197" s="3">
        <v>39508</v>
      </c>
      <c r="B197" s="518">
        <f>'DATA-Purchased Power'!R9</f>
        <v>15088622</v>
      </c>
      <c r="C197" s="518">
        <f>'DATA-Degree Days'!R10</f>
        <v>548</v>
      </c>
      <c r="D197" s="518">
        <f>'DATA-Degree Days'!R30</f>
        <v>0</v>
      </c>
      <c r="E197" s="518">
        <f>'DATA-Calendar'!R10</f>
        <v>304</v>
      </c>
      <c r="F197" s="518">
        <f>'DATA-Calendar'!R30</f>
        <v>31</v>
      </c>
      <c r="G197" s="518">
        <f>'DATA-Calendar'!R50</f>
        <v>1</v>
      </c>
      <c r="H197" s="518">
        <f>'DATA-Calendar'!R70</f>
        <v>0</v>
      </c>
      <c r="I197" s="518">
        <f>'DATA-Calendar'!R89</f>
        <v>1</v>
      </c>
      <c r="J197" s="518">
        <f>'DATA-Calendar'!R108</f>
        <v>0</v>
      </c>
      <c r="K197" s="518">
        <f>'DATA-Customers'!R27</f>
        <v>7755</v>
      </c>
      <c r="L197" s="518">
        <f>'DATA-Population'!R10</f>
        <v>14879.992769534234</v>
      </c>
      <c r="M197" s="518">
        <f>'DATA-CDM'!R8</f>
        <v>105893.49112426036</v>
      </c>
      <c r="N197" s="519">
        <f>'DATA-GDP Qrtly'!S82</f>
        <v>136.57429281620412</v>
      </c>
      <c r="O197" s="519">
        <f>'DATA-GDP Annual'!T8</f>
        <v>139.75568045642274</v>
      </c>
      <c r="P197" s="375">
        <f>'DATA-Employment'!R10</f>
        <v>203.4</v>
      </c>
      <c r="Q197" s="375">
        <f>'DATA-Employment'!R28</f>
        <v>196.8</v>
      </c>
      <c r="R197" s="375">
        <f>'DATA-Employment'!R46</f>
        <v>13.5</v>
      </c>
      <c r="S197" s="375">
        <f>'DATA-Employment'!R64</f>
        <v>15.3</v>
      </c>
      <c r="T197" s="513">
        <f t="shared" si="10"/>
        <v>15104869.149337616</v>
      </c>
      <c r="U197" s="40">
        <f t="shared" si="11"/>
        <v>16247.149337615818</v>
      </c>
      <c r="V197" s="5">
        <f t="shared" si="12"/>
        <v>1.0767815203811069E-3</v>
      </c>
      <c r="AD197">
        <f t="shared" si="13"/>
        <v>0.10767815203811068</v>
      </c>
    </row>
    <row r="198" spans="1:30" ht="15" x14ac:dyDescent="0.25">
      <c r="A198" s="3">
        <v>39539</v>
      </c>
      <c r="B198" s="518">
        <f>'DATA-Purchased Power'!R10</f>
        <v>13174997</v>
      </c>
      <c r="C198" s="518">
        <f>'DATA-Degree Days'!R11</f>
        <v>303.3</v>
      </c>
      <c r="D198" s="518">
        <f>'DATA-Degree Days'!R31</f>
        <v>0</v>
      </c>
      <c r="E198" s="518">
        <f>'DATA-Calendar'!R11</f>
        <v>352</v>
      </c>
      <c r="F198" s="518">
        <f>'DATA-Calendar'!R31</f>
        <v>30</v>
      </c>
      <c r="G198" s="518">
        <f>'DATA-Calendar'!R51</f>
        <v>1</v>
      </c>
      <c r="H198" s="518">
        <f>'DATA-Calendar'!R71</f>
        <v>0</v>
      </c>
      <c r="I198" s="518">
        <f>'DATA-Calendar'!R90</f>
        <v>1</v>
      </c>
      <c r="J198" s="518">
        <f>'DATA-Calendar'!R109</f>
        <v>0</v>
      </c>
      <c r="K198" s="518">
        <f>'DATA-Customers'!R28</f>
        <v>7747.3257414807485</v>
      </c>
      <c r="L198" s="518">
        <f>'DATA-Population'!R11</f>
        <v>14893.44956769682</v>
      </c>
      <c r="M198" s="518">
        <f>'DATA-CDM'!R9</f>
        <v>115447.73175542407</v>
      </c>
      <c r="N198" s="519">
        <f>'DATA-GDP Qrtly'!S83</f>
        <v>136.66171467607305</v>
      </c>
      <c r="O198" s="519">
        <f>'DATA-GDP Annual'!T9</f>
        <v>139.65042882439042</v>
      </c>
      <c r="P198" s="375">
        <f>'DATA-Employment'!R11</f>
        <v>203.3</v>
      </c>
      <c r="Q198" s="375">
        <f>'DATA-Employment'!R29</f>
        <v>197.5</v>
      </c>
      <c r="R198" s="375">
        <f>'DATA-Employment'!R47</f>
        <v>14.2</v>
      </c>
      <c r="S198" s="375">
        <f>'DATA-Employment'!R65</f>
        <v>15.5</v>
      </c>
      <c r="T198" s="513">
        <f t="shared" si="10"/>
        <v>13686909.637802619</v>
      </c>
      <c r="U198" s="40">
        <f t="shared" si="11"/>
        <v>511912.63780261949</v>
      </c>
      <c r="V198" s="5">
        <f t="shared" si="12"/>
        <v>3.8854858016485277E-2</v>
      </c>
      <c r="AD198">
        <f t="shared" si="13"/>
        <v>3.8854858016485276</v>
      </c>
    </row>
    <row r="199" spans="1:30" ht="15" x14ac:dyDescent="0.25">
      <c r="A199" s="3">
        <v>39569</v>
      </c>
      <c r="B199" s="518">
        <f>'DATA-Purchased Power'!R11</f>
        <v>13308996</v>
      </c>
      <c r="C199" s="518">
        <f>'DATA-Degree Days'!R12</f>
        <v>192.7</v>
      </c>
      <c r="D199" s="518">
        <f>'DATA-Degree Days'!R32</f>
        <v>0</v>
      </c>
      <c r="E199" s="518">
        <f>'DATA-Calendar'!R12</f>
        <v>336</v>
      </c>
      <c r="F199" s="518">
        <f>'DATA-Calendar'!R32</f>
        <v>31</v>
      </c>
      <c r="G199" s="518">
        <f>'DATA-Calendar'!R52</f>
        <v>1</v>
      </c>
      <c r="H199" s="518">
        <f>'DATA-Calendar'!R72</f>
        <v>0</v>
      </c>
      <c r="I199" s="518">
        <f>'DATA-Calendar'!R91</f>
        <v>1</v>
      </c>
      <c r="J199" s="518">
        <f>'DATA-Calendar'!R110</f>
        <v>0</v>
      </c>
      <c r="K199" s="518">
        <f>'DATA-Customers'!R29</f>
        <v>7739.6590773191783</v>
      </c>
      <c r="L199" s="518">
        <f>'DATA-Population'!R12</f>
        <v>14906.918535584189</v>
      </c>
      <c r="M199" s="518">
        <f>'DATA-CDM'!R10</f>
        <v>125001.97238658779</v>
      </c>
      <c r="N199" s="519">
        <f>'DATA-GDP Qrtly'!S84</f>
        <v>136.74919249509378</v>
      </c>
      <c r="O199" s="519">
        <f>'DATA-GDP Annual'!T10</f>
        <v>139.54525645858905</v>
      </c>
      <c r="P199" s="375">
        <f>'DATA-Employment'!R12</f>
        <v>201.8</v>
      </c>
      <c r="Q199" s="375">
        <f>'DATA-Employment'!R30</f>
        <v>198.8</v>
      </c>
      <c r="R199" s="375">
        <f>'DATA-Employment'!R48</f>
        <v>15.3</v>
      </c>
      <c r="S199" s="375">
        <f>'DATA-Employment'!R66</f>
        <v>16.5</v>
      </c>
      <c r="T199" s="513">
        <f t="shared" si="10"/>
        <v>13733218.835047895</v>
      </c>
      <c r="U199" s="40">
        <f t="shared" si="11"/>
        <v>424222.83504789509</v>
      </c>
      <c r="V199" s="5">
        <f t="shared" si="12"/>
        <v>3.187489387237738E-2</v>
      </c>
      <c r="AD199">
        <f t="shared" si="13"/>
        <v>3.1874893872377381</v>
      </c>
    </row>
    <row r="200" spans="1:30" ht="15" x14ac:dyDescent="0.25">
      <c r="A200" s="3">
        <v>39600</v>
      </c>
      <c r="B200" s="518">
        <f>'DATA-Purchased Power'!R12</f>
        <v>15749084</v>
      </c>
      <c r="C200" s="518">
        <f>'DATA-Degree Days'!R13</f>
        <v>30.4</v>
      </c>
      <c r="D200" s="518">
        <f>'DATA-Degree Days'!R33</f>
        <v>62.5</v>
      </c>
      <c r="E200" s="518">
        <f>'DATA-Calendar'!R13</f>
        <v>336</v>
      </c>
      <c r="F200" s="518">
        <f>'DATA-Calendar'!R33</f>
        <v>30</v>
      </c>
      <c r="G200" s="518">
        <f>'DATA-Calendar'!R53</f>
        <v>0</v>
      </c>
      <c r="H200" s="518">
        <f>'DATA-Calendar'!R73</f>
        <v>0</v>
      </c>
      <c r="I200" s="518">
        <f>'DATA-Calendar'!R92</f>
        <v>0</v>
      </c>
      <c r="J200" s="518">
        <f>'DATA-Calendar'!R111</f>
        <v>0</v>
      </c>
      <c r="K200" s="518">
        <f>'DATA-Customers'!R30</f>
        <v>7732</v>
      </c>
      <c r="L200" s="518">
        <f>'DATA-Population'!R13</f>
        <v>14920.399684202095</v>
      </c>
      <c r="M200" s="518">
        <f>'DATA-CDM'!R11</f>
        <v>134556.21301775149</v>
      </c>
      <c r="N200" s="519">
        <f>'DATA-GDP Qrtly'!S85</f>
        <v>136.83672630908606</v>
      </c>
      <c r="O200" s="519">
        <f>'DATA-GDP Annual'!T11</f>
        <v>139.44016329932234</v>
      </c>
      <c r="P200" s="375">
        <f>'DATA-Employment'!R13</f>
        <v>201.4</v>
      </c>
      <c r="Q200" s="375">
        <f>'DATA-Employment'!R31</f>
        <v>202.5</v>
      </c>
      <c r="R200" s="375">
        <f>'DATA-Employment'!R49</f>
        <v>15.5</v>
      </c>
      <c r="S200" s="375">
        <f>'DATA-Employment'!R67</f>
        <v>15.5</v>
      </c>
      <c r="T200" s="513">
        <f t="shared" si="10"/>
        <v>15581555.761311576</v>
      </c>
      <c r="U200" s="40">
        <f t="shared" si="11"/>
        <v>-167528.23868842423</v>
      </c>
      <c r="V200" s="5">
        <f t="shared" si="12"/>
        <v>-1.0637332221253263E-2</v>
      </c>
      <c r="AD200">
        <f t="shared" si="13"/>
        <v>1.0637332221253264</v>
      </c>
    </row>
    <row r="201" spans="1:30" ht="15" x14ac:dyDescent="0.25">
      <c r="A201" s="3">
        <v>39630</v>
      </c>
      <c r="B201" s="518">
        <f>'DATA-Purchased Power'!R13</f>
        <v>18099965</v>
      </c>
      <c r="C201" s="518">
        <f>'DATA-Degree Days'!R14</f>
        <v>0</v>
      </c>
      <c r="D201" s="518">
        <f>'DATA-Degree Days'!R34</f>
        <v>115.4</v>
      </c>
      <c r="E201" s="518">
        <f>'DATA-Calendar'!R14</f>
        <v>352</v>
      </c>
      <c r="F201" s="518">
        <f>'DATA-Calendar'!R34</f>
        <v>31</v>
      </c>
      <c r="G201" s="518">
        <f>'DATA-Calendar'!R54</f>
        <v>0</v>
      </c>
      <c r="H201" s="518">
        <f>'DATA-Calendar'!R74</f>
        <v>1</v>
      </c>
      <c r="I201" s="518">
        <f>'DATA-Calendar'!R93</f>
        <v>0</v>
      </c>
      <c r="J201" s="518">
        <f>'DATA-Calendar'!R112</f>
        <v>0</v>
      </c>
      <c r="K201" s="518">
        <f>'DATA-Customers'!R31</f>
        <v>7731.6666522953401</v>
      </c>
      <c r="L201" s="518">
        <f>'DATA-Population'!R14</f>
        <v>14933.893024566245</v>
      </c>
      <c r="M201" s="518">
        <f>'DATA-CDM'!R12</f>
        <v>144110.45364891519</v>
      </c>
      <c r="N201" s="519">
        <f>'DATA-GDP Qrtly'!S86</f>
        <v>136.57756847065025</v>
      </c>
      <c r="O201" s="519">
        <f>'DATA-GDP Annual'!T12</f>
        <v>139.3351492869389</v>
      </c>
      <c r="P201" s="375">
        <f>'DATA-Employment'!R14</f>
        <v>201.1</v>
      </c>
      <c r="Q201" s="375">
        <f>'DATA-Employment'!R32</f>
        <v>204.9</v>
      </c>
      <c r="R201" s="375">
        <f>'DATA-Employment'!R50</f>
        <v>15.2</v>
      </c>
      <c r="S201" s="375">
        <f>'DATA-Employment'!R68</f>
        <v>15.2</v>
      </c>
      <c r="T201" s="513">
        <f t="shared" si="10"/>
        <v>18260558.56307603</v>
      </c>
      <c r="U201" s="40">
        <f t="shared" si="11"/>
        <v>160593.56307603046</v>
      </c>
      <c r="V201" s="5">
        <f t="shared" si="12"/>
        <v>8.8725897025784557E-3</v>
      </c>
      <c r="AD201">
        <f t="shared" si="13"/>
        <v>0.88725897025784561</v>
      </c>
    </row>
    <row r="202" spans="1:30" ht="15" x14ac:dyDescent="0.25">
      <c r="A202" s="3">
        <v>39661</v>
      </c>
      <c r="B202" s="518">
        <f>'DATA-Purchased Power'!R14</f>
        <v>17237511</v>
      </c>
      <c r="C202" s="518">
        <f>'DATA-Degree Days'!R15</f>
        <v>4.5</v>
      </c>
      <c r="D202" s="518">
        <f>'DATA-Degree Days'!R35</f>
        <v>85.7</v>
      </c>
      <c r="E202" s="518">
        <f>'DATA-Calendar'!R15</f>
        <v>320</v>
      </c>
      <c r="F202" s="518">
        <f>'DATA-Calendar'!R35</f>
        <v>31</v>
      </c>
      <c r="G202" s="518">
        <f>'DATA-Calendar'!R55</f>
        <v>0</v>
      </c>
      <c r="H202" s="518">
        <f>'DATA-Calendar'!R75</f>
        <v>1</v>
      </c>
      <c r="I202" s="518">
        <f>'DATA-Calendar'!R94</f>
        <v>0</v>
      </c>
      <c r="J202" s="518">
        <f>'DATA-Calendar'!R113</f>
        <v>0</v>
      </c>
      <c r="K202" s="518">
        <f>'DATA-Customers'!R32</f>
        <v>7731.3333189622135</v>
      </c>
      <c r="L202" s="518">
        <f>'DATA-Population'!R15</f>
        <v>14947.398567702307</v>
      </c>
      <c r="M202" s="518">
        <f>'DATA-CDM'!R13</f>
        <v>153664.6942800789</v>
      </c>
      <c r="N202" s="519">
        <f>'DATA-GDP Qrtly'!S87</f>
        <v>136.31890145647657</v>
      </c>
      <c r="O202" s="519">
        <f>'DATA-GDP Annual'!T13</f>
        <v>139.23021436183228</v>
      </c>
      <c r="P202" s="375">
        <f>'DATA-Employment'!R15</f>
        <v>201</v>
      </c>
      <c r="Q202" s="375">
        <f>'DATA-Employment'!R33</f>
        <v>206</v>
      </c>
      <c r="R202" s="375">
        <f>'DATA-Employment'!R51</f>
        <v>15.7</v>
      </c>
      <c r="S202" s="375">
        <f>'DATA-Employment'!R69</f>
        <v>15.2</v>
      </c>
      <c r="T202" s="513">
        <f t="shared" si="10"/>
        <v>17268668.174351148</v>
      </c>
      <c r="U202" s="40">
        <f t="shared" si="11"/>
        <v>31157.174351148307</v>
      </c>
      <c r="V202" s="5">
        <f t="shared" si="12"/>
        <v>1.8075216515393846E-3</v>
      </c>
      <c r="AD202">
        <f t="shared" si="13"/>
        <v>0.18075216515393847</v>
      </c>
    </row>
    <row r="203" spans="1:30" ht="15" x14ac:dyDescent="0.25">
      <c r="A203" s="3">
        <v>39692</v>
      </c>
      <c r="B203" s="518">
        <f>'DATA-Purchased Power'!R15</f>
        <v>15286365</v>
      </c>
      <c r="C203" s="518">
        <f>'DATA-Degree Days'!R16</f>
        <v>38.6</v>
      </c>
      <c r="D203" s="518">
        <f>'DATA-Degree Days'!R36</f>
        <v>39.6</v>
      </c>
      <c r="E203" s="518">
        <f>'DATA-Calendar'!R16</f>
        <v>336</v>
      </c>
      <c r="F203" s="518">
        <f>'DATA-Calendar'!R36</f>
        <v>30</v>
      </c>
      <c r="G203" s="518">
        <f>'DATA-Calendar'!R56</f>
        <v>1</v>
      </c>
      <c r="H203" s="518">
        <f>'DATA-Calendar'!R76</f>
        <v>1</v>
      </c>
      <c r="I203" s="518">
        <f>'DATA-Calendar'!R95</f>
        <v>0</v>
      </c>
      <c r="J203" s="518">
        <f>'DATA-Calendar'!R114</f>
        <v>1</v>
      </c>
      <c r="K203" s="518">
        <f>'DATA-Customers'!R33</f>
        <v>7731</v>
      </c>
      <c r="L203" s="518">
        <f>'DATA-Population'!R16</f>
        <v>14960.916324645921</v>
      </c>
      <c r="M203" s="518">
        <f>'DATA-CDM'!R14</f>
        <v>163218.9349112426</v>
      </c>
      <c r="N203" s="519">
        <f>'DATA-GDP Qrtly'!S88</f>
        <v>136.06072433698307</v>
      </c>
      <c r="O203" s="519">
        <f>'DATA-GDP Annual'!T14</f>
        <v>139.12535846444095</v>
      </c>
      <c r="P203" s="375">
        <f>'DATA-Employment'!R16</f>
        <v>200.1</v>
      </c>
      <c r="Q203" s="375">
        <f>'DATA-Employment'!R34</f>
        <v>203.6</v>
      </c>
      <c r="R203" s="375">
        <f>'DATA-Employment'!R52</f>
        <v>16</v>
      </c>
      <c r="S203" s="375">
        <f>'DATA-Employment'!R70</f>
        <v>15.4</v>
      </c>
      <c r="T203" s="513">
        <f t="shared" si="10"/>
        <v>15361165.323696835</v>
      </c>
      <c r="U203" s="40">
        <f t="shared" si="11"/>
        <v>74800.323696834967</v>
      </c>
      <c r="V203" s="5">
        <f t="shared" si="12"/>
        <v>4.8932708133578497E-3</v>
      </c>
      <c r="AD203">
        <f t="shared" si="13"/>
        <v>0.48932708133578495</v>
      </c>
    </row>
    <row r="204" spans="1:30" ht="15" x14ac:dyDescent="0.25">
      <c r="A204" s="3">
        <v>39722</v>
      </c>
      <c r="B204" s="518">
        <f>'DATA-Purchased Power'!R16</f>
        <v>13898432</v>
      </c>
      <c r="C204" s="518">
        <f>'DATA-Degree Days'!R17</f>
        <v>207.1</v>
      </c>
      <c r="D204" s="518">
        <f>'DATA-Degree Days'!R37</f>
        <v>0.4</v>
      </c>
      <c r="E204" s="518">
        <f>'DATA-Calendar'!R17</f>
        <v>352</v>
      </c>
      <c r="F204" s="518">
        <f>'DATA-Calendar'!R37</f>
        <v>31</v>
      </c>
      <c r="G204" s="518">
        <f>'DATA-Calendar'!R57</f>
        <v>1</v>
      </c>
      <c r="H204" s="518">
        <f>'DATA-Calendar'!R77</f>
        <v>0</v>
      </c>
      <c r="I204" s="518">
        <f>'DATA-Calendar'!R96</f>
        <v>0</v>
      </c>
      <c r="J204" s="518">
        <f>'DATA-Calendar'!R115</f>
        <v>1</v>
      </c>
      <c r="K204" s="518">
        <f>'DATA-Customers'!R34</f>
        <v>7745.9709901408378</v>
      </c>
      <c r="L204" s="518">
        <f>'DATA-Population'!R17</f>
        <v>14974.446306442707</v>
      </c>
      <c r="M204" s="518">
        <f>'DATA-CDM'!R15</f>
        <v>172773.1755424063</v>
      </c>
      <c r="N204" s="519">
        <f>'DATA-GDP Qrtly'!S89</f>
        <v>135.61709699709257</v>
      </c>
      <c r="O204" s="519">
        <f>'DATA-GDP Annual'!T15</f>
        <v>139.02058153524823</v>
      </c>
      <c r="P204" s="375">
        <f>'DATA-Employment'!R17</f>
        <v>199.3</v>
      </c>
      <c r="Q204" s="375">
        <f>'DATA-Employment'!R35</f>
        <v>202.6</v>
      </c>
      <c r="R204" s="375">
        <f>'DATA-Employment'!R53</f>
        <v>17</v>
      </c>
      <c r="S204" s="375">
        <f>'DATA-Employment'!R71</f>
        <v>15.7</v>
      </c>
      <c r="T204" s="513">
        <f t="shared" si="10"/>
        <v>14547707.571980964</v>
      </c>
      <c r="U204" s="40">
        <f t="shared" si="11"/>
        <v>649275.57198096439</v>
      </c>
      <c r="V204" s="5">
        <f t="shared" si="12"/>
        <v>4.6715742609019811E-2</v>
      </c>
      <c r="AD204">
        <f t="shared" si="13"/>
        <v>4.6715742609019815</v>
      </c>
    </row>
    <row r="205" spans="1:30" ht="15" x14ac:dyDescent="0.25">
      <c r="A205" s="3">
        <v>39753</v>
      </c>
      <c r="B205" s="518">
        <f>'DATA-Purchased Power'!R17</f>
        <v>14105773</v>
      </c>
      <c r="C205" s="518">
        <f>'DATA-Degree Days'!R18</f>
        <v>407.1</v>
      </c>
      <c r="D205" s="518">
        <f>'DATA-Degree Days'!R38</f>
        <v>0</v>
      </c>
      <c r="E205" s="518">
        <f>'DATA-Calendar'!R18</f>
        <v>304</v>
      </c>
      <c r="F205" s="518">
        <f>'DATA-Calendar'!R38</f>
        <v>30</v>
      </c>
      <c r="G205" s="518">
        <f>'DATA-Calendar'!R58</f>
        <v>1</v>
      </c>
      <c r="H205" s="518">
        <f>'DATA-Calendar'!R78</f>
        <v>0</v>
      </c>
      <c r="I205" s="518">
        <f>'DATA-Calendar'!R97</f>
        <v>0</v>
      </c>
      <c r="J205" s="518">
        <f>'DATA-Calendar'!R116</f>
        <v>1</v>
      </c>
      <c r="K205" s="518">
        <f>'DATA-Customers'!R35</f>
        <v>7760.9709714271676</v>
      </c>
      <c r="L205" s="518">
        <f>'DATA-Population'!R18</f>
        <v>14987.988524148273</v>
      </c>
      <c r="M205" s="518">
        <f>'DATA-CDM'!R16</f>
        <v>182327.41617357</v>
      </c>
      <c r="N205" s="519">
        <f>'DATA-GDP Qrtly'!S90</f>
        <v>135.17491610853958</v>
      </c>
      <c r="O205" s="519">
        <f>'DATA-GDP Annual'!T16</f>
        <v>138.91588351478222</v>
      </c>
      <c r="P205" s="375">
        <f>'DATA-Employment'!R18</f>
        <v>197.7</v>
      </c>
      <c r="Q205" s="375">
        <f>'DATA-Employment'!R36</f>
        <v>199.3</v>
      </c>
      <c r="R205" s="375">
        <f>'DATA-Employment'!R54</f>
        <v>17.8</v>
      </c>
      <c r="S205" s="375">
        <f>'DATA-Employment'!R72</f>
        <v>16.600000000000001</v>
      </c>
      <c r="T205" s="513">
        <f t="shared" si="10"/>
        <v>14753399.794526558</v>
      </c>
      <c r="U205" s="40">
        <f t="shared" si="11"/>
        <v>647626.79452655837</v>
      </c>
      <c r="V205" s="5">
        <f t="shared" si="12"/>
        <v>4.5912180390720758E-2</v>
      </c>
      <c r="AD205">
        <f t="shared" si="13"/>
        <v>4.5912180390720758</v>
      </c>
    </row>
    <row r="206" spans="1:30" ht="15" x14ac:dyDescent="0.25">
      <c r="A206" s="3">
        <v>39783</v>
      </c>
      <c r="B206" s="518">
        <f>'DATA-Purchased Power'!R18</f>
        <v>16041140</v>
      </c>
      <c r="C206" s="518">
        <f>'DATA-Degree Days'!R19</f>
        <v>589.29999999999995</v>
      </c>
      <c r="D206" s="518">
        <f>'DATA-Degree Days'!R39</f>
        <v>0</v>
      </c>
      <c r="E206" s="518">
        <f>'DATA-Calendar'!R19</f>
        <v>336</v>
      </c>
      <c r="F206" s="518">
        <f>'DATA-Calendar'!R39</f>
        <v>31</v>
      </c>
      <c r="G206" s="518">
        <f>'DATA-Calendar'!R59</f>
        <v>0</v>
      </c>
      <c r="H206" s="518">
        <f>'DATA-Calendar'!R79</f>
        <v>0</v>
      </c>
      <c r="I206" s="518">
        <f>'DATA-Calendar'!R98</f>
        <v>0</v>
      </c>
      <c r="J206" s="518">
        <f>'DATA-Calendar'!R117</f>
        <v>0</v>
      </c>
      <c r="K206" s="518">
        <f>'DATA-Customers'!R36</f>
        <v>7776</v>
      </c>
      <c r="L206" s="518">
        <f>'DATA-Population'!R19</f>
        <v>15001.542988828227</v>
      </c>
      <c r="M206" s="518">
        <f>'DATA-CDM'!R17</f>
        <v>191881.65680473371</v>
      </c>
      <c r="N206" s="519">
        <f>'DATA-GDP Qrtly'!S91</f>
        <v>134.73417695515519</v>
      </c>
      <c r="O206" s="519">
        <f>'DATA-GDP Annual'!T17</f>
        <v>138.8112643436159</v>
      </c>
      <c r="P206" s="375">
        <f>'DATA-Employment'!R19</f>
        <v>197.8</v>
      </c>
      <c r="Q206" s="375">
        <f>'DATA-Employment'!R37</f>
        <v>198.1</v>
      </c>
      <c r="R206" s="375">
        <f>'DATA-Employment'!R55</f>
        <v>18.7</v>
      </c>
      <c r="S206" s="375">
        <f>'DATA-Employment'!R73</f>
        <v>18.100000000000001</v>
      </c>
      <c r="T206" s="513">
        <f t="shared" si="10"/>
        <v>15877434.979457093</v>
      </c>
      <c r="U206" s="40">
        <f t="shared" si="11"/>
        <v>-163705.0205429066</v>
      </c>
      <c r="V206" s="5">
        <f t="shared" si="12"/>
        <v>-1.0205323346277545E-2</v>
      </c>
      <c r="AD206">
        <f t="shared" si="13"/>
        <v>1.0205323346277546</v>
      </c>
    </row>
    <row r="207" spans="1:30" ht="15" x14ac:dyDescent="0.25">
      <c r="A207" s="3">
        <v>39814</v>
      </c>
      <c r="B207" s="518">
        <f>'DATA-Purchased Power'!S7</f>
        <v>16554529.999999998</v>
      </c>
      <c r="C207" s="518">
        <f>'DATA-Degree Days'!S8</f>
        <v>723.9</v>
      </c>
      <c r="D207" s="518">
        <f>'DATA-Degree Days'!S28</f>
        <v>0</v>
      </c>
      <c r="E207" s="518">
        <f>'DATA-Calendar'!S8</f>
        <v>336</v>
      </c>
      <c r="F207" s="518">
        <f>'DATA-Calendar'!S28</f>
        <v>31</v>
      </c>
      <c r="G207" s="518">
        <f>'DATA-Calendar'!S48</f>
        <v>0</v>
      </c>
      <c r="H207" s="518">
        <f>'DATA-Calendar'!S68</f>
        <v>0</v>
      </c>
      <c r="I207" s="518">
        <f>'DATA-Calendar'!S87</f>
        <v>0</v>
      </c>
      <c r="J207" s="518">
        <f>'DATA-Calendar'!S106</f>
        <v>0</v>
      </c>
      <c r="K207" s="518">
        <f>'DATA-Customers'!S25</f>
        <v>7777.999485817104</v>
      </c>
      <c r="L207" s="518">
        <f>'DATA-Population'!S8</f>
        <v>15015.109711558183</v>
      </c>
      <c r="M207" s="518">
        <f>'DATA-CDM'!S6</f>
        <v>188720.3762706721</v>
      </c>
      <c r="N207" s="519">
        <f>'DATA-GDP Qrtly'!T80</f>
        <v>133.8128838017825</v>
      </c>
      <c r="O207" s="519">
        <f>'DATA-GDP Annual'!U6</f>
        <v>138.43555825854429</v>
      </c>
      <c r="P207" s="375">
        <f>'DATA-Employment'!S8</f>
        <v>196.5</v>
      </c>
      <c r="Q207" s="375">
        <f>'DATA-Employment'!S26</f>
        <v>194.2</v>
      </c>
      <c r="R207" s="375">
        <f>'DATA-Employment'!S44</f>
        <v>18.5</v>
      </c>
      <c r="S207" s="375">
        <f>'DATA-Employment'!S62</f>
        <v>19.2</v>
      </c>
      <c r="T207" s="513">
        <f t="shared" si="10"/>
        <v>16340743.81081746</v>
      </c>
      <c r="U207" s="40">
        <f t="shared" si="11"/>
        <v>-213786.18918253854</v>
      </c>
      <c r="V207" s="5">
        <f t="shared" si="12"/>
        <v>-1.2914059727611631E-2</v>
      </c>
      <c r="AD207">
        <f t="shared" si="13"/>
        <v>1.2914059727611631</v>
      </c>
    </row>
    <row r="208" spans="1:30" ht="15" x14ac:dyDescent="0.25">
      <c r="A208" s="3">
        <v>39845</v>
      </c>
      <c r="B208" s="518">
        <f>'DATA-Purchased Power'!S8</f>
        <v>13951250</v>
      </c>
      <c r="C208" s="518">
        <f>'DATA-Degree Days'!S9</f>
        <v>537</v>
      </c>
      <c r="D208" s="518">
        <f>'DATA-Degree Days'!S29</f>
        <v>0</v>
      </c>
      <c r="E208" s="518">
        <f>'DATA-Calendar'!S9</f>
        <v>304</v>
      </c>
      <c r="F208" s="518">
        <f>'DATA-Calendar'!S29</f>
        <v>28</v>
      </c>
      <c r="G208" s="518">
        <f>'DATA-Calendar'!S49</f>
        <v>0</v>
      </c>
      <c r="H208" s="518">
        <f>'DATA-Calendar'!S69</f>
        <v>0</v>
      </c>
      <c r="I208" s="518">
        <f>'DATA-Calendar'!S88</f>
        <v>0</v>
      </c>
      <c r="J208" s="518">
        <f>'DATA-Calendar'!S107</f>
        <v>0</v>
      </c>
      <c r="K208" s="518">
        <f>'DATA-Customers'!S26</f>
        <v>7779.9994857730362</v>
      </c>
      <c r="L208" s="518">
        <f>'DATA-Population'!S9</f>
        <v>15028.688703423772</v>
      </c>
      <c r="M208" s="518">
        <f>'DATA-CDM'!S7</f>
        <v>185559.0957366105</v>
      </c>
      <c r="N208" s="519">
        <f>'DATA-GDP Qrtly'!T81</f>
        <v>132.89789032005686</v>
      </c>
      <c r="O208" s="519">
        <f>'DATA-GDP Annual'!U7</f>
        <v>138.06086905825526</v>
      </c>
      <c r="P208" s="375">
        <f>'DATA-Employment'!S9</f>
        <v>194</v>
      </c>
      <c r="Q208" s="375">
        <f>'DATA-Employment'!S27</f>
        <v>189.9</v>
      </c>
      <c r="R208" s="375">
        <f>'DATA-Employment'!S45</f>
        <v>19.8</v>
      </c>
      <c r="S208" s="375">
        <f>'DATA-Employment'!S63</f>
        <v>21.1</v>
      </c>
      <c r="T208" s="513">
        <f t="shared" si="10"/>
        <v>14164812.038223973</v>
      </c>
      <c r="U208" s="40">
        <f t="shared" si="11"/>
        <v>213562.03822397254</v>
      </c>
      <c r="V208" s="5">
        <f t="shared" si="12"/>
        <v>1.5307735021877792E-2</v>
      </c>
      <c r="AD208">
        <f t="shared" si="13"/>
        <v>1.5307735021877793</v>
      </c>
    </row>
    <row r="209" spans="1:30" ht="15" x14ac:dyDescent="0.25">
      <c r="A209" s="3">
        <v>39873</v>
      </c>
      <c r="B209" s="518">
        <f>'DATA-Purchased Power'!S9</f>
        <v>14481570</v>
      </c>
      <c r="C209" s="518">
        <f>'DATA-Degree Days'!S10</f>
        <v>509.1</v>
      </c>
      <c r="D209" s="518">
        <f>'DATA-Degree Days'!S30</f>
        <v>0</v>
      </c>
      <c r="E209" s="518">
        <f>'DATA-Calendar'!S10</f>
        <v>352</v>
      </c>
      <c r="F209" s="518">
        <f>'DATA-Calendar'!S30</f>
        <v>31</v>
      </c>
      <c r="G209" s="518">
        <f>'DATA-Calendar'!S50</f>
        <v>1</v>
      </c>
      <c r="H209" s="518">
        <f>'DATA-Calendar'!S70</f>
        <v>0</v>
      </c>
      <c r="I209" s="518">
        <f>'DATA-Calendar'!S89</f>
        <v>1</v>
      </c>
      <c r="J209" s="518">
        <f>'DATA-Calendar'!S108</f>
        <v>0</v>
      </c>
      <c r="K209" s="518">
        <f>'DATA-Customers'!S27</f>
        <v>7782</v>
      </c>
      <c r="L209" s="518">
        <f>'DATA-Population'!S10</f>
        <v>15042.279975520649</v>
      </c>
      <c r="M209" s="518">
        <f>'DATA-CDM'!S8</f>
        <v>182397.8152025489</v>
      </c>
      <c r="N209" s="519">
        <f>'DATA-GDP Qrtly'!T82</f>
        <v>131.98915343371885</v>
      </c>
      <c r="O209" s="519">
        <f>'DATA-GDP Annual'!U8</f>
        <v>137.68719399045199</v>
      </c>
      <c r="P209" s="375">
        <f>'DATA-Employment'!S10</f>
        <v>190.6</v>
      </c>
      <c r="Q209" s="375">
        <f>'DATA-Employment'!S28</f>
        <v>185.8</v>
      </c>
      <c r="R209" s="375">
        <f>'DATA-Employment'!S46</f>
        <v>20.399999999999999</v>
      </c>
      <c r="S209" s="375">
        <f>'DATA-Employment'!S64</f>
        <v>22</v>
      </c>
      <c r="T209" s="513">
        <f t="shared" si="10"/>
        <v>14578226.572494593</v>
      </c>
      <c r="U209" s="40">
        <f t="shared" si="11"/>
        <v>96656.572494592518</v>
      </c>
      <c r="V209" s="5">
        <f t="shared" si="12"/>
        <v>6.6744539780281085E-3</v>
      </c>
      <c r="AD209">
        <f t="shared" si="13"/>
        <v>0.66744539780281087</v>
      </c>
    </row>
    <row r="210" spans="1:30" ht="15" x14ac:dyDescent="0.25">
      <c r="A210" s="3">
        <v>39904</v>
      </c>
      <c r="B210" s="518">
        <f>'DATA-Purchased Power'!S10</f>
        <v>13161080</v>
      </c>
      <c r="C210" s="518">
        <f>'DATA-Degree Days'!S11</f>
        <v>315.39999999999998</v>
      </c>
      <c r="D210" s="518">
        <f>'DATA-Degree Days'!S31</f>
        <v>0</v>
      </c>
      <c r="E210" s="518">
        <f>'DATA-Calendar'!S11</f>
        <v>320</v>
      </c>
      <c r="F210" s="518">
        <f>'DATA-Calendar'!S31</f>
        <v>30</v>
      </c>
      <c r="G210" s="518">
        <f>'DATA-Calendar'!S51</f>
        <v>1</v>
      </c>
      <c r="H210" s="518">
        <f>'DATA-Calendar'!S71</f>
        <v>0</v>
      </c>
      <c r="I210" s="518">
        <f>'DATA-Calendar'!S90</f>
        <v>1</v>
      </c>
      <c r="J210" s="518">
        <f>'DATA-Calendar'!S109</f>
        <v>0</v>
      </c>
      <c r="K210" s="518">
        <f>'DATA-Customers'!S28</f>
        <v>7800.2903112853855</v>
      </c>
      <c r="L210" s="518">
        <f>'DATA-Population'!S11</f>
        <v>15055.883538954506</v>
      </c>
      <c r="M210" s="518">
        <f>'DATA-CDM'!S9</f>
        <v>179236.53466848729</v>
      </c>
      <c r="N210" s="519">
        <f>'DATA-GDP Qrtly'!T83</f>
        <v>131.51988287924658</v>
      </c>
      <c r="O210" s="519">
        <f>'DATA-GDP Annual'!U9</f>
        <v>137.31453031028698</v>
      </c>
      <c r="P210" s="375">
        <f>'DATA-Employment'!S11</f>
        <v>186.1</v>
      </c>
      <c r="Q210" s="375">
        <f>'DATA-Employment'!S29</f>
        <v>181.5</v>
      </c>
      <c r="R210" s="375">
        <f>'DATA-Employment'!S47</f>
        <v>21.9</v>
      </c>
      <c r="S210" s="375">
        <f>'DATA-Employment'!S65</f>
        <v>23.1</v>
      </c>
      <c r="T210" s="513">
        <f t="shared" si="10"/>
        <v>13348174.67343582</v>
      </c>
      <c r="U210" s="40">
        <f t="shared" si="11"/>
        <v>187094.67343582027</v>
      </c>
      <c r="V210" s="5">
        <f t="shared" si="12"/>
        <v>1.4215753831434827E-2</v>
      </c>
      <c r="AD210">
        <f t="shared" si="13"/>
        <v>1.4215753831434828</v>
      </c>
    </row>
    <row r="211" spans="1:30" ht="15" x14ac:dyDescent="0.25">
      <c r="A211" s="3">
        <v>39934</v>
      </c>
      <c r="B211" s="518">
        <f>'DATA-Purchased Power'!S11</f>
        <v>13263096.673492307</v>
      </c>
      <c r="C211" s="518">
        <f>'DATA-Degree Days'!S12</f>
        <v>179.22499999999999</v>
      </c>
      <c r="D211" s="518">
        <f>'DATA-Degree Days'!S32</f>
        <v>0</v>
      </c>
      <c r="E211" s="518">
        <f>'DATA-Calendar'!S12</f>
        <v>320</v>
      </c>
      <c r="F211" s="518">
        <f>'DATA-Calendar'!S32</f>
        <v>31</v>
      </c>
      <c r="G211" s="518">
        <f>'DATA-Calendar'!S52</f>
        <v>1</v>
      </c>
      <c r="H211" s="518">
        <f>'DATA-Calendar'!S72</f>
        <v>0</v>
      </c>
      <c r="I211" s="518">
        <f>'DATA-Calendar'!S91</f>
        <v>1</v>
      </c>
      <c r="J211" s="518">
        <f>'DATA-Calendar'!S110</f>
        <v>0</v>
      </c>
      <c r="K211" s="518">
        <f>'DATA-Customers'!S29</f>
        <v>7818.6236109396887</v>
      </c>
      <c r="L211" s="518">
        <f>'DATA-Population'!S12</f>
        <v>15069.499404841075</v>
      </c>
      <c r="M211" s="518">
        <f>'DATA-CDM'!S10</f>
        <v>176075.25413442569</v>
      </c>
      <c r="N211" s="519">
        <f>'DATA-GDP Qrtly'!T84</f>
        <v>131.05228075621406</v>
      </c>
      <c r="O211" s="519">
        <f>'DATA-GDP Annual'!U10</f>
        <v>136.94287528034204</v>
      </c>
      <c r="P211" s="375">
        <f>'DATA-Employment'!S12</f>
        <v>183.5</v>
      </c>
      <c r="Q211" s="375">
        <f>'DATA-Employment'!S30</f>
        <v>181.1</v>
      </c>
      <c r="R211" s="375">
        <f>'DATA-Employment'!S48</f>
        <v>21.8</v>
      </c>
      <c r="S211" s="375">
        <f>'DATA-Employment'!S66</f>
        <v>22.8</v>
      </c>
      <c r="T211" s="513">
        <f t="shared" si="10"/>
        <v>13300649.077627379</v>
      </c>
      <c r="U211" s="40">
        <f t="shared" si="11"/>
        <v>37552.404135072604</v>
      </c>
      <c r="V211" s="5">
        <f t="shared" si="12"/>
        <v>2.8313451269736298E-3</v>
      </c>
      <c r="AD211">
        <f t="shared" si="13"/>
        <v>0.28313451269736301</v>
      </c>
    </row>
    <row r="212" spans="1:30" ht="15" x14ac:dyDescent="0.25">
      <c r="A212" s="3">
        <v>39965</v>
      </c>
      <c r="B212" s="518">
        <f>'DATA-Purchased Power'!S12</f>
        <v>14180624.276246155</v>
      </c>
      <c r="C212" s="518">
        <f>'DATA-Degree Days'!S13</f>
        <v>66.8</v>
      </c>
      <c r="D212" s="518">
        <f>'DATA-Degree Days'!S33</f>
        <v>33</v>
      </c>
      <c r="E212" s="518">
        <f>'DATA-Calendar'!S13</f>
        <v>352</v>
      </c>
      <c r="F212" s="518">
        <f>'DATA-Calendar'!S33</f>
        <v>30</v>
      </c>
      <c r="G212" s="518">
        <f>'DATA-Calendar'!S53</f>
        <v>0</v>
      </c>
      <c r="H212" s="518">
        <f>'DATA-Calendar'!S73</f>
        <v>0</v>
      </c>
      <c r="I212" s="518">
        <f>'DATA-Calendar'!S92</f>
        <v>0</v>
      </c>
      <c r="J212" s="518">
        <f>'DATA-Calendar'!S111</f>
        <v>0</v>
      </c>
      <c r="K212" s="518">
        <f>'DATA-Customers'!S30</f>
        <v>7837</v>
      </c>
      <c r="L212" s="518">
        <f>'DATA-Population'!S13</f>
        <v>15083.127584306145</v>
      </c>
      <c r="M212" s="518">
        <f>'DATA-CDM'!S11</f>
        <v>172913.97360036409</v>
      </c>
      <c r="N212" s="519">
        <f>'DATA-GDP Qrtly'!T85</f>
        <v>130.58634113272666</v>
      </c>
      <c r="O212" s="519">
        <f>'DATA-GDP Annual'!U11</f>
        <v>136.57222617060793</v>
      </c>
      <c r="P212" s="375">
        <f>'DATA-Employment'!S13</f>
        <v>183.4</v>
      </c>
      <c r="Q212" s="375">
        <f>'DATA-Employment'!S31</f>
        <v>184.3</v>
      </c>
      <c r="R212" s="375">
        <f>'DATA-Employment'!S49</f>
        <v>22.5</v>
      </c>
      <c r="S212" s="375">
        <f>'DATA-Employment'!S67</f>
        <v>22.5</v>
      </c>
      <c r="T212" s="513">
        <f t="shared" si="10"/>
        <v>14363013.384829437</v>
      </c>
      <c r="U212" s="40">
        <f t="shared" si="11"/>
        <v>182389.10858328268</v>
      </c>
      <c r="V212" s="5">
        <f t="shared" si="12"/>
        <v>1.2861853260494402E-2</v>
      </c>
      <c r="AD212">
        <f t="shared" si="13"/>
        <v>1.2861853260494402</v>
      </c>
    </row>
    <row r="213" spans="1:30" ht="15" x14ac:dyDescent="0.25">
      <c r="A213" s="3">
        <v>39995</v>
      </c>
      <c r="B213" s="518">
        <f>'DATA-Purchased Power'!S13</f>
        <v>16044762.08466154</v>
      </c>
      <c r="C213" s="518">
        <f>'DATA-Degree Days'!S14</f>
        <v>0.6</v>
      </c>
      <c r="D213" s="518">
        <f>'DATA-Degree Days'!S34</f>
        <v>56.8</v>
      </c>
      <c r="E213" s="518">
        <f>'DATA-Calendar'!S14</f>
        <v>352</v>
      </c>
      <c r="F213" s="518">
        <f>'DATA-Calendar'!S34</f>
        <v>31</v>
      </c>
      <c r="G213" s="518">
        <f>'DATA-Calendar'!S54</f>
        <v>0</v>
      </c>
      <c r="H213" s="518">
        <f>'DATA-Calendar'!S74</f>
        <v>1</v>
      </c>
      <c r="I213" s="518">
        <f>'DATA-Calendar'!S93</f>
        <v>0</v>
      </c>
      <c r="J213" s="518">
        <f>'DATA-Calendar'!S112</f>
        <v>0</v>
      </c>
      <c r="K213" s="518">
        <f>'DATA-Customers'!S31</f>
        <v>7825.9845241985386</v>
      </c>
      <c r="L213" s="518">
        <f>'DATA-Population'!S14</f>
        <v>15096.768088485564</v>
      </c>
      <c r="M213" s="518">
        <f>'DATA-CDM'!S12</f>
        <v>169752.69306630248</v>
      </c>
      <c r="N213" s="519">
        <f>'DATA-GDP Qrtly'!T86</f>
        <v>130.69991215470498</v>
      </c>
      <c r="O213" s="519">
        <f>'DATA-GDP Annual'!U12</f>
        <v>136.20258025846454</v>
      </c>
      <c r="P213" s="375">
        <f>'DATA-Employment'!S14</f>
        <v>185.3</v>
      </c>
      <c r="Q213" s="375">
        <f>'DATA-Employment'!S32</f>
        <v>188.8</v>
      </c>
      <c r="R213" s="375">
        <f>'DATA-Employment'!S50</f>
        <v>21.8</v>
      </c>
      <c r="S213" s="375">
        <f>'DATA-Employment'!S68</f>
        <v>21.6</v>
      </c>
      <c r="T213" s="513">
        <f t="shared" si="10"/>
        <v>15953959.123331318</v>
      </c>
      <c r="U213" s="40">
        <f t="shared" si="11"/>
        <v>-90802.961330221966</v>
      </c>
      <c r="V213" s="5">
        <f t="shared" si="12"/>
        <v>-5.6593523076934691E-3</v>
      </c>
      <c r="AD213">
        <f t="shared" si="13"/>
        <v>0.56593523076934693</v>
      </c>
    </row>
    <row r="214" spans="1:30" ht="15" x14ac:dyDescent="0.25">
      <c r="A214" s="3">
        <v>40026</v>
      </c>
      <c r="B214" s="518">
        <f>'DATA-Purchased Power'!S14</f>
        <v>18366242.474953849</v>
      </c>
      <c r="C214" s="518">
        <f>'DATA-Degree Days'!S15</f>
        <v>3.9</v>
      </c>
      <c r="D214" s="518">
        <f>'DATA-Degree Days'!S35</f>
        <v>118.8</v>
      </c>
      <c r="E214" s="518">
        <f>'DATA-Calendar'!S15</f>
        <v>320</v>
      </c>
      <c r="F214" s="518">
        <f>'DATA-Calendar'!S35</f>
        <v>31</v>
      </c>
      <c r="G214" s="518">
        <f>'DATA-Calendar'!S55</f>
        <v>0</v>
      </c>
      <c r="H214" s="518">
        <f>'DATA-Calendar'!S75</f>
        <v>1</v>
      </c>
      <c r="I214" s="518">
        <f>'DATA-Calendar'!S94</f>
        <v>0</v>
      </c>
      <c r="J214" s="518">
        <f>'DATA-Calendar'!S113</f>
        <v>0</v>
      </c>
      <c r="K214" s="518">
        <f>'DATA-Customers'!S32</f>
        <v>7814.9845314527274</v>
      </c>
      <c r="L214" s="518">
        <f>'DATA-Population'!S15</f>
        <v>15110.420928525249</v>
      </c>
      <c r="M214" s="518">
        <f>'DATA-CDM'!S13</f>
        <v>166591.41253224088</v>
      </c>
      <c r="N214" s="519">
        <f>'DATA-GDP Qrtly'!T87</f>
        <v>130.81358194947163</v>
      </c>
      <c r="O214" s="519">
        <f>'DATA-GDP Annual'!U13</f>
        <v>135.83393482866074</v>
      </c>
      <c r="P214" s="375">
        <f>'DATA-Employment'!S15</f>
        <v>187.7</v>
      </c>
      <c r="Q214" s="375">
        <f>'DATA-Employment'!S33</f>
        <v>192.7</v>
      </c>
      <c r="R214" s="375">
        <f>'DATA-Employment'!S51</f>
        <v>21</v>
      </c>
      <c r="S214" s="375">
        <f>'DATA-Employment'!S69</f>
        <v>20</v>
      </c>
      <c r="T214" s="513">
        <f t="shared" si="10"/>
        <v>17973246.458124604</v>
      </c>
      <c r="U214" s="40">
        <f t="shared" si="11"/>
        <v>-392996.01682924479</v>
      </c>
      <c r="V214" s="5">
        <f t="shared" si="12"/>
        <v>-2.1397736492109135E-2</v>
      </c>
      <c r="AD214">
        <f t="shared" si="13"/>
        <v>2.1397736492109134</v>
      </c>
    </row>
    <row r="215" spans="1:30" ht="15" x14ac:dyDescent="0.25">
      <c r="A215" s="3">
        <v>40057</v>
      </c>
      <c r="B215" s="518">
        <f>'DATA-Purchased Power'!S15</f>
        <v>14930878.169138461</v>
      </c>
      <c r="C215" s="518">
        <f>'DATA-Degree Days'!S16</f>
        <v>32.4</v>
      </c>
      <c r="D215" s="518">
        <f>'DATA-Degree Days'!S36</f>
        <v>30.7</v>
      </c>
      <c r="E215" s="518">
        <f>'DATA-Calendar'!S16</f>
        <v>336</v>
      </c>
      <c r="F215" s="518">
        <f>'DATA-Calendar'!S36</f>
        <v>30</v>
      </c>
      <c r="G215" s="518">
        <f>'DATA-Calendar'!S56</f>
        <v>1</v>
      </c>
      <c r="H215" s="518">
        <f>'DATA-Calendar'!S76</f>
        <v>1</v>
      </c>
      <c r="I215" s="518">
        <f>'DATA-Calendar'!S95</f>
        <v>0</v>
      </c>
      <c r="J215" s="518">
        <f>'DATA-Calendar'!S114</f>
        <v>1</v>
      </c>
      <c r="K215" s="518">
        <f>'DATA-Customers'!S33</f>
        <v>7804</v>
      </c>
      <c r="L215" s="518">
        <f>'DATA-Population'!S16</f>
        <v>15124.0861155812</v>
      </c>
      <c r="M215" s="518">
        <f>'DATA-CDM'!S14</f>
        <v>163430.13199817928</v>
      </c>
      <c r="N215" s="519">
        <f>'DATA-GDP Qrtly'!T88</f>
        <v>130.92735060292938</v>
      </c>
      <c r="O215" s="519">
        <f>'DATA-GDP Annual'!U14</f>
        <v>135.46628717329455</v>
      </c>
      <c r="P215" s="375">
        <f>'DATA-Employment'!S16</f>
        <v>188.2</v>
      </c>
      <c r="Q215" s="375">
        <f>'DATA-Employment'!S34</f>
        <v>191.6</v>
      </c>
      <c r="R215" s="375">
        <f>'DATA-Employment'!S52</f>
        <v>21</v>
      </c>
      <c r="S215" s="375">
        <f>'DATA-Employment'!S70</f>
        <v>20.2</v>
      </c>
      <c r="T215" s="513">
        <f t="shared" si="10"/>
        <v>14664890.801160831</v>
      </c>
      <c r="U215" s="40">
        <f t="shared" si="11"/>
        <v>-265987.36797763035</v>
      </c>
      <c r="V215" s="5">
        <f t="shared" si="12"/>
        <v>-1.7814582971242495E-2</v>
      </c>
      <c r="AD215">
        <f t="shared" si="13"/>
        <v>1.7814582971242494</v>
      </c>
    </row>
    <row r="216" spans="1:30" ht="15" x14ac:dyDescent="0.25">
      <c r="A216" s="3">
        <v>40087</v>
      </c>
      <c r="B216" s="518">
        <f>'DATA-Purchased Power'!S16</f>
        <v>13943626.872169232</v>
      </c>
      <c r="C216" s="518">
        <f>'DATA-Degree Days'!S17</f>
        <v>241.2</v>
      </c>
      <c r="D216" s="518">
        <f>'DATA-Degree Days'!S37</f>
        <v>0</v>
      </c>
      <c r="E216" s="518">
        <f>'DATA-Calendar'!S17</f>
        <v>336</v>
      </c>
      <c r="F216" s="518">
        <f>'DATA-Calendar'!S37</f>
        <v>31</v>
      </c>
      <c r="G216" s="518">
        <f>'DATA-Calendar'!S57</f>
        <v>1</v>
      </c>
      <c r="H216" s="518">
        <f>'DATA-Calendar'!S77</f>
        <v>0</v>
      </c>
      <c r="I216" s="518">
        <f>'DATA-Calendar'!S96</f>
        <v>0</v>
      </c>
      <c r="J216" s="518">
        <f>'DATA-Calendar'!S115</f>
        <v>1</v>
      </c>
      <c r="K216" s="518">
        <f>'DATA-Customers'!S34</f>
        <v>7821.9586416963775</v>
      </c>
      <c r="L216" s="518">
        <f>'DATA-Population'!S17</f>
        <v>15137.763660819504</v>
      </c>
      <c r="M216" s="518">
        <f>'DATA-CDM'!S15</f>
        <v>160268.85146411767</v>
      </c>
      <c r="N216" s="519">
        <f>'DATA-GDP Qrtly'!T89</f>
        <v>131.64590507896409</v>
      </c>
      <c r="O216" s="519">
        <f>'DATA-GDP Annual'!U15</f>
        <v>135.09963459179312</v>
      </c>
      <c r="P216" s="375">
        <f>'DATA-Employment'!S17</f>
        <v>189</v>
      </c>
      <c r="Q216" s="375">
        <f>'DATA-Employment'!S35</f>
        <v>192.3</v>
      </c>
      <c r="R216" s="375">
        <f>'DATA-Employment'!S53</f>
        <v>21.5</v>
      </c>
      <c r="S216" s="375">
        <f>'DATA-Employment'!S71</f>
        <v>19.899999999999999</v>
      </c>
      <c r="T216" s="513">
        <f t="shared" si="10"/>
        <v>14280006.257244224</v>
      </c>
      <c r="U216" s="40">
        <f t="shared" si="11"/>
        <v>336379.38507499173</v>
      </c>
      <c r="V216" s="5">
        <f t="shared" si="12"/>
        <v>2.4124238848243124E-2</v>
      </c>
      <c r="AD216">
        <f t="shared" si="13"/>
        <v>2.4124238848243125</v>
      </c>
    </row>
    <row r="217" spans="1:30" ht="15" x14ac:dyDescent="0.25">
      <c r="A217" s="3">
        <v>40118</v>
      </c>
      <c r="B217" s="518">
        <f>'DATA-Purchased Power'!S17</f>
        <v>13528583.634523079</v>
      </c>
      <c r="C217" s="518">
        <f>'DATA-Degree Days'!S18</f>
        <v>320.8</v>
      </c>
      <c r="D217" s="518">
        <f>'DATA-Degree Days'!S38</f>
        <v>0</v>
      </c>
      <c r="E217" s="518">
        <f>'DATA-Calendar'!S18</f>
        <v>320</v>
      </c>
      <c r="F217" s="518">
        <f>'DATA-Calendar'!S38</f>
        <v>30</v>
      </c>
      <c r="G217" s="518">
        <f>'DATA-Calendar'!S58</f>
        <v>1</v>
      </c>
      <c r="H217" s="518">
        <f>'DATA-Calendar'!S78</f>
        <v>0</v>
      </c>
      <c r="I217" s="518">
        <f>'DATA-Calendar'!S97</f>
        <v>0</v>
      </c>
      <c r="J217" s="518">
        <f>'DATA-Calendar'!S116</f>
        <v>1</v>
      </c>
      <c r="K217" s="518">
        <f>'DATA-Customers'!S35</f>
        <v>7839.9586099959815</v>
      </c>
      <c r="L217" s="518">
        <f>'DATA-Population'!S18</f>
        <v>15151.453575416348</v>
      </c>
      <c r="M217" s="518">
        <f>'DATA-CDM'!S16</f>
        <v>157107.57093005607</v>
      </c>
      <c r="N217" s="519">
        <f>'DATA-GDP Qrtly'!T90</f>
        <v>132.36840312013359</v>
      </c>
      <c r="O217" s="519">
        <f>'DATA-GDP Annual'!U16</f>
        <v>134.733974390893</v>
      </c>
      <c r="P217" s="375">
        <f>'DATA-Employment'!S18</f>
        <v>189.5</v>
      </c>
      <c r="Q217" s="375">
        <f>'DATA-Employment'!S36</f>
        <v>191.3</v>
      </c>
      <c r="R217" s="375">
        <f>'DATA-Employment'!S54</f>
        <v>22.3</v>
      </c>
      <c r="S217" s="375">
        <f>'DATA-Employment'!S72</f>
        <v>20.7</v>
      </c>
      <c r="T217" s="513">
        <f t="shared" si="10"/>
        <v>14056579.909026569</v>
      </c>
      <c r="U217" s="40">
        <f t="shared" si="11"/>
        <v>527996.27450348996</v>
      </c>
      <c r="V217" s="5">
        <f t="shared" si="12"/>
        <v>3.9028200495143953E-2</v>
      </c>
      <c r="AD217">
        <f t="shared" si="13"/>
        <v>3.9028200495143954</v>
      </c>
    </row>
    <row r="218" spans="1:30" ht="15" x14ac:dyDescent="0.25">
      <c r="A218" s="3">
        <v>40148</v>
      </c>
      <c r="B218" s="518">
        <f>'DATA-Purchased Power'!S18</f>
        <v>15929136.64069231</v>
      </c>
      <c r="C218" s="518">
        <f>'DATA-Degree Days'!S19</f>
        <v>565.29999999999995</v>
      </c>
      <c r="D218" s="518">
        <f>'DATA-Degree Days'!S39</f>
        <v>0</v>
      </c>
      <c r="E218" s="518">
        <f>'DATA-Calendar'!S19</f>
        <v>352</v>
      </c>
      <c r="F218" s="518">
        <f>'DATA-Calendar'!S39</f>
        <v>31</v>
      </c>
      <c r="G218" s="518">
        <f>'DATA-Calendar'!S59</f>
        <v>0</v>
      </c>
      <c r="H218" s="518">
        <f>'DATA-Calendar'!S79</f>
        <v>0</v>
      </c>
      <c r="I218" s="518">
        <f>'DATA-Calendar'!S98</f>
        <v>0</v>
      </c>
      <c r="J218" s="518">
        <f>'DATA-Calendar'!S117</f>
        <v>0</v>
      </c>
      <c r="K218" s="518">
        <f>'DATA-Customers'!S36</f>
        <v>7858</v>
      </c>
      <c r="L218" s="518">
        <f>'DATA-Population'!S19</f>
        <v>15165.155870558025</v>
      </c>
      <c r="M218" s="518">
        <f>'DATA-CDM'!S17</f>
        <v>153946.29039599447</v>
      </c>
      <c r="N218" s="519">
        <f>'DATA-GDP Qrtly'!T91</f>
        <v>133.09486636948171</v>
      </c>
      <c r="O218" s="519">
        <f>'DATA-GDP Annual'!U17</f>
        <v>134.36930388462019</v>
      </c>
      <c r="P218" s="375">
        <f>'DATA-Employment'!S19</f>
        <v>189.2</v>
      </c>
      <c r="Q218" s="375">
        <f>'DATA-Employment'!S37</f>
        <v>189.8</v>
      </c>
      <c r="R218" s="375">
        <f>'DATA-Employment'!S55</f>
        <v>22.7</v>
      </c>
      <c r="S218" s="375">
        <f>'DATA-Employment'!S73</f>
        <v>22</v>
      </c>
      <c r="T218" s="513">
        <f t="shared" si="10"/>
        <v>15410878.212168135</v>
      </c>
      <c r="U218" s="40">
        <f t="shared" si="11"/>
        <v>-518258.42852417566</v>
      </c>
      <c r="V218" s="5">
        <f t="shared" si="12"/>
        <v>-3.2535249098199159E-2</v>
      </c>
      <c r="AD218">
        <f t="shared" si="13"/>
        <v>3.2535249098199159</v>
      </c>
    </row>
    <row r="219" spans="1:30" ht="15" x14ac:dyDescent="0.25">
      <c r="A219" s="3">
        <v>40179</v>
      </c>
      <c r="B219" s="518">
        <f>'DATA-Purchased Power'!T7</f>
        <v>16055865.643200001</v>
      </c>
      <c r="C219" s="518">
        <f>'DATA-Degree Days'!T8</f>
        <v>653.29999999999995</v>
      </c>
      <c r="D219" s="518">
        <f>'DATA-Degree Days'!T28</f>
        <v>0</v>
      </c>
      <c r="E219" s="518">
        <f>'DATA-Calendar'!T8</f>
        <v>320</v>
      </c>
      <c r="F219" s="518">
        <f>'DATA-Calendar'!T28</f>
        <v>31</v>
      </c>
      <c r="G219" s="518">
        <f>'DATA-Calendar'!T48</f>
        <v>0</v>
      </c>
      <c r="H219" s="518">
        <f>'DATA-Calendar'!T68</f>
        <v>0</v>
      </c>
      <c r="I219" s="518">
        <f>'DATA-Calendar'!T87</f>
        <v>0</v>
      </c>
      <c r="J219" s="518">
        <f>'DATA-Calendar'!T106</f>
        <v>0</v>
      </c>
      <c r="K219" s="518">
        <f>'DATA-Customers'!T25</f>
        <v>7847.9872470553046</v>
      </c>
      <c r="L219" s="518">
        <f>'DATA-Population'!T8</f>
        <v>15178.870557440943</v>
      </c>
      <c r="M219" s="518">
        <f>'DATA-CDM'!T6</f>
        <v>157326.3482837902</v>
      </c>
      <c r="N219" s="519">
        <f>'DATA-GDP Qrtly'!U80</f>
        <v>133.59024020281188</v>
      </c>
      <c r="O219" s="519">
        <f>'DATA-GDP Annual'!V6</f>
        <v>134.72247169214629</v>
      </c>
      <c r="P219" s="375">
        <f>'DATA-Employment'!T8</f>
        <v>189.5</v>
      </c>
      <c r="Q219" s="375">
        <f>'DATA-Employment'!T26</f>
        <v>187.8</v>
      </c>
      <c r="R219" s="375">
        <f>'DATA-Employment'!T44</f>
        <v>23</v>
      </c>
      <c r="S219" s="375">
        <f>'DATA-Employment'!T62</f>
        <v>23.7</v>
      </c>
      <c r="T219" s="513">
        <f t="shared" si="10"/>
        <v>15764037.836550627</v>
      </c>
      <c r="U219" s="40">
        <f t="shared" si="11"/>
        <v>-291827.80664937384</v>
      </c>
      <c r="V219" s="5">
        <f t="shared" si="12"/>
        <v>-1.8175775329371237E-2</v>
      </c>
      <c r="AD219">
        <f t="shared" si="13"/>
        <v>1.8175775329371238</v>
      </c>
    </row>
    <row r="220" spans="1:30" ht="15" x14ac:dyDescent="0.25">
      <c r="A220" s="3">
        <v>40210</v>
      </c>
      <c r="B220" s="518">
        <f>'DATA-Purchased Power'!T8</f>
        <v>14086273.1338</v>
      </c>
      <c r="C220" s="518">
        <f>'DATA-Degree Days'!T9</f>
        <v>551.1</v>
      </c>
      <c r="D220" s="518">
        <f>'DATA-Degree Days'!T29</f>
        <v>0</v>
      </c>
      <c r="E220" s="518">
        <f>'DATA-Calendar'!T9</f>
        <v>304</v>
      </c>
      <c r="F220" s="518">
        <f>'DATA-Calendar'!T29</f>
        <v>28</v>
      </c>
      <c r="G220" s="518">
        <f>'DATA-Calendar'!T49</f>
        <v>0</v>
      </c>
      <c r="H220" s="518">
        <f>'DATA-Calendar'!T69</f>
        <v>0</v>
      </c>
      <c r="I220" s="518">
        <f>'DATA-Calendar'!T88</f>
        <v>0</v>
      </c>
      <c r="J220" s="518">
        <f>'DATA-Calendar'!T107</f>
        <v>0</v>
      </c>
      <c r="K220" s="518">
        <f>'DATA-Customers'!T26</f>
        <v>7837.987252474255</v>
      </c>
      <c r="L220" s="518">
        <f>'DATA-Population'!T9</f>
        <v>15192.597647271639</v>
      </c>
      <c r="M220" s="518">
        <f>'DATA-CDM'!T7</f>
        <v>160706.40617158593</v>
      </c>
      <c r="N220" s="519">
        <f>'DATA-GDP Qrtly'!U81</f>
        <v>134.08745779797482</v>
      </c>
      <c r="O220" s="519">
        <f>'DATA-GDP Annual'!V7</f>
        <v>135.07656774367356</v>
      </c>
      <c r="P220" s="375">
        <f>'DATA-Employment'!T9</f>
        <v>189.9</v>
      </c>
      <c r="Q220" s="375">
        <f>'DATA-Employment'!T27</f>
        <v>186.2</v>
      </c>
      <c r="R220" s="375">
        <f>'DATA-Employment'!T45</f>
        <v>22.7</v>
      </c>
      <c r="S220" s="375">
        <f>'DATA-Employment'!T63</f>
        <v>24.2</v>
      </c>
      <c r="T220" s="513">
        <f t="shared" si="10"/>
        <v>13961205.401218692</v>
      </c>
      <c r="U220" s="40">
        <f t="shared" si="11"/>
        <v>-125067.73258130811</v>
      </c>
      <c r="V220" s="5">
        <f t="shared" si="12"/>
        <v>-8.8786956914251643E-3</v>
      </c>
      <c r="AD220">
        <f t="shared" si="13"/>
        <v>0.88786956914251647</v>
      </c>
    </row>
    <row r="221" spans="1:30" ht="15" x14ac:dyDescent="0.25">
      <c r="A221" s="3">
        <v>40238</v>
      </c>
      <c r="B221" s="518">
        <f>'DATA-Purchased Power'!T9</f>
        <v>14104948</v>
      </c>
      <c r="C221" s="518">
        <f>'DATA-Degree Days'!T10</f>
        <v>434.7</v>
      </c>
      <c r="D221" s="518">
        <f>'DATA-Degree Days'!T30</f>
        <v>0</v>
      </c>
      <c r="E221" s="518">
        <f>'DATA-Calendar'!T10</f>
        <v>368</v>
      </c>
      <c r="F221" s="518">
        <f>'DATA-Calendar'!T30</f>
        <v>31</v>
      </c>
      <c r="G221" s="518">
        <f>'DATA-Calendar'!T50</f>
        <v>1</v>
      </c>
      <c r="H221" s="518">
        <f>'DATA-Calendar'!T70</f>
        <v>0</v>
      </c>
      <c r="I221" s="518">
        <f>'DATA-Calendar'!T89</f>
        <v>1</v>
      </c>
      <c r="J221" s="518">
        <f>'DATA-Calendar'!T108</f>
        <v>0</v>
      </c>
      <c r="K221" s="518">
        <f>'DATA-Customers'!T27</f>
        <v>7828</v>
      </c>
      <c r="L221" s="518">
        <f>'DATA-Population'!T10</f>
        <v>15206.337151266782</v>
      </c>
      <c r="M221" s="518">
        <f>'DATA-CDM'!T8</f>
        <v>164086.46405938166</v>
      </c>
      <c r="N221" s="519">
        <f>'DATA-GDP Qrtly'!U82</f>
        <v>134.58652601737916</v>
      </c>
      <c r="O221" s="519">
        <f>'DATA-GDP Annual'!V8</f>
        <v>135.43159447894001</v>
      </c>
      <c r="P221" s="375">
        <f>'DATA-Employment'!T10</f>
        <v>191.5</v>
      </c>
      <c r="Q221" s="375">
        <f>'DATA-Employment'!T28</f>
        <v>186.9</v>
      </c>
      <c r="R221" s="375">
        <f>'DATA-Employment'!T46</f>
        <v>21.5</v>
      </c>
      <c r="S221" s="375">
        <f>'DATA-Employment'!T64</f>
        <v>23.3</v>
      </c>
      <c r="T221" s="513">
        <f t="shared" si="10"/>
        <v>14110237.301944612</v>
      </c>
      <c r="U221" s="40">
        <f t="shared" si="11"/>
        <v>5289.3019446115941</v>
      </c>
      <c r="V221" s="5">
        <f t="shared" si="12"/>
        <v>3.7499620307792654E-4</v>
      </c>
      <c r="AD221">
        <f t="shared" si="13"/>
        <v>3.7499620307792657E-2</v>
      </c>
    </row>
    <row r="222" spans="1:30" ht="15" x14ac:dyDescent="0.25">
      <c r="A222" s="3">
        <v>40269</v>
      </c>
      <c r="B222" s="518">
        <f>'DATA-Purchased Power'!T10</f>
        <v>12825361.5152</v>
      </c>
      <c r="C222" s="518">
        <f>'DATA-Degree Days'!T11</f>
        <v>253.2</v>
      </c>
      <c r="D222" s="518">
        <f>'DATA-Degree Days'!T31</f>
        <v>0</v>
      </c>
      <c r="E222" s="518">
        <f>'DATA-Calendar'!T11</f>
        <v>320</v>
      </c>
      <c r="F222" s="518">
        <f>'DATA-Calendar'!T31</f>
        <v>30</v>
      </c>
      <c r="G222" s="518">
        <f>'DATA-Calendar'!T51</f>
        <v>1</v>
      </c>
      <c r="H222" s="518">
        <f>'DATA-Calendar'!T71</f>
        <v>0</v>
      </c>
      <c r="I222" s="518">
        <f>'DATA-Calendar'!T90</f>
        <v>1</v>
      </c>
      <c r="J222" s="518">
        <f>'DATA-Calendar'!T109</f>
        <v>0</v>
      </c>
      <c r="K222" s="518">
        <f>'DATA-Customers'!T28</f>
        <v>7826.9998722262435</v>
      </c>
      <c r="L222" s="518">
        <f>'DATA-Population'!T11</f>
        <v>15220.089080653186</v>
      </c>
      <c r="M222" s="518">
        <f>'DATA-CDM'!T9</f>
        <v>167466.52194717739</v>
      </c>
      <c r="N222" s="519">
        <f>'DATA-GDP Qrtly'!U83</f>
        <v>134.78122904207251</v>
      </c>
      <c r="O222" s="519">
        <f>'DATA-GDP Annual'!V9</f>
        <v>135.78755434409612</v>
      </c>
      <c r="P222" s="375">
        <f>'DATA-Employment'!T11</f>
        <v>192.6</v>
      </c>
      <c r="Q222" s="375">
        <f>'DATA-Employment'!T29</f>
        <v>187.7</v>
      </c>
      <c r="R222" s="375">
        <f>'DATA-Employment'!T47</f>
        <v>19.5</v>
      </c>
      <c r="S222" s="375">
        <f>'DATA-Employment'!T65</f>
        <v>20.8</v>
      </c>
      <c r="T222" s="513">
        <f t="shared" si="10"/>
        <v>12986427.203173392</v>
      </c>
      <c r="U222" s="40">
        <f t="shared" si="11"/>
        <v>161065.68797339126</v>
      </c>
      <c r="V222" s="5">
        <f t="shared" si="12"/>
        <v>1.2558374107622929E-2</v>
      </c>
      <c r="AD222">
        <f t="shared" si="13"/>
        <v>1.2558374107622929</v>
      </c>
    </row>
    <row r="223" spans="1:30" ht="15" x14ac:dyDescent="0.25">
      <c r="A223" s="3">
        <v>40299</v>
      </c>
      <c r="B223" s="518">
        <f>'DATA-Purchased Power'!T11</f>
        <v>14493142.5678</v>
      </c>
      <c r="C223" s="518">
        <f>'DATA-Degree Days'!T12</f>
        <v>129.4</v>
      </c>
      <c r="D223" s="518">
        <f>'DATA-Degree Days'!T32</f>
        <v>22.4</v>
      </c>
      <c r="E223" s="518">
        <f>'DATA-Calendar'!T12</f>
        <v>320</v>
      </c>
      <c r="F223" s="518">
        <f>'DATA-Calendar'!T32</f>
        <v>31</v>
      </c>
      <c r="G223" s="518">
        <f>'DATA-Calendar'!T52</f>
        <v>1</v>
      </c>
      <c r="H223" s="518">
        <f>'DATA-Calendar'!T72</f>
        <v>0</v>
      </c>
      <c r="I223" s="518">
        <f>'DATA-Calendar'!T91</f>
        <v>1</v>
      </c>
      <c r="J223" s="518">
        <f>'DATA-Calendar'!T110</f>
        <v>0</v>
      </c>
      <c r="K223" s="518">
        <f>'DATA-Customers'!T29</f>
        <v>7825.999872231685</v>
      </c>
      <c r="L223" s="518">
        <f>'DATA-Population'!T12</f>
        <v>15233.853446667817</v>
      </c>
      <c r="M223" s="518">
        <f>'DATA-CDM'!T10</f>
        <v>170846.57983497312</v>
      </c>
      <c r="N223" s="519">
        <f>'DATA-GDP Qrtly'!U84</f>
        <v>134.97621373885406</v>
      </c>
      <c r="O223" s="519">
        <f>'DATA-GDP Annual'!V10</f>
        <v>136.14444979172168</v>
      </c>
      <c r="P223" s="375">
        <f>'DATA-Employment'!T12</f>
        <v>194.3</v>
      </c>
      <c r="Q223" s="375">
        <f>'DATA-Employment'!T30</f>
        <v>191.3</v>
      </c>
      <c r="R223" s="375">
        <f>'DATA-Employment'!T48</f>
        <v>18.7</v>
      </c>
      <c r="S223" s="375">
        <f>'DATA-Employment'!T66</f>
        <v>20</v>
      </c>
      <c r="T223" s="513">
        <f t="shared" si="10"/>
        <v>13782271.062415348</v>
      </c>
      <c r="U223" s="40">
        <f t="shared" si="11"/>
        <v>-710871.50538465194</v>
      </c>
      <c r="V223" s="5">
        <f t="shared" si="12"/>
        <v>-4.9048817539684174E-2</v>
      </c>
      <c r="AD223">
        <f t="shared" si="13"/>
        <v>4.9048817539684171</v>
      </c>
    </row>
    <row r="224" spans="1:30" ht="15" x14ac:dyDescent="0.25">
      <c r="A224" s="3">
        <v>40330</v>
      </c>
      <c r="B224" s="518">
        <f>'DATA-Purchased Power'!T12</f>
        <v>15819649.446600001</v>
      </c>
      <c r="C224" s="518">
        <f>'DATA-Degree Days'!T13</f>
        <v>15</v>
      </c>
      <c r="D224" s="518">
        <f>'DATA-Degree Days'!T33</f>
        <v>60.6</v>
      </c>
      <c r="E224" s="518">
        <f>'DATA-Calendar'!T13</f>
        <v>352</v>
      </c>
      <c r="F224" s="518">
        <f>'DATA-Calendar'!T33</f>
        <v>30</v>
      </c>
      <c r="G224" s="518">
        <f>'DATA-Calendar'!T53</f>
        <v>0</v>
      </c>
      <c r="H224" s="518">
        <f>'DATA-Calendar'!T73</f>
        <v>0</v>
      </c>
      <c r="I224" s="518">
        <f>'DATA-Calendar'!T92</f>
        <v>0</v>
      </c>
      <c r="J224" s="518">
        <f>'DATA-Calendar'!T111</f>
        <v>0</v>
      </c>
      <c r="K224" s="518">
        <f>'DATA-Customers'!T30</f>
        <v>7825</v>
      </c>
      <c r="L224" s="518">
        <f>'DATA-Population'!T13</f>
        <v>15247.630260557804</v>
      </c>
      <c r="M224" s="518">
        <f>'DATA-CDM'!T11</f>
        <v>174226.63772276885</v>
      </c>
      <c r="N224" s="519">
        <f>'DATA-GDP Qrtly'!U85</f>
        <v>135.1714805152119</v>
      </c>
      <c r="O224" s="519">
        <f>'DATA-GDP Annual'!V11</f>
        <v>136.50228328084265</v>
      </c>
      <c r="P224" s="375">
        <f>'DATA-Employment'!T13</f>
        <v>195.9</v>
      </c>
      <c r="Q224" s="375">
        <f>'DATA-Employment'!T31</f>
        <v>196.7</v>
      </c>
      <c r="R224" s="375">
        <f>'DATA-Employment'!T49</f>
        <v>17.8</v>
      </c>
      <c r="S224" s="375">
        <f>'DATA-Employment'!T67</f>
        <v>17.8</v>
      </c>
      <c r="T224" s="513">
        <f t="shared" si="10"/>
        <v>15069661.715677744</v>
      </c>
      <c r="U224" s="40">
        <f t="shared" si="11"/>
        <v>-749987.73092225753</v>
      </c>
      <c r="V224" s="5">
        <f t="shared" si="12"/>
        <v>-4.7408618847963588E-2</v>
      </c>
      <c r="AD224">
        <f t="shared" si="13"/>
        <v>4.7408618847963586</v>
      </c>
    </row>
    <row r="225" spans="1:30" ht="15" x14ac:dyDescent="0.25">
      <c r="A225" s="3">
        <v>40360</v>
      </c>
      <c r="B225" s="518">
        <f>'DATA-Purchased Power'!T13</f>
        <v>20353876.040199999</v>
      </c>
      <c r="C225" s="518">
        <f>'DATA-Degree Days'!T14</f>
        <v>0</v>
      </c>
      <c r="D225" s="518">
        <f>'DATA-Degree Days'!T34</f>
        <v>172</v>
      </c>
      <c r="E225" s="518">
        <f>'DATA-Calendar'!T14</f>
        <v>336</v>
      </c>
      <c r="F225" s="518">
        <f>'DATA-Calendar'!T34</f>
        <v>31</v>
      </c>
      <c r="G225" s="518">
        <f>'DATA-Calendar'!T54</f>
        <v>0</v>
      </c>
      <c r="H225" s="518">
        <f>'DATA-Calendar'!T74</f>
        <v>1</v>
      </c>
      <c r="I225" s="518">
        <f>'DATA-Calendar'!T93</f>
        <v>0</v>
      </c>
      <c r="J225" s="518">
        <f>'DATA-Calendar'!T112</f>
        <v>0</v>
      </c>
      <c r="K225" s="518">
        <f>'DATA-Customers'!T31</f>
        <v>7830.3297023842388</v>
      </c>
      <c r="L225" s="518">
        <f>'DATA-Population'!T14</f>
        <v>15261.419533580447</v>
      </c>
      <c r="M225" s="518">
        <f>'DATA-CDM'!T12</f>
        <v>177606.69561056458</v>
      </c>
      <c r="N225" s="519">
        <f>'DATA-GDP Qrtly'!U86</f>
        <v>135.34262441686704</v>
      </c>
      <c r="O225" s="519">
        <f>'DATA-GDP Annual'!V12</f>
        <v>136.86105727694815</v>
      </c>
      <c r="P225" s="375">
        <f>'DATA-Employment'!T14</f>
        <v>194.9</v>
      </c>
      <c r="Q225" s="375">
        <f>'DATA-Employment'!T32</f>
        <v>198.6</v>
      </c>
      <c r="R225" s="375">
        <f>'DATA-Employment'!T50</f>
        <v>19</v>
      </c>
      <c r="S225" s="375">
        <f>'DATA-Employment'!T68</f>
        <v>18.600000000000001</v>
      </c>
      <c r="T225" s="513">
        <f t="shared" si="10"/>
        <v>19790576.463851884</v>
      </c>
      <c r="U225" s="40">
        <f t="shared" si="11"/>
        <v>-563299.57634811476</v>
      </c>
      <c r="V225" s="5">
        <f t="shared" si="12"/>
        <v>-2.767529758143205E-2</v>
      </c>
      <c r="AD225">
        <f t="shared" si="13"/>
        <v>2.7675297581432048</v>
      </c>
    </row>
    <row r="226" spans="1:30" ht="15" x14ac:dyDescent="0.25">
      <c r="A226" s="3">
        <v>40391</v>
      </c>
      <c r="B226" s="518">
        <f>'DATA-Purchased Power'!T14</f>
        <v>19599345.653399996</v>
      </c>
      <c r="C226" s="518">
        <f>'DATA-Degree Days'!T15</f>
        <v>0</v>
      </c>
      <c r="D226" s="518">
        <f>'DATA-Degree Days'!T35</f>
        <v>150.80000000000001</v>
      </c>
      <c r="E226" s="518">
        <f>'DATA-Calendar'!T15</f>
        <v>336</v>
      </c>
      <c r="F226" s="518">
        <f>'DATA-Calendar'!T35</f>
        <v>31</v>
      </c>
      <c r="G226" s="518">
        <f>'DATA-Calendar'!T55</f>
        <v>0</v>
      </c>
      <c r="H226" s="518">
        <f>'DATA-Calendar'!T75</f>
        <v>1</v>
      </c>
      <c r="I226" s="518">
        <f>'DATA-Calendar'!T94</f>
        <v>0</v>
      </c>
      <c r="J226" s="518">
        <f>'DATA-Calendar'!T113</f>
        <v>0</v>
      </c>
      <c r="K226" s="518">
        <f>'DATA-Customers'!T32</f>
        <v>7835.6630348933977</v>
      </c>
      <c r="L226" s="518">
        <f>'DATA-Population'!T15</f>
        <v>15275.221277003227</v>
      </c>
      <c r="M226" s="518">
        <f>'DATA-CDM'!T13</f>
        <v>180986.75349836031</v>
      </c>
      <c r="N226" s="519">
        <f>'DATA-GDP Qrtly'!U87</f>
        <v>135.51398500798186</v>
      </c>
      <c r="O226" s="519">
        <f>'DATA-GDP Annual'!V13</f>
        <v>137.22077425200746</v>
      </c>
      <c r="P226" s="375">
        <f>'DATA-Employment'!T15</f>
        <v>192.5</v>
      </c>
      <c r="Q226" s="375">
        <f>'DATA-Employment'!T33</f>
        <v>197.7</v>
      </c>
      <c r="R226" s="375">
        <f>'DATA-Employment'!T51</f>
        <v>19.600000000000001</v>
      </c>
      <c r="S226" s="375">
        <f>'DATA-Employment'!T69</f>
        <v>18.7</v>
      </c>
      <c r="T226" s="513">
        <f t="shared" si="10"/>
        <v>19123491.181301728</v>
      </c>
      <c r="U226" s="40">
        <f t="shared" si="11"/>
        <v>-475854.47209826857</v>
      </c>
      <c r="V226" s="5">
        <f t="shared" si="12"/>
        <v>-2.427909995126392E-2</v>
      </c>
      <c r="AD226">
        <f t="shared" si="13"/>
        <v>2.4279099951263921</v>
      </c>
    </row>
    <row r="227" spans="1:30" ht="15" x14ac:dyDescent="0.25">
      <c r="A227" s="3">
        <v>40422</v>
      </c>
      <c r="B227" s="518">
        <f>'DATA-Purchased Power'!T15</f>
        <v>14931787.017599998</v>
      </c>
      <c r="C227" s="518">
        <f>'DATA-Degree Days'!T16</f>
        <v>52.85</v>
      </c>
      <c r="D227" s="518">
        <f>'DATA-Degree Days'!T36</f>
        <v>40.200000000000003</v>
      </c>
      <c r="E227" s="518">
        <f>'DATA-Calendar'!T16</f>
        <v>336</v>
      </c>
      <c r="F227" s="518">
        <f>'DATA-Calendar'!T36</f>
        <v>30</v>
      </c>
      <c r="G227" s="518">
        <f>'DATA-Calendar'!T56</f>
        <v>1</v>
      </c>
      <c r="H227" s="518">
        <f>'DATA-Calendar'!T76</f>
        <v>1</v>
      </c>
      <c r="I227" s="518">
        <f>'DATA-Calendar'!T95</f>
        <v>0</v>
      </c>
      <c r="J227" s="518">
        <f>'DATA-Calendar'!T114</f>
        <v>1</v>
      </c>
      <c r="K227" s="518">
        <f>'DATA-Customers'!T33</f>
        <v>7841</v>
      </c>
      <c r="L227" s="518">
        <f>'DATA-Population'!T16</f>
        <v>15289.035502103816</v>
      </c>
      <c r="M227" s="518">
        <f>'DATA-CDM'!T14</f>
        <v>184366.81138615604</v>
      </c>
      <c r="N227" s="519">
        <f>'DATA-GDP Qrtly'!U88</f>
        <v>135.68556256291214</v>
      </c>
      <c r="O227" s="519">
        <f>'DATA-GDP Annual'!V14</f>
        <v>137.58143668448704</v>
      </c>
      <c r="P227" s="375">
        <f>'DATA-Employment'!T16</f>
        <v>189.5</v>
      </c>
      <c r="Q227" s="375">
        <f>'DATA-Employment'!T34</f>
        <v>193.1</v>
      </c>
      <c r="R227" s="375">
        <f>'DATA-Employment'!T52</f>
        <v>20.399999999999999</v>
      </c>
      <c r="S227" s="375">
        <f>'DATA-Employment'!T70</f>
        <v>19.8</v>
      </c>
      <c r="T227" s="513">
        <f t="shared" si="10"/>
        <v>15226284.506664205</v>
      </c>
      <c r="U227" s="40">
        <f t="shared" si="11"/>
        <v>294497.4890642073</v>
      </c>
      <c r="V227" s="5">
        <f t="shared" si="12"/>
        <v>1.9722856260746626E-2</v>
      </c>
      <c r="AD227">
        <f t="shared" si="13"/>
        <v>1.9722856260746626</v>
      </c>
    </row>
    <row r="228" spans="1:30" ht="15" x14ac:dyDescent="0.25">
      <c r="A228" s="3">
        <v>40452</v>
      </c>
      <c r="B228" s="518">
        <f>'DATA-Purchased Power'!T16</f>
        <v>13752321.7016</v>
      </c>
      <c r="C228" s="518">
        <f>'DATA-Degree Days'!T17</f>
        <v>175.2</v>
      </c>
      <c r="D228" s="518">
        <f>'DATA-Degree Days'!T37</f>
        <v>1.2</v>
      </c>
      <c r="E228" s="518">
        <f>'DATA-Calendar'!T17</f>
        <v>320</v>
      </c>
      <c r="F228" s="518">
        <f>'DATA-Calendar'!T37</f>
        <v>31</v>
      </c>
      <c r="G228" s="518">
        <f>'DATA-Calendar'!T57</f>
        <v>1</v>
      </c>
      <c r="H228" s="518">
        <f>'DATA-Calendar'!T77</f>
        <v>0</v>
      </c>
      <c r="I228" s="518">
        <f>'DATA-Calendar'!T96</f>
        <v>0</v>
      </c>
      <c r="J228" s="518">
        <f>'DATA-Calendar'!T115</f>
        <v>1</v>
      </c>
      <c r="K228" s="518">
        <f>'DATA-Customers'!T34</f>
        <v>7862.275552624069</v>
      </c>
      <c r="L228" s="518">
        <f>'DATA-Population'!T17</f>
        <v>15302.862220170082</v>
      </c>
      <c r="M228" s="518">
        <f>'DATA-CDM'!T15</f>
        <v>187746.86927395177</v>
      </c>
      <c r="N228" s="519">
        <f>'DATA-GDP Qrtly'!U89</f>
        <v>136.02035282391674</v>
      </c>
      <c r="O228" s="519">
        <f>'DATA-GDP Annual'!V15</f>
        <v>137.94304705936756</v>
      </c>
      <c r="P228" s="375">
        <f>'DATA-Employment'!T17</f>
        <v>189.5</v>
      </c>
      <c r="Q228" s="375">
        <f>'DATA-Employment'!T35</f>
        <v>192.8</v>
      </c>
      <c r="R228" s="375">
        <f>'DATA-Employment'!T53</f>
        <v>20.100000000000001</v>
      </c>
      <c r="S228" s="375">
        <f>'DATA-Employment'!T71</f>
        <v>18.8</v>
      </c>
      <c r="T228" s="513">
        <f t="shared" si="10"/>
        <v>14311620.586929699</v>
      </c>
      <c r="U228" s="40">
        <f t="shared" si="11"/>
        <v>559298.88532969914</v>
      </c>
      <c r="V228" s="5">
        <f t="shared" si="12"/>
        <v>4.0669415496921373E-2</v>
      </c>
      <c r="AD228">
        <f t="shared" si="13"/>
        <v>4.0669415496921371</v>
      </c>
    </row>
    <row r="229" spans="1:30" ht="15" x14ac:dyDescent="0.25">
      <c r="A229" s="3">
        <v>40483</v>
      </c>
      <c r="B229" s="518">
        <f>'DATA-Purchased Power'!T17</f>
        <v>13896879.130009763</v>
      </c>
      <c r="C229" s="518">
        <f>'DATA-Degree Days'!T18</f>
        <v>346.05</v>
      </c>
      <c r="D229" s="518">
        <f>'DATA-Degree Days'!T38</f>
        <v>0</v>
      </c>
      <c r="E229" s="518">
        <f>'DATA-Calendar'!T18</f>
        <v>336</v>
      </c>
      <c r="F229" s="518">
        <f>'DATA-Calendar'!T38</f>
        <v>30</v>
      </c>
      <c r="G229" s="518">
        <f>'DATA-Calendar'!T58</f>
        <v>1</v>
      </c>
      <c r="H229" s="518">
        <f>'DATA-Calendar'!T78</f>
        <v>0</v>
      </c>
      <c r="I229" s="518">
        <f>'DATA-Calendar'!T97</f>
        <v>0</v>
      </c>
      <c r="J229" s="518">
        <f>'DATA-Calendar'!T116</f>
        <v>1</v>
      </c>
      <c r="K229" s="518">
        <f>'DATA-Customers'!T35</f>
        <v>7883.6088337444335</v>
      </c>
      <c r="L229" s="518">
        <f>'DATA-Population'!T18</f>
        <v>15316.701442500103</v>
      </c>
      <c r="M229" s="518">
        <f>'DATA-CDM'!T16</f>
        <v>191126.9271617475</v>
      </c>
      <c r="N229" s="519">
        <f>'DATA-GDP Qrtly'!U90</f>
        <v>136.35596914568083</v>
      </c>
      <c r="O229" s="519">
        <f>'DATA-GDP Annual'!V16</f>
        <v>138.30560786816105</v>
      </c>
      <c r="P229" s="375">
        <f>'DATA-Employment'!T18</f>
        <v>190.8</v>
      </c>
      <c r="Q229" s="375">
        <f>'DATA-Employment'!T36</f>
        <v>192.8</v>
      </c>
      <c r="R229" s="375">
        <f>'DATA-Employment'!T54</f>
        <v>20.2</v>
      </c>
      <c r="S229" s="375">
        <f>'DATA-Employment'!T72</f>
        <v>18.399999999999999</v>
      </c>
      <c r="T229" s="513">
        <f t="shared" si="10"/>
        <v>14445887.718464851</v>
      </c>
      <c r="U229" s="40">
        <f t="shared" si="11"/>
        <v>549008.58845508844</v>
      </c>
      <c r="V229" s="5">
        <f t="shared" si="12"/>
        <v>3.9505890734094821E-2</v>
      </c>
      <c r="AD229">
        <f t="shared" si="13"/>
        <v>3.950589073409482</v>
      </c>
    </row>
    <row r="230" spans="1:30" ht="15" x14ac:dyDescent="0.25">
      <c r="A230" s="3">
        <v>40513</v>
      </c>
      <c r="B230" s="518">
        <f>'DATA-Purchased Power'!T18</f>
        <v>16401684.807799999</v>
      </c>
      <c r="C230" s="518">
        <f>'DATA-Degree Days'!T19</f>
        <v>600.5</v>
      </c>
      <c r="D230" s="518">
        <f>'DATA-Degree Days'!T39</f>
        <v>0</v>
      </c>
      <c r="E230" s="518">
        <f>'DATA-Calendar'!T19</f>
        <v>368</v>
      </c>
      <c r="F230" s="518">
        <f>'DATA-Calendar'!T39</f>
        <v>31</v>
      </c>
      <c r="G230" s="518">
        <f>'DATA-Calendar'!T59</f>
        <v>0</v>
      </c>
      <c r="H230" s="518">
        <f>'DATA-Calendar'!T79</f>
        <v>0</v>
      </c>
      <c r="I230" s="518">
        <f>'DATA-Calendar'!T98</f>
        <v>0</v>
      </c>
      <c r="J230" s="518">
        <f>'DATA-Calendar'!T117</f>
        <v>0</v>
      </c>
      <c r="K230" s="518">
        <f>'DATA-Customers'!T36</f>
        <v>7905</v>
      </c>
      <c r="L230" s="518">
        <f>'DATA-Population'!T19</f>
        <v>15330.553180402176</v>
      </c>
      <c r="M230" s="518">
        <f>'DATA-CDM'!T17</f>
        <v>194506.98504954323</v>
      </c>
      <c r="N230" s="519">
        <f>'DATA-GDP Qrtly'!U91</f>
        <v>136.69241356642493</v>
      </c>
      <c r="O230" s="519">
        <f>'DATA-GDP Annual'!V17</f>
        <v>138.66912160892804</v>
      </c>
      <c r="P230" s="375">
        <f>'DATA-Employment'!T19</f>
        <v>192.4</v>
      </c>
      <c r="Q230" s="375">
        <f>'DATA-Employment'!T37</f>
        <v>193.3</v>
      </c>
      <c r="R230" s="375">
        <f>'DATA-Employment'!T55</f>
        <v>20.3</v>
      </c>
      <c r="S230" s="375">
        <f>'DATA-Employment'!T73</f>
        <v>19.3</v>
      </c>
      <c r="T230" s="513">
        <f t="shared" si="10"/>
        <v>15898100.892183667</v>
      </c>
      <c r="U230" s="40">
        <f t="shared" si="11"/>
        <v>-503583.91561633162</v>
      </c>
      <c r="V230" s="5">
        <f t="shared" si="12"/>
        <v>-3.0703182113147719E-2</v>
      </c>
      <c r="AD230">
        <f t="shared" si="13"/>
        <v>3.0703182113147718</v>
      </c>
    </row>
    <row r="231" spans="1:30" ht="15" x14ac:dyDescent="0.25">
      <c r="A231" s="3">
        <v>40544</v>
      </c>
      <c r="B231" s="518">
        <f>'DATA-Purchased Power'!U7</f>
        <v>16212390</v>
      </c>
      <c r="C231" s="518">
        <f>'DATA-Degree Days'!U8</f>
        <v>678</v>
      </c>
      <c r="D231" s="518">
        <f>'DATA-Degree Days'!U28</f>
        <v>0</v>
      </c>
      <c r="E231" s="518">
        <f>'DATA-Calendar'!U8</f>
        <v>336</v>
      </c>
      <c r="F231" s="518">
        <f>'DATA-Calendar'!U28</f>
        <v>31</v>
      </c>
      <c r="G231" s="518">
        <f>'DATA-Calendar'!U48</f>
        <v>0</v>
      </c>
      <c r="H231" s="518">
        <f>'DATA-Calendar'!U68</f>
        <v>0</v>
      </c>
      <c r="I231" s="518">
        <f>'DATA-Calendar'!U87</f>
        <v>0</v>
      </c>
      <c r="J231" s="518">
        <f>'DATA-Calendar'!U106</f>
        <v>0</v>
      </c>
      <c r="K231" s="518">
        <f>'DATA-Customers'!U25</f>
        <v>7905.3333192785194</v>
      </c>
      <c r="L231" s="518">
        <f>'DATA-Population'!U8</f>
        <v>15344.41744519482</v>
      </c>
      <c r="M231" s="518">
        <f>'DATA-CDM'!U6</f>
        <v>202081.2309393571</v>
      </c>
      <c r="N231" s="519">
        <f>'DATA-GDP Qrtly'!V80</f>
        <v>137.00736077777947</v>
      </c>
      <c r="O231" s="519">
        <f>'DATA-GDP Annual'!W6</f>
        <v>138.87542873989656</v>
      </c>
      <c r="P231" s="375">
        <f>'DATA-Employment'!U8</f>
        <v>194.1</v>
      </c>
      <c r="Q231" s="375">
        <f>'DATA-Employment'!U26</f>
        <v>192.9</v>
      </c>
      <c r="R231" s="375">
        <f>'DATA-Employment'!U44</f>
        <v>20.7</v>
      </c>
      <c r="S231" s="375">
        <f>'DATA-Employment'!U62</f>
        <v>21.3</v>
      </c>
      <c r="T231" s="513">
        <f t="shared" si="10"/>
        <v>16188113.506102281</v>
      </c>
      <c r="U231" s="40">
        <f t="shared" si="11"/>
        <v>-24276.493897719309</v>
      </c>
      <c r="V231" s="5">
        <f t="shared" si="12"/>
        <v>-1.4974037694454247E-3</v>
      </c>
      <c r="AD231">
        <f t="shared" si="13"/>
        <v>0.14974037694454248</v>
      </c>
    </row>
    <row r="232" spans="1:30" ht="15" x14ac:dyDescent="0.25">
      <c r="A232" s="3">
        <v>40575</v>
      </c>
      <c r="B232" s="518">
        <f>'DATA-Purchased Power'!U8</f>
        <v>14504214</v>
      </c>
      <c r="C232" s="518">
        <f>'DATA-Degree Days'!U9</f>
        <v>578.5</v>
      </c>
      <c r="D232" s="518">
        <f>'DATA-Degree Days'!U29</f>
        <v>0</v>
      </c>
      <c r="E232" s="518">
        <f>'DATA-Calendar'!U9</f>
        <v>304</v>
      </c>
      <c r="F232" s="518">
        <f>'DATA-Calendar'!U29</f>
        <v>28</v>
      </c>
      <c r="G232" s="518">
        <f>'DATA-Calendar'!U49</f>
        <v>0</v>
      </c>
      <c r="H232" s="518">
        <f>'DATA-Calendar'!U69</f>
        <v>0</v>
      </c>
      <c r="I232" s="518">
        <f>'DATA-Calendar'!U88</f>
        <v>0</v>
      </c>
      <c r="J232" s="518">
        <f>'DATA-Calendar'!U107</f>
        <v>0</v>
      </c>
      <c r="K232" s="518">
        <f>'DATA-Customers'!U26</f>
        <v>7905.6666526116551</v>
      </c>
      <c r="L232" s="518">
        <f>'DATA-Population'!U9</f>
        <v>15358.294248206796</v>
      </c>
      <c r="M232" s="518">
        <f>'DATA-CDM'!U7</f>
        <v>209655.47682917098</v>
      </c>
      <c r="N232" s="519">
        <f>'DATA-GDP Qrtly'!V81</f>
        <v>137.32303364568912</v>
      </c>
      <c r="O232" s="519">
        <f>'DATA-GDP Annual'!W7</f>
        <v>139.08204280749089</v>
      </c>
      <c r="P232" s="375">
        <f>'DATA-Employment'!U9</f>
        <v>194.8</v>
      </c>
      <c r="Q232" s="375">
        <f>'DATA-Employment'!U27</f>
        <v>191.2</v>
      </c>
      <c r="R232" s="375">
        <f>'DATA-Employment'!U45</f>
        <v>20.3</v>
      </c>
      <c r="S232" s="375">
        <f>'DATA-Employment'!U63</f>
        <v>22</v>
      </c>
      <c r="T232" s="513">
        <f t="shared" si="10"/>
        <v>14370652.889593231</v>
      </c>
      <c r="U232" s="40">
        <f t="shared" si="11"/>
        <v>-133561.11040676944</v>
      </c>
      <c r="V232" s="5">
        <f t="shared" si="12"/>
        <v>-9.2084349008342975E-3</v>
      </c>
      <c r="AD232">
        <f t="shared" si="13"/>
        <v>0.92084349008342969</v>
      </c>
    </row>
    <row r="233" spans="1:30" ht="15" x14ac:dyDescent="0.25">
      <c r="A233" s="3">
        <v>40603</v>
      </c>
      <c r="B233" s="518">
        <f>'DATA-Purchased Power'!U9</f>
        <v>15011830</v>
      </c>
      <c r="C233" s="518">
        <f>'DATA-Degree Days'!U10</f>
        <v>527.45000000000005</v>
      </c>
      <c r="D233" s="518">
        <f>'DATA-Degree Days'!U30</f>
        <v>0</v>
      </c>
      <c r="E233" s="518">
        <f>'DATA-Calendar'!U10</f>
        <v>368</v>
      </c>
      <c r="F233" s="518">
        <f>'DATA-Calendar'!U30</f>
        <v>31</v>
      </c>
      <c r="G233" s="518">
        <f>'DATA-Calendar'!U50</f>
        <v>1</v>
      </c>
      <c r="H233" s="518">
        <f>'DATA-Calendar'!U70</f>
        <v>0</v>
      </c>
      <c r="I233" s="518">
        <f>'DATA-Calendar'!U89</f>
        <v>1</v>
      </c>
      <c r="J233" s="518">
        <f>'DATA-Calendar'!U108</f>
        <v>0</v>
      </c>
      <c r="K233" s="518">
        <f>'DATA-Customers'!U27</f>
        <v>7906</v>
      </c>
      <c r="L233" s="518">
        <f>'DATA-Population'!U10</f>
        <v>15372.183600777105</v>
      </c>
      <c r="M233" s="518">
        <f>'DATA-CDM'!U8</f>
        <v>217229.72271898485</v>
      </c>
      <c r="N233" s="519">
        <f>'DATA-GDP Qrtly'!V82</f>
        <v>137.6394338421085</v>
      </c>
      <c r="O233" s="519">
        <f>'DATA-GDP Annual'!W8</f>
        <v>139.28896426836073</v>
      </c>
      <c r="P233" s="375">
        <f>'DATA-Employment'!U10</f>
        <v>195.8</v>
      </c>
      <c r="Q233" s="375">
        <f>'DATA-Employment'!U28</f>
        <v>191.1</v>
      </c>
      <c r="R233" s="375">
        <f>'DATA-Employment'!U46</f>
        <v>20.3</v>
      </c>
      <c r="S233" s="375">
        <f>'DATA-Employment'!U64</f>
        <v>22.1</v>
      </c>
      <c r="T233" s="513">
        <f t="shared" si="10"/>
        <v>14735579.011128198</v>
      </c>
      <c r="U233" s="40">
        <f t="shared" si="11"/>
        <v>-276250.98887180164</v>
      </c>
      <c r="V233" s="5">
        <f t="shared" si="12"/>
        <v>-1.8402219374440136E-2</v>
      </c>
      <c r="AD233">
        <f t="shared" si="13"/>
        <v>1.8402219374440136</v>
      </c>
    </row>
    <row r="234" spans="1:30" ht="15" x14ac:dyDescent="0.25">
      <c r="A234" s="3">
        <v>40634</v>
      </c>
      <c r="B234" s="518">
        <f>'DATA-Purchased Power'!U10</f>
        <v>13577688</v>
      </c>
      <c r="C234" s="518">
        <f>'DATA-Degree Days'!U11</f>
        <v>342.6</v>
      </c>
      <c r="D234" s="518">
        <f>'DATA-Degree Days'!U31</f>
        <v>0</v>
      </c>
      <c r="E234" s="518">
        <f>'DATA-Calendar'!U11</f>
        <v>320</v>
      </c>
      <c r="F234" s="518">
        <f>'DATA-Calendar'!U31</f>
        <v>30</v>
      </c>
      <c r="G234" s="518">
        <f>'DATA-Calendar'!U51</f>
        <v>1</v>
      </c>
      <c r="H234" s="518">
        <f>'DATA-Calendar'!U71</f>
        <v>0</v>
      </c>
      <c r="I234" s="518">
        <f>'DATA-Calendar'!U90</f>
        <v>1</v>
      </c>
      <c r="J234" s="518">
        <f>'DATA-Calendar'!U109</f>
        <v>0</v>
      </c>
      <c r="K234" s="518">
        <f>'DATA-Customers'!U28</f>
        <v>7914.9897740110964</v>
      </c>
      <c r="L234" s="518">
        <f>'DATA-Population'!U11</f>
        <v>15386.085514255008</v>
      </c>
      <c r="M234" s="518">
        <f>'DATA-CDM'!U9</f>
        <v>224803.96860879872</v>
      </c>
      <c r="N234" s="519">
        <f>'DATA-GDP Qrtly'!V83</f>
        <v>137.5704955483736</v>
      </c>
      <c r="O234" s="519">
        <f>'DATA-GDP Annual'!W9</f>
        <v>139.49619357983516</v>
      </c>
      <c r="P234" s="375">
        <f>'DATA-Employment'!U11</f>
        <v>197.1</v>
      </c>
      <c r="Q234" s="375">
        <f>'DATA-Employment'!U29</f>
        <v>191.8</v>
      </c>
      <c r="R234" s="375">
        <f>'DATA-Employment'!U47</f>
        <v>19.5</v>
      </c>
      <c r="S234" s="375">
        <f>'DATA-Employment'!U65</f>
        <v>20.9</v>
      </c>
      <c r="T234" s="513">
        <f t="shared" si="10"/>
        <v>13574743.541732822</v>
      </c>
      <c r="U234" s="40">
        <f t="shared" si="11"/>
        <v>-2944.4582671783864</v>
      </c>
      <c r="V234" s="5">
        <f t="shared" si="12"/>
        <v>-2.1686006241846082E-4</v>
      </c>
      <c r="AD234">
        <f t="shared" si="13"/>
        <v>2.1686006241846082E-2</v>
      </c>
    </row>
    <row r="235" spans="1:30" ht="15" x14ac:dyDescent="0.25">
      <c r="A235" s="3">
        <v>40664</v>
      </c>
      <c r="B235" s="518">
        <f>'DATA-Purchased Power'!U11</f>
        <v>13979286</v>
      </c>
      <c r="C235" s="518">
        <f>'DATA-Degree Days'!U12</f>
        <v>187.1</v>
      </c>
      <c r="D235" s="518">
        <f>'DATA-Degree Days'!U32</f>
        <v>4.0999999999999996</v>
      </c>
      <c r="E235" s="518">
        <f>'DATA-Calendar'!U12</f>
        <v>336</v>
      </c>
      <c r="F235" s="518">
        <f>'DATA-Calendar'!U32</f>
        <v>31</v>
      </c>
      <c r="G235" s="518">
        <f>'DATA-Calendar'!U52</f>
        <v>1</v>
      </c>
      <c r="H235" s="518">
        <f>'DATA-Calendar'!U72</f>
        <v>0</v>
      </c>
      <c r="I235" s="518">
        <f>'DATA-Calendar'!U91</f>
        <v>1</v>
      </c>
      <c r="J235" s="518">
        <f>'DATA-Calendar'!U110</f>
        <v>0</v>
      </c>
      <c r="K235" s="518">
        <f>'DATA-Customers'!U29</f>
        <v>7923.9897701366344</v>
      </c>
      <c r="L235" s="518">
        <f>'DATA-Population'!U12</f>
        <v>15400</v>
      </c>
      <c r="M235" s="518">
        <f>'DATA-CDM'!U10</f>
        <v>232378.21449861259</v>
      </c>
      <c r="N235" s="519">
        <f>'DATA-GDP Qrtly'!V84</f>
        <v>137.50159178317611</v>
      </c>
      <c r="O235" s="519">
        <f>'DATA-GDP Annual'!W10</f>
        <v>139.70373119992371</v>
      </c>
      <c r="P235" s="375">
        <f>'DATA-Employment'!U12</f>
        <v>197.2</v>
      </c>
      <c r="Q235" s="375">
        <f>'DATA-Employment'!U30</f>
        <v>194.5</v>
      </c>
      <c r="R235" s="375">
        <f>'DATA-Employment'!U48</f>
        <v>19.3</v>
      </c>
      <c r="S235" s="375">
        <f>'DATA-Employment'!U66</f>
        <v>19.600000000000001</v>
      </c>
      <c r="T235" s="513">
        <f t="shared" si="10"/>
        <v>13627465.930541722</v>
      </c>
      <c r="U235" s="40">
        <f t="shared" si="11"/>
        <v>-351820.0694582779</v>
      </c>
      <c r="V235" s="5">
        <f t="shared" si="12"/>
        <v>-2.5167241693050554E-2</v>
      </c>
      <c r="AD235">
        <f t="shared" si="13"/>
        <v>2.5167241693050553</v>
      </c>
    </row>
    <row r="236" spans="1:30" ht="15" x14ac:dyDescent="0.25">
      <c r="A236" s="3">
        <v>40695</v>
      </c>
      <c r="B236" s="518">
        <f>'DATA-Purchased Power'!U12</f>
        <v>15645311</v>
      </c>
      <c r="C236" s="518">
        <f>'DATA-Degree Days'!U13</f>
        <v>21.9</v>
      </c>
      <c r="D236" s="518">
        <f>'DATA-Degree Days'!U33</f>
        <v>41.8</v>
      </c>
      <c r="E236" s="518">
        <f>'DATA-Calendar'!U13</f>
        <v>352</v>
      </c>
      <c r="F236" s="518">
        <f>'DATA-Calendar'!U33</f>
        <v>30</v>
      </c>
      <c r="G236" s="518">
        <f>'DATA-Calendar'!U53</f>
        <v>0</v>
      </c>
      <c r="H236" s="518">
        <f>'DATA-Calendar'!U73</f>
        <v>0</v>
      </c>
      <c r="I236" s="518">
        <f>'DATA-Calendar'!U92</f>
        <v>0</v>
      </c>
      <c r="J236" s="518">
        <f>'DATA-Calendar'!U111</f>
        <v>0</v>
      </c>
      <c r="K236" s="518">
        <f>'DATA-Customers'!U30</f>
        <v>7933</v>
      </c>
      <c r="L236" s="518">
        <f>'DATA-Population'!U13</f>
        <v>15413.927069381924</v>
      </c>
      <c r="M236" s="518">
        <f>'DATA-CDM'!U11</f>
        <v>239952.46038842647</v>
      </c>
      <c r="N236" s="519">
        <f>'DATA-GDP Qrtly'!V85</f>
        <v>137.43272252922205</v>
      </c>
      <c r="O236" s="519">
        <f>'DATA-GDP Annual'!W11</f>
        <v>139.91157758731728</v>
      </c>
      <c r="P236" s="375">
        <f>'DATA-Employment'!U13</f>
        <v>197.3</v>
      </c>
      <c r="Q236" s="375">
        <f>'DATA-Employment'!U31</f>
        <v>198.5</v>
      </c>
      <c r="R236" s="375">
        <f>'DATA-Employment'!U49</f>
        <v>18.5</v>
      </c>
      <c r="S236" s="375">
        <f>'DATA-Employment'!U67</f>
        <v>17.3</v>
      </c>
      <c r="T236" s="513">
        <f t="shared" si="10"/>
        <v>14686618.403027</v>
      </c>
      <c r="U236" s="40">
        <f t="shared" si="11"/>
        <v>-958692.59697300009</v>
      </c>
      <c r="V236" s="5">
        <f t="shared" si="12"/>
        <v>-6.1276672414693457E-2</v>
      </c>
      <c r="AD236">
        <f t="shared" si="13"/>
        <v>6.1276672414693456</v>
      </c>
    </row>
    <row r="237" spans="1:30" ht="15" x14ac:dyDescent="0.25">
      <c r="A237" s="3">
        <v>40725</v>
      </c>
      <c r="B237" s="518">
        <f>'DATA-Purchased Power'!U13</f>
        <v>21281346</v>
      </c>
      <c r="C237" s="518">
        <f>'DATA-Degree Days'!U14</f>
        <v>0</v>
      </c>
      <c r="D237" s="518">
        <f>'DATA-Degree Days'!U34</f>
        <v>196.9</v>
      </c>
      <c r="E237" s="518">
        <f>'DATA-Calendar'!U14</f>
        <v>320</v>
      </c>
      <c r="F237" s="518">
        <f>'DATA-Calendar'!U34</f>
        <v>31</v>
      </c>
      <c r="G237" s="518">
        <f>'DATA-Calendar'!U54</f>
        <v>0</v>
      </c>
      <c r="H237" s="518">
        <f>'DATA-Calendar'!U74</f>
        <v>1</v>
      </c>
      <c r="I237" s="518">
        <f>'DATA-Calendar'!U93</f>
        <v>0</v>
      </c>
      <c r="J237" s="518">
        <f>'DATA-Calendar'!U112</f>
        <v>0</v>
      </c>
      <c r="K237" s="518">
        <f>'DATA-Customers'!U31</f>
        <v>7952.9497885182063</v>
      </c>
      <c r="L237" s="518">
        <f>'DATA-Population'!U14</f>
        <v>15427.866733780833</v>
      </c>
      <c r="M237" s="518">
        <f>'DATA-CDM'!U12</f>
        <v>247526.70627824034</v>
      </c>
      <c r="N237" s="519">
        <f>'DATA-GDP Qrtly'!V86</f>
        <v>137.86447415744806</v>
      </c>
      <c r="O237" s="519">
        <f>'DATA-GDP Annual'!W12</f>
        <v>140.11973320138921</v>
      </c>
      <c r="P237" s="375">
        <f>'DATA-Employment'!U14</f>
        <v>196.7</v>
      </c>
      <c r="Q237" s="375">
        <f>'DATA-Employment'!U32</f>
        <v>201.2</v>
      </c>
      <c r="R237" s="375">
        <f>'DATA-Employment'!U50</f>
        <v>18.100000000000001</v>
      </c>
      <c r="S237" s="375">
        <f>'DATA-Employment'!U68</f>
        <v>16.5</v>
      </c>
      <c r="T237" s="513">
        <f t="shared" si="10"/>
        <v>20794060.871283907</v>
      </c>
      <c r="U237" s="40">
        <f t="shared" si="11"/>
        <v>-487285.12871609256</v>
      </c>
      <c r="V237" s="5">
        <f t="shared" si="12"/>
        <v>-2.2897288955129651E-2</v>
      </c>
      <c r="AD237">
        <f t="shared" si="13"/>
        <v>2.2897288955129649</v>
      </c>
    </row>
    <row r="238" spans="1:30" ht="15" x14ac:dyDescent="0.25">
      <c r="A238" s="3">
        <v>40756</v>
      </c>
      <c r="B238" s="518">
        <f>'DATA-Purchased Power'!U14</f>
        <v>19350665</v>
      </c>
      <c r="C238" s="518">
        <f>'DATA-Degree Days'!U15</f>
        <v>0</v>
      </c>
      <c r="D238" s="518">
        <f>'DATA-Degree Days'!U35</f>
        <v>146.30000000000001</v>
      </c>
      <c r="E238" s="518">
        <f>'DATA-Calendar'!U15</f>
        <v>352</v>
      </c>
      <c r="F238" s="518">
        <f>'DATA-Calendar'!U35</f>
        <v>31</v>
      </c>
      <c r="G238" s="518">
        <f>'DATA-Calendar'!U55</f>
        <v>0</v>
      </c>
      <c r="H238" s="518">
        <f>'DATA-Calendar'!U75</f>
        <v>1</v>
      </c>
      <c r="I238" s="518">
        <f>'DATA-Calendar'!U94</f>
        <v>0</v>
      </c>
      <c r="J238" s="518">
        <f>'DATA-Calendar'!U113</f>
        <v>0</v>
      </c>
      <c r="K238" s="518">
        <f>'DATA-Customers'!U32</f>
        <v>7972.9497464631013</v>
      </c>
      <c r="L238" s="518">
        <f>'DATA-Population'!U15</f>
        <v>15441.819004587094</v>
      </c>
      <c r="M238" s="518">
        <f>'DATA-CDM'!U13</f>
        <v>255100.95216805421</v>
      </c>
      <c r="N238" s="519">
        <f>'DATA-GDP Qrtly'!V87</f>
        <v>138.29758215455803</v>
      </c>
      <c r="O238" s="519">
        <f>'DATA-GDP Annual'!W13</f>
        <v>140.32819850219627</v>
      </c>
      <c r="P238" s="375">
        <f>'DATA-Employment'!U15</f>
        <v>197.1</v>
      </c>
      <c r="Q238" s="375">
        <f>'DATA-Employment'!U33</f>
        <v>202.6</v>
      </c>
      <c r="R238" s="375">
        <f>'DATA-Employment'!U51</f>
        <v>17.7</v>
      </c>
      <c r="S238" s="375">
        <f>'DATA-Employment'!U69</f>
        <v>16.600000000000001</v>
      </c>
      <c r="T238" s="513">
        <f t="shared" si="10"/>
        <v>19135373.388523951</v>
      </c>
      <c r="U238" s="40">
        <f t="shared" si="11"/>
        <v>-215291.61147604883</v>
      </c>
      <c r="V238" s="5">
        <f t="shared" si="12"/>
        <v>-1.1125799112126061E-2</v>
      </c>
      <c r="AD238">
        <f t="shared" si="13"/>
        <v>1.112579911212606</v>
      </c>
    </row>
    <row r="239" spans="1:30" ht="15" x14ac:dyDescent="0.25">
      <c r="A239" s="3">
        <v>40787</v>
      </c>
      <c r="B239" s="518">
        <f>'DATA-Purchased Power'!U15</f>
        <v>15682160</v>
      </c>
      <c r="C239" s="518">
        <f>'DATA-Degree Days'!U16</f>
        <v>26.9</v>
      </c>
      <c r="D239" s="518">
        <f>'DATA-Degree Days'!U36</f>
        <v>39.9</v>
      </c>
      <c r="E239" s="518">
        <f>'DATA-Calendar'!U16</f>
        <v>336</v>
      </c>
      <c r="F239" s="518">
        <f>'DATA-Calendar'!U36</f>
        <v>30</v>
      </c>
      <c r="G239" s="518">
        <f>'DATA-Calendar'!U56</f>
        <v>1</v>
      </c>
      <c r="H239" s="518">
        <f>'DATA-Calendar'!U76</f>
        <v>1</v>
      </c>
      <c r="I239" s="518">
        <f>'DATA-Calendar'!U95</f>
        <v>0</v>
      </c>
      <c r="J239" s="518">
        <f>'DATA-Calendar'!U114</f>
        <v>1</v>
      </c>
      <c r="K239" s="518">
        <f>'DATA-Customers'!U33</f>
        <v>7993</v>
      </c>
      <c r="L239" s="518">
        <f>'DATA-Population'!U16</f>
        <v>15455.78389320138</v>
      </c>
      <c r="M239" s="518">
        <f>'DATA-CDM'!U14</f>
        <v>262675.19805786805</v>
      </c>
      <c r="N239" s="519">
        <f>'DATA-GDP Qrtly'!V88</f>
        <v>138.73205078165122</v>
      </c>
      <c r="O239" s="519">
        <f>'DATA-GDP Annual'!W14</f>
        <v>140.53697395047968</v>
      </c>
      <c r="P239" s="375">
        <f>'DATA-Employment'!U16</f>
        <v>198.2</v>
      </c>
      <c r="Q239" s="375">
        <f>'DATA-Employment'!U34</f>
        <v>202.2</v>
      </c>
      <c r="R239" s="375">
        <f>'DATA-Employment'!U52</f>
        <v>17.600000000000001</v>
      </c>
      <c r="S239" s="375">
        <f>'DATA-Employment'!U70</f>
        <v>16.899999999999999</v>
      </c>
      <c r="T239" s="513">
        <f t="shared" si="10"/>
        <v>15255724.62256591</v>
      </c>
      <c r="U239" s="40">
        <f t="shared" si="11"/>
        <v>-426435.37743408978</v>
      </c>
      <c r="V239" s="5">
        <f t="shared" si="12"/>
        <v>-2.7192387874762775E-2</v>
      </c>
      <c r="AD239">
        <f t="shared" si="13"/>
        <v>2.7192387874762773</v>
      </c>
    </row>
    <row r="240" spans="1:30" ht="15" x14ac:dyDescent="0.25">
      <c r="A240" s="3">
        <v>40817</v>
      </c>
      <c r="B240" s="518">
        <f>'DATA-Purchased Power'!U16</f>
        <v>14357374</v>
      </c>
      <c r="C240" s="518">
        <f>'DATA-Degree Days'!U17</f>
        <v>185.7</v>
      </c>
      <c r="D240" s="518">
        <f>'DATA-Degree Days'!U37</f>
        <v>4.2</v>
      </c>
      <c r="E240" s="518">
        <f>'DATA-Calendar'!U17</f>
        <v>320</v>
      </c>
      <c r="F240" s="518">
        <f>'DATA-Calendar'!U37</f>
        <v>31</v>
      </c>
      <c r="G240" s="518">
        <f>'DATA-Calendar'!U57</f>
        <v>1</v>
      </c>
      <c r="H240" s="518">
        <f>'DATA-Calendar'!U77</f>
        <v>0</v>
      </c>
      <c r="I240" s="518">
        <f>'DATA-Calendar'!U96</f>
        <v>0</v>
      </c>
      <c r="J240" s="518">
        <f>'DATA-Calendar'!U115</f>
        <v>1</v>
      </c>
      <c r="K240" s="518">
        <f>'DATA-Customers'!U34</f>
        <v>8014.2766465614968</v>
      </c>
      <c r="L240" s="518">
        <f>'DATA-Population'!U17</f>
        <v>15469.761411034668</v>
      </c>
      <c r="M240" s="518">
        <f>'DATA-CDM'!U15</f>
        <v>270249.44394768192</v>
      </c>
      <c r="N240" s="519">
        <f>'DATA-GDP Qrtly'!V89</f>
        <v>139.03184005384679</v>
      </c>
      <c r="O240" s="519">
        <f>'DATA-GDP Annual'!W15</f>
        <v>140.74606000766616</v>
      </c>
      <c r="P240" s="375">
        <f>'DATA-Employment'!U17</f>
        <v>197.9</v>
      </c>
      <c r="Q240" s="375">
        <f>'DATA-Employment'!U35</f>
        <v>201.5</v>
      </c>
      <c r="R240" s="375">
        <f>'DATA-Employment'!U53</f>
        <v>17.2</v>
      </c>
      <c r="S240" s="375">
        <f>'DATA-Employment'!U71</f>
        <v>15.7</v>
      </c>
      <c r="T240" s="513">
        <f t="shared" si="10"/>
        <v>14558628.250906402</v>
      </c>
      <c r="U240" s="40">
        <f t="shared" si="11"/>
        <v>201254.25090640225</v>
      </c>
      <c r="V240" s="5">
        <f t="shared" si="12"/>
        <v>1.4017483343848412E-2</v>
      </c>
      <c r="AD240">
        <f t="shared" si="13"/>
        <v>1.4017483343848411</v>
      </c>
    </row>
    <row r="241" spans="1:30" ht="15" x14ac:dyDescent="0.25">
      <c r="A241" s="3">
        <v>40848</v>
      </c>
      <c r="B241" s="518">
        <f>'DATA-Purchased Power'!U17</f>
        <v>13709644</v>
      </c>
      <c r="C241" s="518">
        <f>'DATA-Degree Days'!U18</f>
        <v>284.89999999999998</v>
      </c>
      <c r="D241" s="518">
        <f>'DATA-Degree Days'!U38</f>
        <v>0</v>
      </c>
      <c r="E241" s="518">
        <f>'DATA-Calendar'!U18</f>
        <v>352</v>
      </c>
      <c r="F241" s="518">
        <f>'DATA-Calendar'!U38</f>
        <v>30</v>
      </c>
      <c r="G241" s="518">
        <f>'DATA-Calendar'!U58</f>
        <v>1</v>
      </c>
      <c r="H241" s="518">
        <f>'DATA-Calendar'!U78</f>
        <v>0</v>
      </c>
      <c r="I241" s="518">
        <f>'DATA-Calendar'!U97</f>
        <v>0</v>
      </c>
      <c r="J241" s="518">
        <f>'DATA-Calendar'!U116</f>
        <v>1</v>
      </c>
      <c r="K241" s="518">
        <f>'DATA-Customers'!U35</f>
        <v>8035.6099296410594</v>
      </c>
      <c r="L241" s="518">
        <f>'DATA-Population'!U18</f>
        <v>15483.751569508257</v>
      </c>
      <c r="M241" s="518">
        <f>'DATA-CDM'!U16</f>
        <v>277823.6898374958</v>
      </c>
      <c r="N241" s="519">
        <f>'DATA-GDP Qrtly'!V90</f>
        <v>139.33227714756032</v>
      </c>
      <c r="O241" s="519">
        <f>'DATA-GDP Annual'!W16</f>
        <v>140.9554571358689</v>
      </c>
      <c r="P241" s="375">
        <f>'DATA-Employment'!U18</f>
        <v>196.9</v>
      </c>
      <c r="Q241" s="375">
        <f>'DATA-Employment'!U36</f>
        <v>199.2</v>
      </c>
      <c r="R241" s="375">
        <f>'DATA-Employment'!U54</f>
        <v>16.100000000000001</v>
      </c>
      <c r="S241" s="375">
        <f>'DATA-Employment'!U72</f>
        <v>14.1</v>
      </c>
      <c r="T241" s="513">
        <f t="shared" si="10"/>
        <v>14305389.605384545</v>
      </c>
      <c r="U241" s="40">
        <f t="shared" si="11"/>
        <v>595745.6053845454</v>
      </c>
      <c r="V241" s="5">
        <f t="shared" si="12"/>
        <v>4.3454491260644358E-2</v>
      </c>
      <c r="AD241">
        <f t="shared" si="13"/>
        <v>4.3454491260644357</v>
      </c>
    </row>
    <row r="242" spans="1:30" ht="15" x14ac:dyDescent="0.25">
      <c r="A242" s="3">
        <v>40878</v>
      </c>
      <c r="B242" s="518">
        <f>'DATA-Purchased Power'!U18</f>
        <v>15324444</v>
      </c>
      <c r="C242" s="518">
        <f>'DATA-Degree Days'!U19</f>
        <v>463.7</v>
      </c>
      <c r="D242" s="518">
        <f>'DATA-Degree Days'!U39</f>
        <v>0</v>
      </c>
      <c r="E242" s="518">
        <f>'DATA-Calendar'!U19</f>
        <v>336</v>
      </c>
      <c r="F242" s="518">
        <f>'DATA-Calendar'!U39</f>
        <v>31</v>
      </c>
      <c r="G242" s="518">
        <f>'DATA-Calendar'!U59</f>
        <v>0</v>
      </c>
      <c r="H242" s="518">
        <f>'DATA-Calendar'!U79</f>
        <v>0</v>
      </c>
      <c r="I242" s="518">
        <f>'DATA-Calendar'!U98</f>
        <v>0</v>
      </c>
      <c r="J242" s="518">
        <f>'DATA-Calendar'!U117</f>
        <v>0</v>
      </c>
      <c r="K242" s="518">
        <f>'DATA-Customers'!U36</f>
        <v>8057</v>
      </c>
      <c r="L242" s="518">
        <f>'DATA-Population'!U19</f>
        <v>15497.754380053777</v>
      </c>
      <c r="M242" s="518">
        <f>'DATA-CDM'!U17</f>
        <v>285397.93572730967</v>
      </c>
      <c r="N242" s="519">
        <f>'DATA-GDP Qrtly'!V91</f>
        <v>139.63336346268412</v>
      </c>
      <c r="O242" s="519">
        <f>'DATA-GDP Annual'!W17</f>
        <v>141.16516579788873</v>
      </c>
      <c r="P242" s="375">
        <f>'DATA-Employment'!U19</f>
        <v>195.8</v>
      </c>
      <c r="Q242" s="375">
        <f>'DATA-Employment'!U37</f>
        <v>196.9</v>
      </c>
      <c r="R242" s="375">
        <f>'DATA-Employment'!U55</f>
        <v>15.7</v>
      </c>
      <c r="S242" s="375">
        <f>'DATA-Employment'!U73</f>
        <v>14.4</v>
      </c>
      <c r="T242" s="513">
        <f t="shared" si="10"/>
        <v>15453945.288509952</v>
      </c>
      <c r="U242" s="40">
        <f t="shared" si="11"/>
        <v>129501.2885099519</v>
      </c>
      <c r="V242" s="5">
        <f t="shared" si="12"/>
        <v>8.4506353711724814E-3</v>
      </c>
      <c r="AD242">
        <f t="shared" si="13"/>
        <v>0.84506353711724813</v>
      </c>
    </row>
    <row r="243" spans="1:30" ht="15" x14ac:dyDescent="0.25">
      <c r="A243" s="3">
        <v>40909</v>
      </c>
      <c r="B243" s="518">
        <f>'DATA-Purchased Power'!V7</f>
        <v>15683383.130000001</v>
      </c>
      <c r="C243" s="518">
        <f>'DATA-Degree Days'!V8</f>
        <v>554.40000000000009</v>
      </c>
      <c r="D243" s="518">
        <f>'DATA-Degree Days'!V28</f>
        <v>0</v>
      </c>
      <c r="E243" s="518">
        <f>'DATA-Calendar'!V8</f>
        <v>336</v>
      </c>
      <c r="F243" s="518">
        <f>'DATA-Calendar'!V28</f>
        <v>31</v>
      </c>
      <c r="G243" s="518">
        <f>'DATA-Calendar'!V48</f>
        <v>0</v>
      </c>
      <c r="H243" s="518">
        <f>'DATA-Calendar'!V68</f>
        <v>0</v>
      </c>
      <c r="I243" s="518">
        <f>'DATA-Calendar'!V87</f>
        <v>0</v>
      </c>
      <c r="J243" s="518">
        <f>'DATA-Calendar'!V106</f>
        <v>0</v>
      </c>
      <c r="K243" s="518">
        <f>'DATA-Customers'!V25</f>
        <v>8059.9988836516131</v>
      </c>
      <c r="L243" s="518">
        <f>'DATA-Population'!V8</f>
        <v>15511.769854113194</v>
      </c>
      <c r="M243" s="518">
        <f>'DATA-CDM'!V6</f>
        <v>289649.54817951843</v>
      </c>
      <c r="N243" s="519">
        <f>'DATA-GDP Qrtly'!W80</f>
        <v>139.89027388797086</v>
      </c>
      <c r="O243" s="519">
        <f>'DATA-GDP Annual'!X6</f>
        <v>141.35201968430201</v>
      </c>
      <c r="P243" s="375">
        <f>'DATA-Employment'!V8</f>
        <v>195.6</v>
      </c>
      <c r="Q243" s="375">
        <f>'DATA-Employment'!V26</f>
        <v>194.7</v>
      </c>
      <c r="R243" s="375">
        <f>'DATA-Employment'!V44</f>
        <v>15.4</v>
      </c>
      <c r="S243" s="375">
        <f>'DATA-Employment'!V62</f>
        <v>15.9</v>
      </c>
      <c r="T243" s="513">
        <f t="shared" si="10"/>
        <v>15797834.853815414</v>
      </c>
      <c r="U243" s="40">
        <f t="shared" si="11"/>
        <v>114451.72381541319</v>
      </c>
      <c r="V243" s="5">
        <f t="shared" si="12"/>
        <v>7.2976425345679342E-3</v>
      </c>
      <c r="AD243">
        <f t="shared" si="13"/>
        <v>0.72976425345679341</v>
      </c>
    </row>
    <row r="244" spans="1:30" ht="15" x14ac:dyDescent="0.25">
      <c r="A244" s="3">
        <v>40940</v>
      </c>
      <c r="B244" s="518">
        <f>'DATA-Purchased Power'!V8</f>
        <v>14321958.209999999</v>
      </c>
      <c r="C244" s="518">
        <f>'DATA-Degree Days'!V9</f>
        <v>482.39999999999992</v>
      </c>
      <c r="D244" s="518">
        <f>'DATA-Degree Days'!V29</f>
        <v>0</v>
      </c>
      <c r="E244" s="518">
        <f>'DATA-Calendar'!V9</f>
        <v>320</v>
      </c>
      <c r="F244" s="518">
        <f>'DATA-Calendar'!V29</f>
        <v>29</v>
      </c>
      <c r="G244" s="518">
        <f>'DATA-Calendar'!V49</f>
        <v>0</v>
      </c>
      <c r="H244" s="518">
        <f>'DATA-Calendar'!V69</f>
        <v>0</v>
      </c>
      <c r="I244" s="518">
        <f>'DATA-Calendar'!V88</f>
        <v>0</v>
      </c>
      <c r="J244" s="518">
        <f>'DATA-Calendar'!V107</f>
        <v>0</v>
      </c>
      <c r="K244" s="518">
        <f>'DATA-Customers'!V26</f>
        <v>8062.9988835131253</v>
      </c>
      <c r="L244" s="518">
        <f>'DATA-Population'!V9</f>
        <v>15525.798003138822</v>
      </c>
      <c r="M244" s="518">
        <f>'DATA-CDM'!V7</f>
        <v>293901.16063172719</v>
      </c>
      <c r="N244" s="519">
        <f>'DATA-GDP Qrtly'!W81</f>
        <v>140.14765700090894</v>
      </c>
      <c r="O244" s="519">
        <f>'DATA-GDP Annual'!X7</f>
        <v>141.53912090067567</v>
      </c>
      <c r="P244" s="375">
        <f>'DATA-Employment'!V9</f>
        <v>197.1</v>
      </c>
      <c r="Q244" s="375">
        <f>'DATA-Employment'!V27</f>
        <v>193.9</v>
      </c>
      <c r="R244" s="375">
        <f>'DATA-Employment'!V45</f>
        <v>16.2</v>
      </c>
      <c r="S244" s="375">
        <f>'DATA-Employment'!V63</f>
        <v>17.899999999999999</v>
      </c>
      <c r="T244" s="513">
        <f t="shared" ref="T244:T278" si="14">$X$18+C244*$X$19+D244*$X$20+O244*$X$21+I244*$X$22+H244*$X$23+M244*$X$24+F244*$X$25</f>
        <v>14572225.594309345</v>
      </c>
      <c r="U244" s="40">
        <f t="shared" ref="U244:U254" si="15">T244-B244</f>
        <v>250267.38430934586</v>
      </c>
      <c r="V244" s="5">
        <f t="shared" ref="V244:V254" si="16">U244/B244</f>
        <v>1.7474383086427528E-2</v>
      </c>
      <c r="AD244">
        <f t="shared" ref="AD244:AD254" si="17">ABS(B244-T244)/B244*100</f>
        <v>1.7474383086427527</v>
      </c>
    </row>
    <row r="245" spans="1:30" ht="15" x14ac:dyDescent="0.25">
      <c r="A245" s="3">
        <v>40969</v>
      </c>
      <c r="B245" s="518">
        <f>'DATA-Purchased Power'!V9</f>
        <v>14031795.34</v>
      </c>
      <c r="C245" s="518">
        <f>'DATA-Degree Days'!V10</f>
        <v>366.69999999999993</v>
      </c>
      <c r="D245" s="518">
        <f>'DATA-Degree Days'!V30</f>
        <v>0</v>
      </c>
      <c r="E245" s="518">
        <f>'DATA-Calendar'!V10</f>
        <v>352</v>
      </c>
      <c r="F245" s="518">
        <f>'DATA-Calendar'!V30</f>
        <v>31</v>
      </c>
      <c r="G245" s="518">
        <f>'DATA-Calendar'!V50</f>
        <v>1</v>
      </c>
      <c r="H245" s="518">
        <f>'DATA-Calendar'!V70</f>
        <v>0</v>
      </c>
      <c r="I245" s="518">
        <f>'DATA-Calendar'!V89</f>
        <v>1</v>
      </c>
      <c r="J245" s="518">
        <f>'DATA-Calendar'!V108</f>
        <v>0</v>
      </c>
      <c r="K245" s="518">
        <f>'DATA-Customers'!V27</f>
        <v>8066</v>
      </c>
      <c r="L245" s="518">
        <f>'DATA-Population'!V10</f>
        <v>15539.83883859333</v>
      </c>
      <c r="M245" s="518">
        <f>'DATA-CDM'!V8</f>
        <v>298152.77308393596</v>
      </c>
      <c r="N245" s="519">
        <f>'DATA-GDP Qrtly'!W82</f>
        <v>140.40551367119292</v>
      </c>
      <c r="O245" s="519">
        <f>'DATA-GDP Annual'!X8</f>
        <v>141.72646977438913</v>
      </c>
      <c r="P245" s="375">
        <f>'DATA-Employment'!V10</f>
        <v>197.9</v>
      </c>
      <c r="Q245" s="375">
        <f>'DATA-Employment'!V28</f>
        <v>193.3</v>
      </c>
      <c r="R245" s="375">
        <f>'DATA-Employment'!V46</f>
        <v>16</v>
      </c>
      <c r="S245" s="375">
        <f>'DATA-Employment'!V64</f>
        <v>18</v>
      </c>
      <c r="T245" s="513">
        <f t="shared" si="14"/>
        <v>14219135.959945459</v>
      </c>
      <c r="U245" s="40">
        <f t="shared" si="15"/>
        <v>187340.61994545907</v>
      </c>
      <c r="V245" s="5">
        <f t="shared" si="16"/>
        <v>1.3351151111177699E-2</v>
      </c>
      <c r="AD245">
        <f t="shared" si="17"/>
        <v>1.3351151111177699</v>
      </c>
    </row>
    <row r="246" spans="1:30" ht="15" x14ac:dyDescent="0.25">
      <c r="A246" s="3">
        <v>41000</v>
      </c>
      <c r="B246" s="518">
        <f>'DATA-Purchased Power'!V10</f>
        <v>13273337.119999999</v>
      </c>
      <c r="C246" s="518">
        <f>'DATA-Degree Days'!V11</f>
        <v>296.29999999999995</v>
      </c>
      <c r="D246" s="518">
        <f>'DATA-Degree Days'!V31</f>
        <v>0</v>
      </c>
      <c r="E246" s="518">
        <f>'DATA-Calendar'!V11</f>
        <v>320</v>
      </c>
      <c r="F246" s="518">
        <f>'DATA-Calendar'!V31</f>
        <v>30</v>
      </c>
      <c r="G246" s="518">
        <f>'DATA-Calendar'!V51</f>
        <v>1</v>
      </c>
      <c r="H246" s="518">
        <f>'DATA-Calendar'!V71</f>
        <v>0</v>
      </c>
      <c r="I246" s="518">
        <f>'DATA-Calendar'!V90</f>
        <v>1</v>
      </c>
      <c r="J246" s="518">
        <f>'DATA-Calendar'!V109</f>
        <v>0</v>
      </c>
      <c r="K246" s="518">
        <f>'DATA-Customers'!V28</f>
        <v>8072.6611641471818</v>
      </c>
      <c r="L246" s="518">
        <f>'DATA-Population'!V11</f>
        <v>15553.892371949758</v>
      </c>
      <c r="M246" s="518">
        <f>'DATA-CDM'!V9</f>
        <v>302404.38553614472</v>
      </c>
      <c r="N246" s="519">
        <f>'DATA-GDP Qrtly'!W83</f>
        <v>140.64698888774635</v>
      </c>
      <c r="O246" s="519">
        <f>'DATA-GDP Annual'!X9</f>
        <v>141.91406663325509</v>
      </c>
      <c r="P246" s="375">
        <f>'DATA-Employment'!V11</f>
        <v>199.1</v>
      </c>
      <c r="Q246" s="375">
        <f>'DATA-Employment'!V29</f>
        <v>194.5</v>
      </c>
      <c r="R246" s="375">
        <f>'DATA-Employment'!V47</f>
        <v>16.7</v>
      </c>
      <c r="S246" s="375">
        <f>'DATA-Employment'!V65</f>
        <v>18.2</v>
      </c>
      <c r="T246" s="513">
        <f t="shared" si="14"/>
        <v>13484815.690789498</v>
      </c>
      <c r="U246" s="40">
        <f t="shared" si="15"/>
        <v>211478.57078949921</v>
      </c>
      <c r="V246" s="5">
        <f t="shared" si="16"/>
        <v>1.5932584916482497E-2</v>
      </c>
      <c r="AD246">
        <f t="shared" si="17"/>
        <v>1.5932584916482497</v>
      </c>
    </row>
    <row r="247" spans="1:30" ht="15" x14ac:dyDescent="0.25">
      <c r="A247" s="3">
        <v>41030</v>
      </c>
      <c r="B247" s="518">
        <f>'DATA-Purchased Power'!V11</f>
        <v>14803180.68</v>
      </c>
      <c r="C247" s="518">
        <f>'DATA-Degree Days'!V12</f>
        <v>99.499999999999957</v>
      </c>
      <c r="D247" s="518">
        <f>'DATA-Degree Days'!V32</f>
        <v>22.400000000000002</v>
      </c>
      <c r="E247" s="518">
        <f>'DATA-Calendar'!V12</f>
        <v>352</v>
      </c>
      <c r="F247" s="518">
        <f>'DATA-Calendar'!V32</f>
        <v>31</v>
      </c>
      <c r="G247" s="518">
        <f>'DATA-Calendar'!V52</f>
        <v>1</v>
      </c>
      <c r="H247" s="518">
        <f>'DATA-Calendar'!V72</f>
        <v>0</v>
      </c>
      <c r="I247" s="518">
        <f>'DATA-Calendar'!V91</f>
        <v>1</v>
      </c>
      <c r="J247" s="518">
        <f>'DATA-Calendar'!V110</f>
        <v>0</v>
      </c>
      <c r="K247" s="518">
        <f>'DATA-Customers'!V29</f>
        <v>8079.3278292995456</v>
      </c>
      <c r="L247" s="518">
        <f>'DATA-Population'!V12</f>
        <v>15567.958614691519</v>
      </c>
      <c r="M247" s="518">
        <f>'DATA-CDM'!V10</f>
        <v>306655.99798835348</v>
      </c>
      <c r="N247" s="519">
        <f>'DATA-GDP Qrtly'!W84</f>
        <v>140.88887940337659</v>
      </c>
      <c r="O247" s="519">
        <f>'DATA-GDP Annual'!X10</f>
        <v>142.10191180552019</v>
      </c>
      <c r="P247" s="375">
        <f>'DATA-Employment'!V12</f>
        <v>201.5</v>
      </c>
      <c r="Q247" s="375">
        <f>'DATA-Employment'!V30</f>
        <v>200.2</v>
      </c>
      <c r="R247" s="375">
        <f>'DATA-Employment'!V48</f>
        <v>16.8</v>
      </c>
      <c r="S247" s="375">
        <f>'DATA-Employment'!V66</f>
        <v>17.5</v>
      </c>
      <c r="T247" s="513">
        <f t="shared" si="14"/>
        <v>13992486.517609559</v>
      </c>
      <c r="U247" s="40">
        <f t="shared" si="15"/>
        <v>-810694.1623904407</v>
      </c>
      <c r="V247" s="5">
        <f t="shared" si="16"/>
        <v>-5.4764863032830367E-2</v>
      </c>
      <c r="AD247">
        <f t="shared" si="17"/>
        <v>5.4764863032830364</v>
      </c>
    </row>
    <row r="248" spans="1:30" ht="15" x14ac:dyDescent="0.25">
      <c r="A248" s="3">
        <v>41061</v>
      </c>
      <c r="B248" s="518">
        <f>'DATA-Purchased Power'!V12</f>
        <v>17013300.510000002</v>
      </c>
      <c r="C248" s="518">
        <f>'DATA-Degree Days'!V13</f>
        <v>18.899999999999999</v>
      </c>
      <c r="D248" s="518">
        <f>'DATA-Degree Days'!V33</f>
        <v>105.60000000000001</v>
      </c>
      <c r="E248" s="518">
        <f>'DATA-Calendar'!V13</f>
        <v>336</v>
      </c>
      <c r="F248" s="518">
        <f>'DATA-Calendar'!V33</f>
        <v>30</v>
      </c>
      <c r="G248" s="518">
        <f>'DATA-Calendar'!V53</f>
        <v>0</v>
      </c>
      <c r="H248" s="518">
        <f>'DATA-Calendar'!V73</f>
        <v>0</v>
      </c>
      <c r="I248" s="518">
        <f>'DATA-Calendar'!V92</f>
        <v>0</v>
      </c>
      <c r="J248" s="518">
        <f>'DATA-Calendar'!V111</f>
        <v>0</v>
      </c>
      <c r="K248" s="518">
        <f>'DATA-Customers'!V30</f>
        <v>8086</v>
      </c>
      <c r="L248" s="518">
        <f>'DATA-Population'!V13</f>
        <v>15582.037578312409</v>
      </c>
      <c r="M248" s="518">
        <f>'DATA-CDM'!V11</f>
        <v>310907.61044056225</v>
      </c>
      <c r="N248" s="519">
        <f>'DATA-GDP Qrtly'!W85</f>
        <v>141.13118593233222</v>
      </c>
      <c r="O248" s="519">
        <f>'DATA-GDP Annual'!X11</f>
        <v>142.29000561986552</v>
      </c>
      <c r="P248" s="375">
        <f>'DATA-Employment'!V13</f>
        <v>203.2</v>
      </c>
      <c r="Q248" s="375">
        <f>'DATA-Employment'!V31</f>
        <v>206.2</v>
      </c>
      <c r="R248" s="375">
        <f>'DATA-Employment'!V49</f>
        <v>17.8</v>
      </c>
      <c r="S248" s="375">
        <f>'DATA-Employment'!V67</f>
        <v>16.899999999999999</v>
      </c>
      <c r="T248" s="513">
        <f t="shared" si="14"/>
        <v>16864274.587628551</v>
      </c>
      <c r="U248" s="40">
        <f t="shared" si="15"/>
        <v>-149025.92237145081</v>
      </c>
      <c r="V248" s="5">
        <f t="shared" si="16"/>
        <v>-8.7593775401696473E-3</v>
      </c>
      <c r="AD248">
        <f t="shared" si="17"/>
        <v>0.87593775401696472</v>
      </c>
    </row>
    <row r="249" spans="1:30" ht="15" x14ac:dyDescent="0.25">
      <c r="A249" s="3">
        <v>41091</v>
      </c>
      <c r="B249" s="518">
        <f>'DATA-Purchased Power'!V13</f>
        <v>21387559.02</v>
      </c>
      <c r="C249" s="518">
        <f>'DATA-Degree Days'!V14</f>
        <v>0</v>
      </c>
      <c r="D249" s="518">
        <f>'DATA-Degree Days'!V34</f>
        <v>203.49999999999997</v>
      </c>
      <c r="E249" s="518">
        <f>'DATA-Calendar'!V14</f>
        <v>336</v>
      </c>
      <c r="F249" s="518">
        <f>'DATA-Calendar'!V34</f>
        <v>31</v>
      </c>
      <c r="G249" s="518">
        <f>'DATA-Calendar'!V54</f>
        <v>0</v>
      </c>
      <c r="H249" s="518">
        <f>'DATA-Calendar'!V74</f>
        <v>1</v>
      </c>
      <c r="I249" s="518">
        <f>'DATA-Calendar'!V93</f>
        <v>0</v>
      </c>
      <c r="J249" s="518">
        <f>'DATA-Calendar'!V112</f>
        <v>0</v>
      </c>
      <c r="K249" s="518">
        <f>'DATA-Customers'!V31</f>
        <v>8101.304348562614</v>
      </c>
      <c r="L249" s="518">
        <f>'DATA-Population'!V14</f>
        <v>15596.129274316623</v>
      </c>
      <c r="M249" s="518">
        <f>'DATA-CDM'!V12</f>
        <v>315159.22289277101</v>
      </c>
      <c r="N249" s="519">
        <f>'DATA-GDP Qrtly'!W86</f>
        <v>141.20968195348144</v>
      </c>
      <c r="O249" s="519">
        <f>'DATA-GDP Annual'!X12</f>
        <v>142.47834840540727</v>
      </c>
      <c r="P249" s="375">
        <f>'DATA-Employment'!V14</f>
        <v>204.8</v>
      </c>
      <c r="Q249" s="375">
        <f>'DATA-Employment'!V32</f>
        <v>209.9</v>
      </c>
      <c r="R249" s="375">
        <f>'DATA-Employment'!V50</f>
        <v>18.399999999999999</v>
      </c>
      <c r="S249" s="375">
        <f>'DATA-Employment'!V68</f>
        <v>17.399999999999999</v>
      </c>
      <c r="T249" s="513">
        <f t="shared" si="14"/>
        <v>21107332.134976201</v>
      </c>
      <c r="U249" s="40">
        <f t="shared" si="15"/>
        <v>-280226.88502379879</v>
      </c>
      <c r="V249" s="5">
        <f t="shared" si="16"/>
        <v>-1.3102331348881478E-2</v>
      </c>
      <c r="AD249">
        <f t="shared" si="17"/>
        <v>1.3102331348881477</v>
      </c>
    </row>
    <row r="250" spans="1:30" ht="15" x14ac:dyDescent="0.25">
      <c r="A250" s="3">
        <v>41122</v>
      </c>
      <c r="B250" s="518">
        <f>'DATA-Purchased Power'!V14</f>
        <v>19560921.699999999</v>
      </c>
      <c r="C250" s="518">
        <f>'DATA-Degree Days'!V15</f>
        <v>0</v>
      </c>
      <c r="D250" s="518">
        <f>'DATA-Degree Days'!V35</f>
        <v>148.69999999999999</v>
      </c>
      <c r="E250" s="518">
        <f>'DATA-Calendar'!V15</f>
        <v>352</v>
      </c>
      <c r="F250" s="518">
        <f>'DATA-Calendar'!V35</f>
        <v>31</v>
      </c>
      <c r="G250" s="518">
        <f>'DATA-Calendar'!V55</f>
        <v>0</v>
      </c>
      <c r="H250" s="518">
        <f>'DATA-Calendar'!V75</f>
        <v>1</v>
      </c>
      <c r="I250" s="518">
        <f>'DATA-Calendar'!V94</f>
        <v>0</v>
      </c>
      <c r="J250" s="518">
        <f>'DATA-Calendar'!V113</f>
        <v>0</v>
      </c>
      <c r="K250" s="518">
        <f>'DATA-Customers'!V32</f>
        <v>8116.6376636210143</v>
      </c>
      <c r="L250" s="518">
        <f>'DATA-Population'!V15</f>
        <v>15610.233714218757</v>
      </c>
      <c r="M250" s="518">
        <f>'DATA-CDM'!V13</f>
        <v>319410.83534497977</v>
      </c>
      <c r="N250" s="519">
        <f>'DATA-GDP Qrtly'!W87</f>
        <v>141.28822163348107</v>
      </c>
      <c r="O250" s="519">
        <f>'DATA-GDP Annual'!X13</f>
        <v>142.66694049169723</v>
      </c>
      <c r="P250" s="375">
        <f>'DATA-Employment'!V15</f>
        <v>204.3</v>
      </c>
      <c r="Q250" s="375">
        <f>'DATA-Employment'!V33</f>
        <v>209.8</v>
      </c>
      <c r="R250" s="375">
        <f>'DATA-Employment'!V51</f>
        <v>18.899999999999999</v>
      </c>
      <c r="S250" s="375">
        <f>'DATA-Employment'!V69</f>
        <v>18.100000000000001</v>
      </c>
      <c r="T250" s="513">
        <f t="shared" si="14"/>
        <v>19315802.440878563</v>
      </c>
      <c r="U250" s="40">
        <f t="shared" si="15"/>
        <v>-245119.25912143663</v>
      </c>
      <c r="V250" s="5">
        <f t="shared" si="16"/>
        <v>-1.2531068979302578E-2</v>
      </c>
      <c r="AD250">
        <f t="shared" si="17"/>
        <v>1.2531068979302578</v>
      </c>
    </row>
    <row r="251" spans="1:30" ht="15" x14ac:dyDescent="0.25">
      <c r="A251" s="3">
        <v>41153</v>
      </c>
      <c r="B251" s="518">
        <f>'DATA-Purchased Power'!V15</f>
        <v>15379116.300000001</v>
      </c>
      <c r="C251" s="518">
        <f>'DATA-Degree Days'!V16</f>
        <v>37.9</v>
      </c>
      <c r="D251" s="518">
        <f>'DATA-Degree Days'!V36</f>
        <v>50.29999999999999</v>
      </c>
      <c r="E251" s="518">
        <f>'DATA-Calendar'!V16</f>
        <v>304</v>
      </c>
      <c r="F251" s="518">
        <f>'DATA-Calendar'!V36</f>
        <v>30</v>
      </c>
      <c r="G251" s="518">
        <f>'DATA-Calendar'!V56</f>
        <v>1</v>
      </c>
      <c r="H251" s="518">
        <f>'DATA-Calendar'!V76</f>
        <v>1</v>
      </c>
      <c r="I251" s="518">
        <f>'DATA-Calendar'!V95</f>
        <v>0</v>
      </c>
      <c r="J251" s="518">
        <f>'DATA-Calendar'!V114</f>
        <v>1</v>
      </c>
      <c r="K251" s="518">
        <f>'DATA-Customers'!V33</f>
        <v>8132</v>
      </c>
      <c r="L251" s="518">
        <f>'DATA-Population'!V16</f>
        <v>15624.35090954382</v>
      </c>
      <c r="M251" s="518">
        <f>'DATA-CDM'!V14</f>
        <v>323662.44779718854</v>
      </c>
      <c r="N251" s="519">
        <f>'DATA-GDP Qrtly'!W88</f>
        <v>141.36680499661378</v>
      </c>
      <c r="O251" s="519">
        <f>'DATA-GDP Annual'!X14</f>
        <v>142.85578220872344</v>
      </c>
      <c r="P251" s="375">
        <f>'DATA-Employment'!V16</f>
        <v>205</v>
      </c>
      <c r="Q251" s="375">
        <f>'DATA-Employment'!V34</f>
        <v>209.3</v>
      </c>
      <c r="R251" s="375">
        <f>'DATA-Employment'!V52</f>
        <v>19.100000000000001</v>
      </c>
      <c r="S251" s="375">
        <f>'DATA-Employment'!V70</f>
        <v>18.8</v>
      </c>
      <c r="T251" s="513">
        <f t="shared" si="14"/>
        <v>15744915.997355923</v>
      </c>
      <c r="U251" s="40">
        <f t="shared" si="15"/>
        <v>365799.69735592231</v>
      </c>
      <c r="V251" s="5">
        <f t="shared" si="16"/>
        <v>2.3785482222793405E-2</v>
      </c>
      <c r="AD251">
        <f t="shared" si="17"/>
        <v>2.3785482222793406</v>
      </c>
    </row>
    <row r="252" spans="1:30" ht="15" x14ac:dyDescent="0.25">
      <c r="A252" s="3">
        <v>41183</v>
      </c>
      <c r="B252" s="518">
        <f>'DATA-Purchased Power'!V16</f>
        <v>14092698.800000001</v>
      </c>
      <c r="C252" s="518">
        <f>'DATA-Degree Days'!V17</f>
        <v>191.9</v>
      </c>
      <c r="D252" s="518">
        <f>'DATA-Degree Days'!V37</f>
        <v>2.6</v>
      </c>
      <c r="E252" s="518">
        <f>'DATA-Calendar'!V17</f>
        <v>352</v>
      </c>
      <c r="F252" s="518">
        <f>'DATA-Calendar'!V37</f>
        <v>31</v>
      </c>
      <c r="G252" s="518">
        <f>'DATA-Calendar'!V57</f>
        <v>1</v>
      </c>
      <c r="H252" s="518">
        <f>'DATA-Calendar'!V77</f>
        <v>0</v>
      </c>
      <c r="I252" s="518">
        <f>'DATA-Calendar'!V96</f>
        <v>0</v>
      </c>
      <c r="J252" s="518">
        <f>'DATA-Calendar'!V115</f>
        <v>1</v>
      </c>
      <c r="K252" s="518">
        <f>'DATA-Customers'!V34</f>
        <v>8150.2921560266559</v>
      </c>
      <c r="L252" s="518">
        <f>'DATA-Population'!V17</f>
        <v>15638.480871827245</v>
      </c>
      <c r="M252" s="518">
        <f>'DATA-CDM'!V15</f>
        <v>327914.0602493973</v>
      </c>
      <c r="N252" s="519">
        <f>'DATA-GDP Qrtly'!W89</f>
        <v>141.44543206717586</v>
      </c>
      <c r="O252" s="519">
        <f>'DATA-GDP Annual'!X15</f>
        <v>143.04487388691072</v>
      </c>
      <c r="P252" s="375">
        <f>'DATA-Employment'!V17</f>
        <v>204.5</v>
      </c>
      <c r="Q252" s="375">
        <f>'DATA-Employment'!V35</f>
        <v>208.5</v>
      </c>
      <c r="R252" s="375">
        <f>'DATA-Employment'!V53</f>
        <v>19.399999999999999</v>
      </c>
      <c r="S252" s="375">
        <f>'DATA-Employment'!V71</f>
        <v>18</v>
      </c>
      <c r="T252" s="513">
        <f t="shared" si="14"/>
        <v>14640841.382270865</v>
      </c>
      <c r="U252" s="40">
        <f t="shared" si="15"/>
        <v>548142.5822708644</v>
      </c>
      <c r="V252" s="5">
        <f t="shared" si="16"/>
        <v>3.8895501142113702E-2</v>
      </c>
      <c r="AD252">
        <f t="shared" si="17"/>
        <v>3.88955011421137</v>
      </c>
    </row>
    <row r="253" spans="1:30" ht="15" x14ac:dyDescent="0.25">
      <c r="A253" s="3">
        <v>41214</v>
      </c>
      <c r="B253" s="518">
        <f>'DATA-Purchased Power'!V17</f>
        <v>14233680.619999999</v>
      </c>
      <c r="C253" s="518">
        <f>'DATA-Degree Days'!V18</f>
        <v>381.9</v>
      </c>
      <c r="D253" s="518">
        <f>'DATA-Degree Days'!V38</f>
        <v>0</v>
      </c>
      <c r="E253" s="518">
        <f>'DATA-Calendar'!V18</f>
        <v>352</v>
      </c>
      <c r="F253" s="518">
        <f>'DATA-Calendar'!V38</f>
        <v>30</v>
      </c>
      <c r="G253" s="518">
        <f>'DATA-Calendar'!V58</f>
        <v>1</v>
      </c>
      <c r="H253" s="518">
        <f>'DATA-Calendar'!V78</f>
        <v>0</v>
      </c>
      <c r="I253" s="518">
        <f>'DATA-Calendar'!V97</f>
        <v>0</v>
      </c>
      <c r="J253" s="518">
        <f>'DATA-Calendar'!V116</f>
        <v>1</v>
      </c>
      <c r="K253" s="518">
        <f>'DATA-Customers'!V35</f>
        <v>8168.625458508317</v>
      </c>
      <c r="L253" s="518">
        <f>'DATA-Population'!V18</f>
        <v>15652.623612614896</v>
      </c>
      <c r="M253" s="518">
        <f>'DATA-CDM'!V16</f>
        <v>332165.67270160606</v>
      </c>
      <c r="N253" s="519">
        <f>'DATA-GDP Qrtly'!W90</f>
        <v>141.52410286947696</v>
      </c>
      <c r="O253" s="519">
        <f>'DATA-GDP Annual'!X16</f>
        <v>143.23421585712123</v>
      </c>
      <c r="P253" s="375">
        <f>'DATA-Employment'!V18</f>
        <v>202.6</v>
      </c>
      <c r="Q253" s="375">
        <f>'DATA-Employment'!V36</f>
        <v>204.6</v>
      </c>
      <c r="R253" s="375">
        <f>'DATA-Employment'!V54</f>
        <v>18.2</v>
      </c>
      <c r="S253" s="375">
        <f>'DATA-Employment'!V72</f>
        <v>15.6</v>
      </c>
      <c r="T253" s="513">
        <f t="shared" si="14"/>
        <v>14779635.22140811</v>
      </c>
      <c r="U253" s="40">
        <f t="shared" si="15"/>
        <v>545954.60140811093</v>
      </c>
      <c r="V253" s="5">
        <f t="shared" si="16"/>
        <v>3.8356530259712328E-2</v>
      </c>
      <c r="AD253">
        <f t="shared" si="17"/>
        <v>3.8356530259712329</v>
      </c>
    </row>
    <row r="254" spans="1:30" ht="15" x14ac:dyDescent="0.25">
      <c r="A254" s="3">
        <v>41244</v>
      </c>
      <c r="B254" s="518">
        <f>'DATA-Purchased Power'!V18</f>
        <v>15387739.460000001</v>
      </c>
      <c r="C254" s="518">
        <f>'DATA-Degree Days'!V19</f>
        <v>462.50000000000006</v>
      </c>
      <c r="D254" s="518">
        <f>'DATA-Degree Days'!V39</f>
        <v>0</v>
      </c>
      <c r="E254" s="518">
        <f>'DATA-Calendar'!V19</f>
        <v>304</v>
      </c>
      <c r="F254" s="518">
        <f>'DATA-Calendar'!V39</f>
        <v>31</v>
      </c>
      <c r="G254" s="518">
        <f>'DATA-Calendar'!V59</f>
        <v>0</v>
      </c>
      <c r="H254" s="518">
        <f>'DATA-Calendar'!V79</f>
        <v>0</v>
      </c>
      <c r="I254" s="518">
        <f>'DATA-Calendar'!V98</f>
        <v>0</v>
      </c>
      <c r="J254" s="518">
        <f>'DATA-Calendar'!V117</f>
        <v>0</v>
      </c>
      <c r="K254" s="518">
        <f>'DATA-Customers'!V36</f>
        <v>8187</v>
      </c>
      <c r="L254" s="518">
        <f>'DATA-Population'!V19</f>
        <v>15666.77914346308</v>
      </c>
      <c r="M254" s="518">
        <f>'DATA-CDM'!V17</f>
        <v>336417.28515381482</v>
      </c>
      <c r="N254" s="519">
        <f>'DATA-GDP Qrtly'!W91</f>
        <v>141.60281742784034</v>
      </c>
      <c r="O254" s="519">
        <f>'DATA-GDP Annual'!X17</f>
        <v>143.42380845065495</v>
      </c>
      <c r="P254" s="375">
        <f>'DATA-Employment'!V19</f>
        <v>201.3</v>
      </c>
      <c r="Q254" s="375">
        <f>'DATA-Employment'!V37</f>
        <v>201.6</v>
      </c>
      <c r="R254" s="375">
        <f>'DATA-Employment'!V55</f>
        <v>17</v>
      </c>
      <c r="S254" s="375">
        <f>'DATA-Employment'!V73</f>
        <v>14.9</v>
      </c>
      <c r="T254" s="513">
        <f t="shared" si="14"/>
        <v>15571984.374671018</v>
      </c>
      <c r="U254" s="40">
        <f t="shared" si="15"/>
        <v>184244.91467101686</v>
      </c>
      <c r="V254" s="5">
        <f t="shared" si="16"/>
        <v>1.1973488058460852E-2</v>
      </c>
      <c r="AD254" s="517">
        <f t="shared" si="17"/>
        <v>1.1973488058460853</v>
      </c>
    </row>
    <row r="255" spans="1:30" ht="15" x14ac:dyDescent="0.25">
      <c r="A255" s="3">
        <v>41275</v>
      </c>
      <c r="B255" s="342"/>
      <c r="C255" s="520">
        <f>(C51+C63+C75+C87+C99+C111+C123+C135+C147+C159+C171+C183+C195+C207+C219+C231+C243)/17</f>
        <v>638.27058823529399</v>
      </c>
      <c r="D255" s="520">
        <f t="shared" ref="D255:D266" si="18">(D51+D63+D75+D87+D99+D111+D123+D135+D147+D159+D171+D183+D195+D207+D219+D231+D243)/17</f>
        <v>0</v>
      </c>
      <c r="E255" s="518">
        <f>'DATA-Calendar'!W8</f>
        <v>352</v>
      </c>
      <c r="F255" s="518">
        <f>'DATA-Calendar'!W28</f>
        <v>31</v>
      </c>
      <c r="G255" s="518">
        <f>'DATA-Calendar'!W48</f>
        <v>0</v>
      </c>
      <c r="H255" s="518">
        <f>'DATA-Calendar'!W68</f>
        <v>0</v>
      </c>
      <c r="I255" s="518">
        <f>'DATA-Calendar'!W87</f>
        <v>0</v>
      </c>
      <c r="J255" s="518">
        <f>'DATA-Calendar'!W106</f>
        <v>0</v>
      </c>
      <c r="K255" s="518">
        <f>'DATA-Customers'!W25</f>
        <v>8199.578202303861</v>
      </c>
      <c r="L255" s="518">
        <f>'DATA-Population'!W8</f>
        <v>15680.947475938552</v>
      </c>
      <c r="M255" s="518">
        <f>'DATA-CDM'!W6</f>
        <v>332318.22846348432</v>
      </c>
      <c r="N255" s="519">
        <f>'DATA-GDP Qrtly'!X80</f>
        <v>141.89443746092971</v>
      </c>
      <c r="O255" s="519">
        <f>'DATA-GDP Annual'!Y6</f>
        <v>143.60186734709282</v>
      </c>
      <c r="P255" s="36"/>
      <c r="Q255" s="36"/>
      <c r="R255" s="36"/>
      <c r="S255" s="36"/>
      <c r="T255" s="513">
        <f t="shared" si="14"/>
        <v>16246453.637552584</v>
      </c>
      <c r="U255" s="10"/>
      <c r="V255" s="163"/>
      <c r="AD255">
        <f>SUM(AD51:AD254)</f>
        <v>472.26107821449983</v>
      </c>
    </row>
    <row r="256" spans="1:30" ht="15" x14ac:dyDescent="0.25">
      <c r="A256" s="3">
        <v>41306</v>
      </c>
      <c r="B256" s="342"/>
      <c r="C256" s="520">
        <f t="shared" ref="C256" si="19">(C52+C64+C76+C88+C100+C112+C124+C136+C148+C160+C172+C184+C196+C208+C220+C232+C244)/17</f>
        <v>557.11176470588236</v>
      </c>
      <c r="D256" s="520">
        <f t="shared" si="18"/>
        <v>0</v>
      </c>
      <c r="E256" s="518">
        <f>'DATA-Calendar'!W9</f>
        <v>304</v>
      </c>
      <c r="F256" s="518">
        <f>'DATA-Calendar'!W29</f>
        <v>28</v>
      </c>
      <c r="G256" s="518">
        <f>'DATA-Calendar'!W49</f>
        <v>0</v>
      </c>
      <c r="H256" s="518">
        <f>'DATA-Calendar'!W69</f>
        <v>0</v>
      </c>
      <c r="I256" s="518">
        <f>'DATA-Calendar'!W88</f>
        <v>0</v>
      </c>
      <c r="J256" s="518">
        <f>'DATA-Calendar'!W107</f>
        <v>0</v>
      </c>
      <c r="K256" s="518">
        <f>'DATA-Customers'!W26</f>
        <v>8212.1757292899256</v>
      </c>
      <c r="L256" s="518">
        <f>'DATA-Population'!W9</f>
        <v>15695.128621618533</v>
      </c>
      <c r="M256" s="518">
        <f>'DATA-CDM'!W7</f>
        <v>328219.17177315382</v>
      </c>
      <c r="N256" s="519">
        <f>'DATA-GDP Qrtly'!X81</f>
        <v>142.18665806288661</v>
      </c>
      <c r="O256" s="519">
        <f>'DATA-GDP Annual'!Y7</f>
        <v>143.78014730146342</v>
      </c>
      <c r="P256" s="36"/>
      <c r="Q256" s="36"/>
      <c r="R256" s="36"/>
      <c r="S256" s="36"/>
      <c r="T256" s="513">
        <f t="shared" si="14"/>
        <v>14519255.60664146</v>
      </c>
      <c r="U256" s="10"/>
      <c r="V256" s="163"/>
      <c r="AD256">
        <f>COUNT(AD51:AD254)</f>
        <v>204</v>
      </c>
    </row>
    <row r="257" spans="1:30" ht="15" x14ac:dyDescent="0.25">
      <c r="A257" s="3">
        <v>41334</v>
      </c>
      <c r="B257" s="342"/>
      <c r="C257" s="520">
        <f t="shared" ref="C257" si="20">(C53+C65+C77+C89+C101+C113+C125+C137+C149+C161+C173+C185+C197+C209+C221+C233+C245)/17</f>
        <v>505.72647058823532</v>
      </c>
      <c r="D257" s="520">
        <f t="shared" si="18"/>
        <v>0</v>
      </c>
      <c r="E257" s="518">
        <f>'DATA-Calendar'!W10</f>
        <v>320</v>
      </c>
      <c r="F257" s="518">
        <f>'DATA-Calendar'!W30</f>
        <v>31</v>
      </c>
      <c r="G257" s="518">
        <f>'DATA-Calendar'!W50</f>
        <v>1</v>
      </c>
      <c r="H257" s="518">
        <f>'DATA-Calendar'!W70</f>
        <v>0</v>
      </c>
      <c r="I257" s="518">
        <f>'DATA-Calendar'!W89</f>
        <v>1</v>
      </c>
      <c r="J257" s="518">
        <f>'DATA-Calendar'!W108</f>
        <v>0</v>
      </c>
      <c r="K257" s="518">
        <f>'DATA-Customers'!W27</f>
        <v>8224.7926106479154</v>
      </c>
      <c r="L257" s="518">
        <f>'DATA-Population'!W10</f>
        <v>15709.322592090708</v>
      </c>
      <c r="M257" s="518">
        <f>'DATA-CDM'!W8</f>
        <v>324120.11508282332</v>
      </c>
      <c r="N257" s="519">
        <f>'DATA-GDP Qrtly'!X82</f>
        <v>142.47948047053609</v>
      </c>
      <c r="O257" s="519">
        <f>'DATA-GDP Annual'!Y8</f>
        <v>143.95864858820744</v>
      </c>
      <c r="P257" s="36"/>
      <c r="Q257" s="36"/>
      <c r="R257" s="36"/>
      <c r="S257" s="36"/>
      <c r="T257" s="513">
        <f t="shared" si="14"/>
        <v>14905695.464217925</v>
      </c>
      <c r="U257" s="10"/>
      <c r="V257" s="163"/>
      <c r="AD257">
        <f>AD255/AD256</f>
        <v>2.3150052853651952</v>
      </c>
    </row>
    <row r="258" spans="1:30" ht="15" x14ac:dyDescent="0.25">
      <c r="A258" s="3">
        <v>41365</v>
      </c>
      <c r="B258" s="342"/>
      <c r="C258" s="520">
        <f t="shared" ref="C258" si="21">(C54+C66+C78+C90+C102+C114+C126+C138+C150+C162+C174+C186+C198+C210+C222+C234+C246)/17</f>
        <v>329.97058823529414</v>
      </c>
      <c r="D258" s="520">
        <f t="shared" si="18"/>
        <v>2.9411764705882353E-2</v>
      </c>
      <c r="E258" s="518">
        <f>'DATA-Calendar'!W11</f>
        <v>352</v>
      </c>
      <c r="F258" s="518">
        <f>'DATA-Calendar'!W31</f>
        <v>30</v>
      </c>
      <c r="G258" s="518">
        <f>'DATA-Calendar'!W51</f>
        <v>1</v>
      </c>
      <c r="H258" s="518">
        <f>'DATA-Calendar'!W71</f>
        <v>0</v>
      </c>
      <c r="I258" s="518">
        <f>'DATA-Calendar'!W90</f>
        <v>1</v>
      </c>
      <c r="J258" s="518">
        <f>'DATA-Calendar'!W109</f>
        <v>0</v>
      </c>
      <c r="K258" s="518">
        <f>'DATA-Customers'!W28</f>
        <v>8237.4288761131684</v>
      </c>
      <c r="L258" s="518">
        <f>'DATA-Population'!W11</f>
        <v>15723.529398953244</v>
      </c>
      <c r="M258" s="518">
        <f>'DATA-CDM'!W9</f>
        <v>320021.05839249282</v>
      </c>
      <c r="N258" s="519">
        <f>'DATA-GDP Qrtly'!X83</f>
        <v>142.77290592325033</v>
      </c>
      <c r="O258" s="519">
        <f>'DATA-GDP Annual'!Y9</f>
        <v>144.13737148210635</v>
      </c>
      <c r="P258" s="36"/>
      <c r="Q258" s="36"/>
      <c r="R258" s="36"/>
      <c r="S258" s="36"/>
      <c r="T258" s="513">
        <f t="shared" si="14"/>
        <v>13802037.3294938</v>
      </c>
      <c r="U258" s="10"/>
      <c r="V258" s="163"/>
    </row>
    <row r="259" spans="1:30" ht="15" x14ac:dyDescent="0.25">
      <c r="A259" s="3">
        <v>41395</v>
      </c>
      <c r="B259" s="342"/>
      <c r="C259" s="520">
        <f t="shared" ref="C259" si="22">(C55+C67+C79+C91+C103+C115+C127+C139+C151+C163+C175+C187+C199+C211+C223+C235+C247)/17</f>
        <v>174.64852941176471</v>
      </c>
      <c r="D259" s="520">
        <f t="shared" si="18"/>
        <v>8.2882352941176478</v>
      </c>
      <c r="E259" s="518">
        <f>'DATA-Calendar'!W12</f>
        <v>352</v>
      </c>
      <c r="F259" s="518">
        <f>'DATA-Calendar'!W32</f>
        <v>31</v>
      </c>
      <c r="G259" s="518">
        <f>'DATA-Calendar'!W52</f>
        <v>1</v>
      </c>
      <c r="H259" s="518">
        <f>'DATA-Calendar'!W72</f>
        <v>0</v>
      </c>
      <c r="I259" s="518">
        <f>'DATA-Calendar'!W91</f>
        <v>1</v>
      </c>
      <c r="J259" s="518">
        <f>'DATA-Calendar'!W110</f>
        <v>0</v>
      </c>
      <c r="K259" s="518">
        <f>'DATA-Customers'!W29</f>
        <v>8250.0845554667067</v>
      </c>
      <c r="L259" s="518">
        <f>'DATA-Population'!W12</f>
        <v>15737.749053814798</v>
      </c>
      <c r="M259" s="518">
        <f>'DATA-CDM'!W10</f>
        <v>315922.00170216232</v>
      </c>
      <c r="N259" s="519">
        <f>'DATA-GDP Qrtly'!X84</f>
        <v>143.06693566295394</v>
      </c>
      <c r="O259" s="519">
        <f>'DATA-GDP Annual'!Y10</f>
        <v>144.31631625828265</v>
      </c>
      <c r="P259" s="36"/>
      <c r="Q259" s="36"/>
      <c r="R259" s="36"/>
      <c r="S259" s="36"/>
      <c r="T259" s="513">
        <f t="shared" si="14"/>
        <v>14014882.746203342</v>
      </c>
      <c r="U259" s="10"/>
      <c r="V259" s="163"/>
    </row>
    <row r="260" spans="1:30" ht="15" x14ac:dyDescent="0.25">
      <c r="A260" s="3">
        <v>41426</v>
      </c>
      <c r="B260" s="342"/>
      <c r="C260" s="520">
        <f t="shared" ref="C260" si="23">(C56+C68+C80+C92+C104+C116+C128+C140+C152+C164+C176+C188+C200+C212+C224+C236+C248)/17</f>
        <v>33.029411764705877</v>
      </c>
      <c r="D260" s="520">
        <f t="shared" si="18"/>
        <v>57.735294117647058</v>
      </c>
      <c r="E260" s="518">
        <f>'DATA-Calendar'!W13</f>
        <v>320</v>
      </c>
      <c r="F260" s="518">
        <f>'DATA-Calendar'!W33</f>
        <v>30</v>
      </c>
      <c r="G260" s="518">
        <f>'DATA-Calendar'!W53</f>
        <v>0</v>
      </c>
      <c r="H260" s="518">
        <f>'DATA-Calendar'!W73</f>
        <v>0</v>
      </c>
      <c r="I260" s="518">
        <f>'DATA-Calendar'!W92</f>
        <v>0</v>
      </c>
      <c r="J260" s="518">
        <f>'DATA-Calendar'!W111</f>
        <v>0</v>
      </c>
      <c r="K260" s="518">
        <f>'DATA-Customers'!W30</f>
        <v>8262.7596785353053</v>
      </c>
      <c r="L260" s="518">
        <f>'DATA-Population'!W13</f>
        <v>15751.981568294523</v>
      </c>
      <c r="M260" s="518">
        <f>'DATA-CDM'!W11</f>
        <v>311822.94501183182</v>
      </c>
      <c r="N260" s="519">
        <f>'DATA-GDP Qrtly'!X85</f>
        <v>143.36157093412919</v>
      </c>
      <c r="O260" s="519">
        <f>'DATA-GDP Annual'!Y11</f>
        <v>144.49548319220051</v>
      </c>
      <c r="P260" s="36"/>
      <c r="Q260" s="36"/>
      <c r="R260" s="36"/>
      <c r="S260" s="36"/>
      <c r="T260" s="513">
        <f t="shared" si="14"/>
        <v>15569779.327643342</v>
      </c>
      <c r="U260" s="10"/>
      <c r="V260" s="163"/>
    </row>
    <row r="261" spans="1:30" ht="15" x14ac:dyDescent="0.25">
      <c r="A261" s="3">
        <v>41456</v>
      </c>
      <c r="B261" s="342"/>
      <c r="C261" s="520">
        <f t="shared" ref="C261" si="24">(C57+C69+C81+C93+C105+C117+C129+C141+C153+C165+C177+C189+C201+C213+C225+C237+C249)/17</f>
        <v>1.088235294117647</v>
      </c>
      <c r="D261" s="520">
        <f t="shared" si="18"/>
        <v>132.79117647058825</v>
      </c>
      <c r="E261" s="518">
        <f>'DATA-Calendar'!W14</f>
        <v>352</v>
      </c>
      <c r="F261" s="518">
        <f>'DATA-Calendar'!W34</f>
        <v>31</v>
      </c>
      <c r="G261" s="518">
        <f>'DATA-Calendar'!W54</f>
        <v>0</v>
      </c>
      <c r="H261" s="518">
        <f>'DATA-Calendar'!W74</f>
        <v>1</v>
      </c>
      <c r="I261" s="518">
        <f>'DATA-Calendar'!W93</f>
        <v>0</v>
      </c>
      <c r="J261" s="518">
        <f>'DATA-Calendar'!W112</f>
        <v>0</v>
      </c>
      <c r="K261" s="518">
        <f>'DATA-Customers'!W31</f>
        <v>8275.4542751915651</v>
      </c>
      <c r="L261" s="518">
        <f>'DATA-Population'!W14</f>
        <v>15766.226954022082</v>
      </c>
      <c r="M261" s="518">
        <f>'DATA-CDM'!W12</f>
        <v>307723.88832150132</v>
      </c>
      <c r="N261" s="519">
        <f>'DATA-GDP Qrtly'!X86</f>
        <v>143.6568129838212</v>
      </c>
      <c r="O261" s="519">
        <f>'DATA-GDP Annual'!Y12</f>
        <v>144.67487255966603</v>
      </c>
      <c r="P261" s="36"/>
      <c r="Q261" s="36"/>
      <c r="R261" s="36"/>
      <c r="S261" s="36"/>
      <c r="T261" s="513">
        <f t="shared" si="14"/>
        <v>19031200.367848929</v>
      </c>
      <c r="U261" s="10"/>
      <c r="V261" s="163"/>
    </row>
    <row r="262" spans="1:30" ht="15" x14ac:dyDescent="0.25">
      <c r="A262" s="3">
        <v>41487</v>
      </c>
      <c r="B262" s="342"/>
      <c r="C262" s="520">
        <f t="shared" ref="C262" si="25">(C58+C70+C82+C94+C106+C118+C130+C142+C154+C166+C178+C190+C202+C214+C226+C238+C250)/17</f>
        <v>1.9294117647058826</v>
      </c>
      <c r="D262" s="520">
        <f t="shared" si="18"/>
        <v>127.17941176470586</v>
      </c>
      <c r="E262" s="518">
        <f>'DATA-Calendar'!W15</f>
        <v>336</v>
      </c>
      <c r="F262" s="518">
        <f>'DATA-Calendar'!W35</f>
        <v>31</v>
      </c>
      <c r="G262" s="518">
        <f>'DATA-Calendar'!W55</f>
        <v>0</v>
      </c>
      <c r="H262" s="518">
        <f>'DATA-Calendar'!W75</f>
        <v>1</v>
      </c>
      <c r="I262" s="518">
        <f>'DATA-Calendar'!W94</f>
        <v>0</v>
      </c>
      <c r="J262" s="518">
        <f>'DATA-Calendar'!W113</f>
        <v>0</v>
      </c>
      <c r="K262" s="518">
        <f>'DATA-Customers'!W32</f>
        <v>8288.1683753539819</v>
      </c>
      <c r="L262" s="518">
        <f>'DATA-Population'!W15</f>
        <v>15780.485222637655</v>
      </c>
      <c r="M262" s="518">
        <f>'DATA-CDM'!W13</f>
        <v>303624.83163117082</v>
      </c>
      <c r="N262" s="519">
        <f>'DATA-GDP Qrtly'!X87</f>
        <v>143.95266306164331</v>
      </c>
      <c r="O262" s="519">
        <f>'DATA-GDP Annual'!Y13</f>
        <v>144.85448463682772</v>
      </c>
      <c r="P262" s="36"/>
      <c r="Q262" s="36"/>
      <c r="R262" s="36"/>
      <c r="S262" s="36"/>
      <c r="T262" s="513">
        <f t="shared" si="14"/>
        <v>18877482.982801847</v>
      </c>
      <c r="U262" s="10"/>
      <c r="V262" s="163"/>
    </row>
    <row r="263" spans="1:30" ht="15" x14ac:dyDescent="0.25">
      <c r="A263" s="3">
        <v>41518</v>
      </c>
      <c r="B263" s="342"/>
      <c r="C263" s="520">
        <f t="shared" ref="C263" si="26">(C59+C71+C83+C95+C107+C119+C131+C143+C155+C167+C179+C191+C203+C215+C227+C239+C251)/17</f>
        <v>31.47941176470588</v>
      </c>
      <c r="D263" s="520">
        <f t="shared" si="18"/>
        <v>48.405882352941177</v>
      </c>
      <c r="E263" s="518">
        <f>'DATA-Calendar'!W16</f>
        <v>320</v>
      </c>
      <c r="F263" s="518">
        <f>'DATA-Calendar'!W36</f>
        <v>30</v>
      </c>
      <c r="G263" s="518">
        <f>'DATA-Calendar'!W56</f>
        <v>1</v>
      </c>
      <c r="H263" s="518">
        <f>'DATA-Calendar'!W76</f>
        <v>1</v>
      </c>
      <c r="I263" s="518">
        <f>'DATA-Calendar'!W95</f>
        <v>0</v>
      </c>
      <c r="J263" s="518">
        <f>'DATA-Calendar'!W114</f>
        <v>1</v>
      </c>
      <c r="K263" s="518">
        <f>'DATA-Customers'!W33</f>
        <v>8300.9020089870173</v>
      </c>
      <c r="L263" s="518">
        <f>'DATA-Population'!W16</f>
        <v>15794.756385791947</v>
      </c>
      <c r="M263" s="518">
        <f>'DATA-CDM'!W14</f>
        <v>299525.77494084032</v>
      </c>
      <c r="N263" s="519">
        <f>'DATA-GDP Qrtly'!X88</f>
        <v>144.2491224197824</v>
      </c>
      <c r="O263" s="519">
        <f>'DATA-GDP Annual'!Y14</f>
        <v>145.03431970017692</v>
      </c>
      <c r="P263" s="36"/>
      <c r="Q263" s="36"/>
      <c r="R263" s="36"/>
      <c r="S263" s="36"/>
      <c r="T263" s="513">
        <f t="shared" si="14"/>
        <v>15938614.076047558</v>
      </c>
      <c r="U263" s="10"/>
      <c r="V263" s="163"/>
    </row>
    <row r="264" spans="1:30" ht="15" x14ac:dyDescent="0.25">
      <c r="A264" s="3">
        <v>41548</v>
      </c>
      <c r="B264" s="342"/>
      <c r="C264" s="520">
        <f t="shared" ref="C264" si="27">(C60+C72+C84+C96+C108+C120+C132+C144+C156+C168+C180+C192+C204+C216+C228+C240+C252)/17</f>
        <v>194.76764705882348</v>
      </c>
      <c r="D264" s="520">
        <f t="shared" si="18"/>
        <v>4.1647058823529406</v>
      </c>
      <c r="E264" s="518">
        <f>'DATA-Calendar'!W17</f>
        <v>352</v>
      </c>
      <c r="F264" s="518">
        <f>'DATA-Calendar'!W37</f>
        <v>31</v>
      </c>
      <c r="G264" s="518">
        <f>'DATA-Calendar'!W57</f>
        <v>1</v>
      </c>
      <c r="H264" s="518">
        <f>'DATA-Calendar'!W77</f>
        <v>0</v>
      </c>
      <c r="I264" s="518">
        <f>'DATA-Calendar'!W96</f>
        <v>0</v>
      </c>
      <c r="J264" s="518">
        <f>'DATA-Calendar'!W115</f>
        <v>1</v>
      </c>
      <c r="K264" s="518">
        <f>'DATA-Customers'!W34</f>
        <v>8313.6552061011698</v>
      </c>
      <c r="L264" s="518">
        <f>'DATA-Population'!W17</f>
        <v>15809.0404551462</v>
      </c>
      <c r="M264" s="518">
        <f>'DATA-CDM'!W15</f>
        <v>295426.71825050982</v>
      </c>
      <c r="N264" s="519">
        <f>'DATA-GDP Qrtly'!X89</f>
        <v>144.54619231300404</v>
      </c>
      <c r="O264" s="519">
        <f>'DATA-GDP Annual'!Y15</f>
        <v>145.21437802654827</v>
      </c>
      <c r="P264" s="36"/>
      <c r="Q264" s="36"/>
      <c r="R264" s="36"/>
      <c r="S264" s="36"/>
      <c r="T264" s="513">
        <f t="shared" si="14"/>
        <v>14999895.648878392</v>
      </c>
      <c r="U264" s="10"/>
      <c r="V264" s="163"/>
    </row>
    <row r="265" spans="1:30" ht="15" x14ac:dyDescent="0.25">
      <c r="A265" s="3">
        <v>41579</v>
      </c>
      <c r="B265" s="342"/>
      <c r="C265" s="520">
        <f t="shared" ref="C265" si="28">(C61+C73+C85+C97+C109+C121+C133+C145+C157+C169+C181+C193+C205+C217+C229+C241+C253)/17</f>
        <v>357.59999999999997</v>
      </c>
      <c r="D265" s="520">
        <f t="shared" si="18"/>
        <v>0</v>
      </c>
      <c r="E265" s="518">
        <f>'DATA-Calendar'!W18</f>
        <v>336</v>
      </c>
      <c r="F265" s="518">
        <f>'DATA-Calendar'!W38</f>
        <v>30</v>
      </c>
      <c r="G265" s="518">
        <f>'DATA-Calendar'!W58</f>
        <v>1</v>
      </c>
      <c r="H265" s="518">
        <f>'DATA-Calendar'!W78</f>
        <v>0</v>
      </c>
      <c r="I265" s="518">
        <f>'DATA-Calendar'!W97</f>
        <v>0</v>
      </c>
      <c r="J265" s="518">
        <f>'DATA-Calendar'!W116</f>
        <v>1</v>
      </c>
      <c r="K265" s="518">
        <f>'DATA-Customers'!W35</f>
        <v>8326.4279967530438</v>
      </c>
      <c r="L265" s="518">
        <f>'DATA-Population'!W18</f>
        <v>15823.337442372203</v>
      </c>
      <c r="M265" s="518">
        <f>'DATA-CDM'!W16</f>
        <v>291327.66156017932</v>
      </c>
      <c r="N265" s="519">
        <f>'DATA-GDP Qrtly'!X90</f>
        <v>144.84387399865795</v>
      </c>
      <c r="O265" s="519">
        <f>'DATA-GDP Annual'!Y16</f>
        <v>145.39465989312006</v>
      </c>
      <c r="P265" s="36"/>
      <c r="Q265" s="36"/>
      <c r="R265" s="36"/>
      <c r="S265" s="36"/>
      <c r="T265" s="513">
        <f t="shared" si="14"/>
        <v>15004695.797079246</v>
      </c>
      <c r="U265" s="10"/>
      <c r="V265" s="163"/>
    </row>
    <row r="266" spans="1:30" ht="15" x14ac:dyDescent="0.25">
      <c r="A266" s="3">
        <v>41609</v>
      </c>
      <c r="B266" s="342"/>
      <c r="C266" s="520">
        <f t="shared" ref="C266" si="29">(C62+C74+C86+C98+C110+C122+C134+C146+C158+C170+C182+C194+C206+C218+C230+C242+C254)/17</f>
        <v>536.9382352941177</v>
      </c>
      <c r="D266" s="520">
        <f t="shared" si="18"/>
        <v>0</v>
      </c>
      <c r="E266" s="518">
        <f>'DATA-Calendar'!W19</f>
        <v>320</v>
      </c>
      <c r="F266" s="518">
        <f>'DATA-Calendar'!W39</f>
        <v>31</v>
      </c>
      <c r="G266" s="518">
        <f>'DATA-Calendar'!W59</f>
        <v>0</v>
      </c>
      <c r="H266" s="518">
        <f>'DATA-Calendar'!W79</f>
        <v>0</v>
      </c>
      <c r="I266" s="518">
        <f>'DATA-Calendar'!W98</f>
        <v>0</v>
      </c>
      <c r="J266" s="518">
        <f>'DATA-Calendar'!W117</f>
        <v>0</v>
      </c>
      <c r="K266" s="518">
        <f>'DATA-Customers'!W36</f>
        <v>8339.2204110454277</v>
      </c>
      <c r="L266" s="518">
        <f>'DATA-Population'!W19</f>
        <v>15837.647359152301</v>
      </c>
      <c r="M266" s="518">
        <f>'DATA-CDM'!W17</f>
        <v>287228.60486984882</v>
      </c>
      <c r="N266" s="519">
        <f>'DATA-GDP Qrtly'!X91</f>
        <v>145.14216873668326</v>
      </c>
      <c r="O266" s="519">
        <f>'DATA-GDP Annual'!Y17</f>
        <v>145.57516557741477</v>
      </c>
      <c r="P266" s="36"/>
      <c r="Q266" s="36"/>
      <c r="R266" s="36"/>
      <c r="S266" s="36"/>
      <c r="T266" s="513">
        <f t="shared" si="14"/>
        <v>16177898.921506081</v>
      </c>
      <c r="U266" s="10"/>
      <c r="V266" s="163"/>
    </row>
    <row r="267" spans="1:30" ht="15" x14ac:dyDescent="0.25">
      <c r="A267" s="3">
        <v>41640</v>
      </c>
      <c r="B267" s="342"/>
      <c r="C267" s="520">
        <f>C255</f>
        <v>638.27058823529399</v>
      </c>
      <c r="D267" s="520">
        <f>D255</f>
        <v>0</v>
      </c>
      <c r="E267" s="518">
        <f>'DATA-Calendar'!X8</f>
        <v>352</v>
      </c>
      <c r="F267" s="518">
        <f>'DATA-Calendar'!X28</f>
        <v>31</v>
      </c>
      <c r="G267" s="518">
        <f>'DATA-Calendar'!X48</f>
        <v>0</v>
      </c>
      <c r="H267" s="518">
        <f>'DATA-Calendar'!X68</f>
        <v>0</v>
      </c>
      <c r="I267" s="518">
        <f>'DATA-Calendar'!X87</f>
        <v>0</v>
      </c>
      <c r="J267" s="518">
        <f>'DATA-Calendar'!X106</f>
        <v>0</v>
      </c>
      <c r="K267" s="518">
        <f>'DATA-Customers'!X25</f>
        <v>8352.0684286327978</v>
      </c>
      <c r="L267" s="518">
        <f>'DATA-Population'!X8</f>
        <v>15851.970217179402</v>
      </c>
      <c r="M267" s="518">
        <f>'DATA-CDM'!X6</f>
        <v>287022.48617192334</v>
      </c>
      <c r="N267" s="519">
        <f>'DATA-GDP Qrtly'!Y80</f>
        <v>145.40338965020209</v>
      </c>
      <c r="O267" s="519">
        <f>'DATA-GDP Annual'!Z6</f>
        <v>145.85128582788457</v>
      </c>
      <c r="P267" s="36"/>
      <c r="Q267" s="36"/>
      <c r="R267" s="36"/>
      <c r="S267" s="36"/>
      <c r="T267" s="513">
        <f t="shared" si="14"/>
        <v>16580015.875520002</v>
      </c>
      <c r="U267" s="10"/>
      <c r="V267"/>
    </row>
    <row r="268" spans="1:30" ht="15" x14ac:dyDescent="0.25">
      <c r="A268" s="3">
        <v>41671</v>
      </c>
      <c r="B268" s="342"/>
      <c r="C268" s="520">
        <f t="shared" ref="C268:C278" si="30">C256</f>
        <v>557.11176470588236</v>
      </c>
      <c r="D268" s="520">
        <f t="shared" ref="D268:D278" si="31">D256</f>
        <v>0</v>
      </c>
      <c r="E268" s="518">
        <f>'DATA-Calendar'!X9</f>
        <v>304</v>
      </c>
      <c r="F268" s="518">
        <f>'DATA-Calendar'!X29</f>
        <v>28</v>
      </c>
      <c r="G268" s="518">
        <f>'DATA-Calendar'!X49</f>
        <v>0</v>
      </c>
      <c r="H268" s="518">
        <f>'DATA-Calendar'!X69</f>
        <v>0</v>
      </c>
      <c r="I268" s="518">
        <f>'DATA-Calendar'!X88</f>
        <v>0</v>
      </c>
      <c r="J268" s="518">
        <f>'DATA-Calendar'!X107</f>
        <v>0</v>
      </c>
      <c r="K268" s="518">
        <f>'DATA-Customers'!X26</f>
        <v>8364.9362408229954</v>
      </c>
      <c r="L268" s="518">
        <f>'DATA-Population'!X9</f>
        <v>15866.306028156989</v>
      </c>
      <c r="M268" s="518">
        <f>'DATA-CDM'!X7</f>
        <v>286816.36747399787</v>
      </c>
      <c r="N268" s="519">
        <f>'DATA-GDP Qrtly'!Y81</f>
        <v>145.66508069839131</v>
      </c>
      <c r="O268" s="519">
        <f>'DATA-GDP Annual'!Z7</f>
        <v>146.12792981049245</v>
      </c>
      <c r="P268" s="36"/>
      <c r="Q268" s="36"/>
      <c r="R268" s="36"/>
      <c r="S268" s="36"/>
      <c r="T268" s="513">
        <f t="shared" si="14"/>
        <v>14854471.521232193</v>
      </c>
      <c r="U268" s="10"/>
      <c r="V268"/>
    </row>
    <row r="269" spans="1:30" ht="15" x14ac:dyDescent="0.25">
      <c r="A269" s="3">
        <v>41699</v>
      </c>
      <c r="B269" s="342"/>
      <c r="C269" s="520">
        <f t="shared" si="30"/>
        <v>505.72647058823532</v>
      </c>
      <c r="D269" s="520">
        <f t="shared" si="31"/>
        <v>0</v>
      </c>
      <c r="E269" s="518">
        <f>'DATA-Calendar'!X10</f>
        <v>336</v>
      </c>
      <c r="F269" s="518">
        <f>'DATA-Calendar'!X30</f>
        <v>31</v>
      </c>
      <c r="G269" s="518">
        <f>'DATA-Calendar'!X50</f>
        <v>1</v>
      </c>
      <c r="H269" s="518">
        <f>'DATA-Calendar'!X70</f>
        <v>0</v>
      </c>
      <c r="I269" s="518">
        <f>'DATA-Calendar'!X89</f>
        <v>1</v>
      </c>
      <c r="J269" s="518">
        <f>'DATA-Calendar'!X108</f>
        <v>0</v>
      </c>
      <c r="K269" s="518">
        <f>'DATA-Customers'!X27</f>
        <v>8377.823878113044</v>
      </c>
      <c r="L269" s="518">
        <f>'DATA-Population'!X10</f>
        <v>15880.654803799131</v>
      </c>
      <c r="M269" s="518">
        <f>'DATA-CDM'!X8</f>
        <v>286610.2487760724</v>
      </c>
      <c r="N269" s="519">
        <f>'DATA-GDP Qrtly'!Y82</f>
        <v>145.92724272737999</v>
      </c>
      <c r="O269" s="519">
        <f>'DATA-GDP Annual'!Z8</f>
        <v>146.40509851862936</v>
      </c>
      <c r="P269" s="36"/>
      <c r="Q269" s="36"/>
      <c r="R269" s="36"/>
      <c r="S269" s="36"/>
      <c r="T269" s="513">
        <f t="shared" si="14"/>
        <v>15242596.593635652</v>
      </c>
      <c r="U269" s="10"/>
      <c r="V269"/>
    </row>
    <row r="270" spans="1:30" ht="15" x14ac:dyDescent="0.25">
      <c r="A270" s="3">
        <v>41730</v>
      </c>
      <c r="B270" s="342"/>
      <c r="C270" s="520">
        <f t="shared" si="30"/>
        <v>329.97058823529414</v>
      </c>
      <c r="D270" s="520">
        <f t="shared" si="31"/>
        <v>2.9411764705882353E-2</v>
      </c>
      <c r="E270" s="518">
        <f>'DATA-Calendar'!X11</f>
        <v>320</v>
      </c>
      <c r="F270" s="518">
        <f>'DATA-Calendar'!X31</f>
        <v>30</v>
      </c>
      <c r="G270" s="518">
        <f>'DATA-Calendar'!X51</f>
        <v>1</v>
      </c>
      <c r="H270" s="518">
        <f>'DATA-Calendar'!X71</f>
        <v>0</v>
      </c>
      <c r="I270" s="518">
        <f>'DATA-Calendar'!X90</f>
        <v>1</v>
      </c>
      <c r="J270" s="518">
        <f>'DATA-Calendar'!X109</f>
        <v>0</v>
      </c>
      <c r="K270" s="518">
        <f>'DATA-Customers'!X28</f>
        <v>8390.7313710469534</v>
      </c>
      <c r="L270" s="518">
        <f>'DATA-Population'!X11</f>
        <v>15895.016555830487</v>
      </c>
      <c r="M270" s="518">
        <f>'DATA-CDM'!X9</f>
        <v>286404.13007814693</v>
      </c>
      <c r="N270" s="519">
        <f>'DATA-GDP Qrtly'!Y83</f>
        <v>146.18987658482004</v>
      </c>
      <c r="O270" s="519">
        <f>'DATA-GDP Annual'!Z9</f>
        <v>146.68279294757042</v>
      </c>
      <c r="P270" s="36"/>
      <c r="Q270" s="36"/>
      <c r="R270" s="36"/>
      <c r="S270" s="36"/>
      <c r="T270" s="513">
        <f t="shared" si="14"/>
        <v>14140655.286838671</v>
      </c>
      <c r="U270" s="10"/>
      <c r="V270"/>
    </row>
    <row r="271" spans="1:30" ht="15" x14ac:dyDescent="0.25">
      <c r="A271" s="3">
        <v>41760</v>
      </c>
      <c r="B271" s="342"/>
      <c r="C271" s="520">
        <f t="shared" si="30"/>
        <v>174.64852941176471</v>
      </c>
      <c r="D271" s="520">
        <f t="shared" si="31"/>
        <v>8.2882352941176478</v>
      </c>
      <c r="E271" s="518">
        <f>'DATA-Calendar'!X12</f>
        <v>336</v>
      </c>
      <c r="F271" s="518">
        <f>'DATA-Calendar'!X32</f>
        <v>31</v>
      </c>
      <c r="G271" s="518">
        <f>'DATA-Calendar'!X52</f>
        <v>1</v>
      </c>
      <c r="H271" s="518">
        <f>'DATA-Calendar'!X72</f>
        <v>0</v>
      </c>
      <c r="I271" s="518">
        <f>'DATA-Calendar'!X91</f>
        <v>1</v>
      </c>
      <c r="J271" s="518">
        <f>'DATA-Calendar'!X110</f>
        <v>0</v>
      </c>
      <c r="K271" s="518">
        <f>'DATA-Customers'!X29</f>
        <v>8403.6587502157927</v>
      </c>
      <c r="L271" s="518">
        <f>'DATA-Population'!X12</f>
        <v>15909.391295986323</v>
      </c>
      <c r="M271" s="518">
        <f>'DATA-CDM'!X10</f>
        <v>286198.01138022146</v>
      </c>
      <c r="N271" s="519">
        <f>'DATA-GDP Qrtly'!Y84</f>
        <v>146.45298311988893</v>
      </c>
      <c r="O271" s="519">
        <f>'DATA-GDP Annual'!Z10</f>
        <v>146.96101409447857</v>
      </c>
      <c r="P271" s="36"/>
      <c r="Q271" s="36"/>
      <c r="R271" s="36"/>
      <c r="S271" s="36"/>
      <c r="T271" s="513">
        <f t="shared" si="14"/>
        <v>14355249.219632765</v>
      </c>
      <c r="U271" s="10"/>
      <c r="V271"/>
    </row>
    <row r="272" spans="1:30" ht="15" x14ac:dyDescent="0.25">
      <c r="A272" s="3">
        <v>41791</v>
      </c>
      <c r="B272" s="342"/>
      <c r="C272" s="520">
        <f t="shared" si="30"/>
        <v>33.029411764705877</v>
      </c>
      <c r="D272" s="520">
        <f t="shared" si="31"/>
        <v>57.735294117647058</v>
      </c>
      <c r="E272" s="518">
        <f>'DATA-Calendar'!X13</f>
        <v>336</v>
      </c>
      <c r="F272" s="518">
        <f>'DATA-Calendar'!X33</f>
        <v>30</v>
      </c>
      <c r="G272" s="518">
        <f>'DATA-Calendar'!X53</f>
        <v>0</v>
      </c>
      <c r="H272" s="518">
        <f>'DATA-Calendar'!X73</f>
        <v>0</v>
      </c>
      <c r="I272" s="518">
        <f>'DATA-Calendar'!X92</f>
        <v>0</v>
      </c>
      <c r="J272" s="518">
        <f>'DATA-Calendar'!X111</f>
        <v>0</v>
      </c>
      <c r="K272" s="518">
        <f>'DATA-Customers'!X30</f>
        <v>8416.6060462577607</v>
      </c>
      <c r="L272" s="518">
        <f>'DATA-Population'!X13</f>
        <v>15923.779036012516</v>
      </c>
      <c r="M272" s="518">
        <f>'DATA-CDM'!X11</f>
        <v>285991.89268229599</v>
      </c>
      <c r="N272" s="519">
        <f>'DATA-GDP Qrtly'!Y85</f>
        <v>146.71656318329238</v>
      </c>
      <c r="O272" s="519">
        <f>'DATA-GDP Annual'!Z11</f>
        <v>147.23976295840814</v>
      </c>
      <c r="P272" s="36"/>
      <c r="Q272" s="36"/>
      <c r="R272" s="36"/>
      <c r="S272" s="36"/>
      <c r="T272" s="513">
        <f t="shared" si="14"/>
        <v>15911926.080533084</v>
      </c>
      <c r="U272" s="10"/>
      <c r="V272"/>
    </row>
    <row r="273" spans="1:22" ht="15" x14ac:dyDescent="0.25">
      <c r="A273" s="3">
        <v>41821</v>
      </c>
      <c r="B273" s="342"/>
      <c r="C273" s="520">
        <f t="shared" si="30"/>
        <v>1.088235294117647</v>
      </c>
      <c r="D273" s="520">
        <f t="shared" si="31"/>
        <v>132.79117647058825</v>
      </c>
      <c r="E273" s="518">
        <f>'DATA-Calendar'!X14</f>
        <v>352</v>
      </c>
      <c r="F273" s="518">
        <f>'DATA-Calendar'!X34</f>
        <v>31</v>
      </c>
      <c r="G273" s="518">
        <f>'DATA-Calendar'!X54</f>
        <v>0</v>
      </c>
      <c r="H273" s="518">
        <f>'DATA-Calendar'!X74</f>
        <v>1</v>
      </c>
      <c r="I273" s="518">
        <f>'DATA-Calendar'!X93</f>
        <v>0</v>
      </c>
      <c r="J273" s="518">
        <f>'DATA-Calendar'!X112</f>
        <v>0</v>
      </c>
      <c r="K273" s="518">
        <f>'DATA-Customers'!X31</f>
        <v>8429.573289858261</v>
      </c>
      <c r="L273" s="518">
        <f>'DATA-Population'!X14</f>
        <v>15938.179787665566</v>
      </c>
      <c r="M273" s="518">
        <f>'DATA-CDM'!X12</f>
        <v>285785.77398437052</v>
      </c>
      <c r="N273" s="519">
        <f>'DATA-GDP Qrtly'!Y86</f>
        <v>146.98061762726732</v>
      </c>
      <c r="O273" s="519">
        <f>'DATA-GDP Annual'!Z12</f>
        <v>147.5190405403084</v>
      </c>
      <c r="P273" s="36"/>
      <c r="Q273" s="36"/>
      <c r="R273" s="36"/>
      <c r="S273" s="36"/>
      <c r="T273" s="513">
        <f t="shared" si="14"/>
        <v>19375159.238954544</v>
      </c>
      <c r="U273" s="10"/>
    </row>
    <row r="274" spans="1:22" ht="15" x14ac:dyDescent="0.25">
      <c r="A274" s="3">
        <v>41852</v>
      </c>
      <c r="B274" s="342"/>
      <c r="C274" s="520">
        <f t="shared" si="30"/>
        <v>1.9294117647058826</v>
      </c>
      <c r="D274" s="520">
        <f t="shared" si="31"/>
        <v>127.17941176470586</v>
      </c>
      <c r="E274" s="518">
        <f>'DATA-Calendar'!X15</f>
        <v>320</v>
      </c>
      <c r="F274" s="518">
        <f>'DATA-Calendar'!X35</f>
        <v>31</v>
      </c>
      <c r="G274" s="518">
        <f>'DATA-Calendar'!X55</f>
        <v>0</v>
      </c>
      <c r="H274" s="518">
        <f>'DATA-Calendar'!X75</f>
        <v>1</v>
      </c>
      <c r="I274" s="518">
        <f>'DATA-Calendar'!X94</f>
        <v>0</v>
      </c>
      <c r="J274" s="518">
        <f>'DATA-Calendar'!X113</f>
        <v>0</v>
      </c>
      <c r="K274" s="518">
        <f>'DATA-Customers'!X32</f>
        <v>8442.5605117499708</v>
      </c>
      <c r="L274" s="518">
        <f>'DATA-Population'!X15</f>
        <v>15952.593562712604</v>
      </c>
      <c r="M274" s="518">
        <f>'DATA-CDM'!X13</f>
        <v>285579.65528644505</v>
      </c>
      <c r="N274" s="519">
        <f>'DATA-GDP Qrtly'!Y87</f>
        <v>147.2451473055844</v>
      </c>
      <c r="O274" s="519">
        <f>'DATA-GDP Annual'!Z13</f>
        <v>147.79884784302718</v>
      </c>
      <c r="P274" s="36"/>
      <c r="Q274" s="36"/>
      <c r="R274" s="36"/>
      <c r="S274" s="36"/>
      <c r="T274" s="513">
        <f t="shared" si="14"/>
        <v>19223285.886420447</v>
      </c>
      <c r="U274" s="10"/>
    </row>
    <row r="275" spans="1:22" ht="15" x14ac:dyDescent="0.25">
      <c r="A275" s="3">
        <v>41883</v>
      </c>
      <c r="B275" s="342"/>
      <c r="C275" s="520">
        <f t="shared" si="30"/>
        <v>31.47941176470588</v>
      </c>
      <c r="D275" s="520">
        <f t="shared" si="31"/>
        <v>48.405882352941177</v>
      </c>
      <c r="E275" s="518">
        <f>'DATA-Calendar'!X16</f>
        <v>336</v>
      </c>
      <c r="F275" s="518">
        <f>'DATA-Calendar'!X36</f>
        <v>30</v>
      </c>
      <c r="G275" s="518">
        <f>'DATA-Calendar'!X56</f>
        <v>1</v>
      </c>
      <c r="H275" s="518">
        <f>'DATA-Calendar'!X76</f>
        <v>1</v>
      </c>
      <c r="I275" s="518">
        <f>'DATA-Calendar'!X95</f>
        <v>0</v>
      </c>
      <c r="J275" s="518">
        <f>'DATA-Calendar'!X114</f>
        <v>1</v>
      </c>
      <c r="K275" s="518">
        <f>'DATA-Customers'!X33</f>
        <v>8455.5677427129194</v>
      </c>
      <c r="L275" s="518">
        <f>'DATA-Population'!X16</f>
        <v>15967.020372931403</v>
      </c>
      <c r="M275" s="518">
        <f>'DATA-CDM'!X14</f>
        <v>285373.53658851958</v>
      </c>
      <c r="N275" s="519">
        <f>'DATA-GDP Qrtly'!Y88</f>
        <v>147.51015307355081</v>
      </c>
      <c r="O275" s="519">
        <f>'DATA-GDP Annual'!Z14</f>
        <v>148.07918587131445</v>
      </c>
      <c r="P275" s="36"/>
      <c r="Q275" s="36"/>
      <c r="R275" s="36"/>
      <c r="S275" s="36"/>
      <c r="T275" s="513">
        <f t="shared" si="14"/>
        <v>16286293.0021799</v>
      </c>
      <c r="U275" s="10"/>
    </row>
    <row r="276" spans="1:22" ht="15" x14ac:dyDescent="0.25">
      <c r="A276" s="3">
        <v>41913</v>
      </c>
      <c r="B276" s="342"/>
      <c r="C276" s="520">
        <f t="shared" si="30"/>
        <v>194.76764705882348</v>
      </c>
      <c r="D276" s="520">
        <f t="shared" si="31"/>
        <v>4.1647058823529406</v>
      </c>
      <c r="E276" s="518">
        <f>'DATA-Calendar'!X17</f>
        <v>352</v>
      </c>
      <c r="F276" s="518">
        <f>'DATA-Calendar'!X37</f>
        <v>31</v>
      </c>
      <c r="G276" s="518">
        <f>'DATA-Calendar'!X57</f>
        <v>1</v>
      </c>
      <c r="H276" s="518">
        <f>'DATA-Calendar'!X77</f>
        <v>0</v>
      </c>
      <c r="I276" s="518">
        <f>'DATA-Calendar'!X96</f>
        <v>0</v>
      </c>
      <c r="J276" s="518">
        <f>'DATA-Calendar'!X115</f>
        <v>1</v>
      </c>
      <c r="K276" s="518">
        <f>'DATA-Customers'!X34</f>
        <v>8468.5950135745552</v>
      </c>
      <c r="L276" s="518">
        <f>'DATA-Population'!X17</f>
        <v>15981.460230110391</v>
      </c>
      <c r="M276" s="518">
        <f>'DATA-CDM'!X15</f>
        <v>285167.41789059411</v>
      </c>
      <c r="N276" s="519">
        <f>'DATA-GDP Qrtly'!Y89</f>
        <v>147.7756357880132</v>
      </c>
      <c r="O276" s="519">
        <f>'DATA-GDP Annual'!Z15</f>
        <v>148.36005563182596</v>
      </c>
      <c r="P276" s="36"/>
      <c r="Q276" s="36"/>
      <c r="R276" s="36"/>
      <c r="S276" s="36"/>
      <c r="T276" s="513">
        <f t="shared" si="14"/>
        <v>15349482.663391311</v>
      </c>
      <c r="U276" s="10"/>
    </row>
    <row r="277" spans="1:22" ht="15" x14ac:dyDescent="0.25">
      <c r="A277" s="3">
        <v>41944</v>
      </c>
      <c r="B277" s="342"/>
      <c r="C277" s="520">
        <f t="shared" si="30"/>
        <v>357.59999999999997</v>
      </c>
      <c r="D277" s="520">
        <f t="shared" si="31"/>
        <v>0</v>
      </c>
      <c r="E277" s="518">
        <f>'DATA-Calendar'!X18</f>
        <v>320</v>
      </c>
      <c r="F277" s="518">
        <f>'DATA-Calendar'!X38</f>
        <v>30</v>
      </c>
      <c r="G277" s="518">
        <f>'DATA-Calendar'!X58</f>
        <v>1</v>
      </c>
      <c r="H277" s="518">
        <f>'DATA-Calendar'!X78</f>
        <v>0</v>
      </c>
      <c r="I277" s="518">
        <f>'DATA-Calendar'!X97</f>
        <v>0</v>
      </c>
      <c r="J277" s="518">
        <f>'DATA-Calendar'!X116</f>
        <v>1</v>
      </c>
      <c r="K277" s="518">
        <f>'DATA-Customers'!X35</f>
        <v>8481.642355209824</v>
      </c>
      <c r="L277" s="518">
        <f>'DATA-Population'!X18</f>
        <v>15995.913146048651</v>
      </c>
      <c r="M277" s="518">
        <f>'DATA-CDM'!X16</f>
        <v>284961.29919266864</v>
      </c>
      <c r="N277" s="519">
        <f>'DATA-GDP Qrtly'!Y90</f>
        <v>148.04159630736029</v>
      </c>
      <c r="O277" s="519">
        <f>'DATA-GDP Annual'!Z16</f>
        <v>148.64145813312683</v>
      </c>
      <c r="P277" s="36"/>
      <c r="Q277" s="36"/>
      <c r="R277" s="36"/>
      <c r="S277" s="36"/>
      <c r="T277" s="513">
        <f t="shared" si="14"/>
        <v>15356223.041868405</v>
      </c>
      <c r="U277" s="10"/>
    </row>
    <row r="278" spans="1:22" ht="15" x14ac:dyDescent="0.25">
      <c r="A278" s="3">
        <v>41974</v>
      </c>
      <c r="B278" s="342"/>
      <c r="C278" s="520">
        <f t="shared" si="30"/>
        <v>536.9382352941177</v>
      </c>
      <c r="D278" s="520">
        <f t="shared" si="31"/>
        <v>0</v>
      </c>
      <c r="E278" s="518">
        <f>'DATA-Calendar'!X19</f>
        <v>336</v>
      </c>
      <c r="F278" s="518">
        <f>'DATA-Calendar'!X39</f>
        <v>31</v>
      </c>
      <c r="G278" s="518">
        <f>'DATA-Calendar'!X59</f>
        <v>0</v>
      </c>
      <c r="H278" s="518">
        <f>'DATA-Calendar'!X79</f>
        <v>0</v>
      </c>
      <c r="I278" s="518">
        <f>'DATA-Calendar'!X98</f>
        <v>0</v>
      </c>
      <c r="J278" s="518">
        <f>'DATA-Calendar'!X117</f>
        <v>0</v>
      </c>
      <c r="K278" s="518">
        <f>'DATA-Customers'!X36</f>
        <v>8494.7097985412402</v>
      </c>
      <c r="L278" s="518">
        <f>'DATA-Population'!X19</f>
        <v>16010.37913255594</v>
      </c>
      <c r="M278" s="518">
        <f>'DATA-CDM'!X17</f>
        <v>284755.18049474317</v>
      </c>
      <c r="N278" s="519">
        <f>'DATA-GDP Qrtly'!Y91</f>
        <v>148.30803549152566</v>
      </c>
      <c r="O278" s="519">
        <f>'DATA-GDP Annual'!Z17</f>
        <v>148.9233943856953</v>
      </c>
      <c r="T278" s="513">
        <f t="shared" si="14"/>
        <v>16531398.614659065</v>
      </c>
      <c r="U278" s="10"/>
    </row>
    <row r="279" spans="1:22" x14ac:dyDescent="0.2">
      <c r="A279" s="3"/>
      <c r="M279" s="18"/>
      <c r="T279" s="10"/>
      <c r="U279" s="10"/>
    </row>
    <row r="280" spans="1:22" x14ac:dyDescent="0.2">
      <c r="A280" s="3"/>
      <c r="C280"/>
      <c r="D280"/>
      <c r="T280" s="49">
        <f>SUM(T51:T279)</f>
        <v>3287993190.2038646</v>
      </c>
    </row>
    <row r="281" spans="1:22" x14ac:dyDescent="0.2">
      <c r="A281" s="3"/>
    </row>
    <row r="282" spans="1:22" x14ac:dyDescent="0.2">
      <c r="A282">
        <v>1996</v>
      </c>
      <c r="B282" s="6">
        <f>SUM(B51:B62)</f>
        <v>137138484</v>
      </c>
      <c r="T282" s="6">
        <f>SUM(T51:T62)</f>
        <v>134826320.02497491</v>
      </c>
      <c r="U282" s="40">
        <f t="shared" ref="U282:U298" si="32">T282-B282</f>
        <v>-2312163.9750250876</v>
      </c>
      <c r="V282" s="5">
        <f t="shared" ref="V282:V298" si="33">U282/B282</f>
        <v>-1.6860066609931956E-2</v>
      </c>
    </row>
    <row r="283" spans="1:22" x14ac:dyDescent="0.2">
      <c r="A283" s="17">
        <v>1997</v>
      </c>
      <c r="B283" s="6">
        <f>SUM(B63:B74)</f>
        <v>135913545</v>
      </c>
      <c r="T283" s="6">
        <f>SUM(T63:T74)</f>
        <v>135956268.24449831</v>
      </c>
      <c r="U283" s="40">
        <f t="shared" si="32"/>
        <v>42723.244498312473</v>
      </c>
      <c r="V283" s="5">
        <f t="shared" si="33"/>
        <v>3.1434132998526729E-4</v>
      </c>
    </row>
    <row r="284" spans="1:22" x14ac:dyDescent="0.2">
      <c r="A284">
        <v>1998</v>
      </c>
      <c r="B284" s="6">
        <f>SUM(B75:B86)</f>
        <v>143381600</v>
      </c>
      <c r="T284" s="6">
        <f>SUM(T75:T86)</f>
        <v>144644405.65926135</v>
      </c>
      <c r="U284" s="40">
        <f t="shared" si="32"/>
        <v>1262805.6592613459</v>
      </c>
      <c r="V284" s="5">
        <f t="shared" si="33"/>
        <v>8.8073062321898064E-3</v>
      </c>
    </row>
    <row r="285" spans="1:22" x14ac:dyDescent="0.2">
      <c r="A285" s="17">
        <v>1999</v>
      </c>
      <c r="B285" s="6">
        <f>SUM(B87:B98)</f>
        <v>152311035</v>
      </c>
      <c r="T285" s="6">
        <f>SUM(T87:T98)</f>
        <v>154236213.17190471</v>
      </c>
      <c r="U285" s="40">
        <f t="shared" si="32"/>
        <v>1925178.1719047129</v>
      </c>
      <c r="V285" s="5">
        <f t="shared" si="33"/>
        <v>1.2639781299527727E-2</v>
      </c>
    </row>
    <row r="286" spans="1:22" x14ac:dyDescent="0.2">
      <c r="A286">
        <v>2000</v>
      </c>
      <c r="B286" s="6">
        <f>SUM(B99:B110)</f>
        <v>156667497</v>
      </c>
      <c r="T286" s="6">
        <f>SUM(T99:T110)</f>
        <v>159709880.52386999</v>
      </c>
      <c r="U286" s="40">
        <f t="shared" si="32"/>
        <v>3042383.5238699913</v>
      </c>
      <c r="V286" s="5">
        <f t="shared" si="33"/>
        <v>1.941936637865601E-2</v>
      </c>
    </row>
    <row r="287" spans="1:22" x14ac:dyDescent="0.2">
      <c r="A287" s="17">
        <v>2001</v>
      </c>
      <c r="B287" s="6">
        <f>SUM(B111:B122)</f>
        <v>165931549</v>
      </c>
      <c r="T287" s="6">
        <f>SUM(T111:T122)</f>
        <v>165846865.76937869</v>
      </c>
      <c r="U287" s="40">
        <f t="shared" si="32"/>
        <v>-84683.230621308088</v>
      </c>
      <c r="V287" s="5">
        <f t="shared" si="33"/>
        <v>-5.1035038925182393E-4</v>
      </c>
    </row>
    <row r="288" spans="1:22" x14ac:dyDescent="0.2">
      <c r="A288">
        <v>2002</v>
      </c>
      <c r="B288" s="6">
        <f>SUM(B123:B134)</f>
        <v>176920132.90000001</v>
      </c>
      <c r="T288" s="6">
        <f>SUM(T123:T134)</f>
        <v>175207446.21584722</v>
      </c>
      <c r="U288" s="40">
        <f t="shared" si="32"/>
        <v>-1712686.684152782</v>
      </c>
      <c r="V288" s="5">
        <f t="shared" si="33"/>
        <v>-9.6805640832343162E-3</v>
      </c>
    </row>
    <row r="289" spans="1:22" x14ac:dyDescent="0.2">
      <c r="A289" s="17">
        <v>2003</v>
      </c>
      <c r="B289" s="6">
        <f>SUM(B135:B146)</f>
        <v>174477589</v>
      </c>
      <c r="T289" s="6">
        <f>SUM(T135:T146)</f>
        <v>174074041.90562162</v>
      </c>
      <c r="U289" s="40">
        <f t="shared" si="32"/>
        <v>-403547.09437838197</v>
      </c>
      <c r="V289" s="5">
        <f t="shared" si="33"/>
        <v>-2.3128878424516857E-3</v>
      </c>
    </row>
    <row r="290" spans="1:22" x14ac:dyDescent="0.2">
      <c r="A290">
        <v>2004</v>
      </c>
      <c r="B290" s="6">
        <f>SUM(B147:B158)</f>
        <v>178152405</v>
      </c>
      <c r="T290" s="6">
        <f>SUM(T147:T158)</f>
        <v>174837462.18309715</v>
      </c>
      <c r="U290" s="40">
        <f t="shared" si="32"/>
        <v>-3314942.8169028461</v>
      </c>
      <c r="V290" s="5">
        <f t="shared" si="33"/>
        <v>-1.8607342499265423E-2</v>
      </c>
    </row>
    <row r="291" spans="1:22" x14ac:dyDescent="0.2">
      <c r="A291" s="17">
        <v>2005</v>
      </c>
      <c r="B291" s="6">
        <f>SUM(B159:B170)</f>
        <v>188569914</v>
      </c>
      <c r="T291" s="6">
        <f>SUM(T159:T170)</f>
        <v>188383383.54167727</v>
      </c>
      <c r="U291" s="40">
        <f t="shared" si="32"/>
        <v>-186530.45832273364</v>
      </c>
      <c r="V291" s="5">
        <f t="shared" si="33"/>
        <v>-9.891846178745865E-4</v>
      </c>
    </row>
    <row r="292" spans="1:22" x14ac:dyDescent="0.2">
      <c r="A292">
        <v>2006</v>
      </c>
      <c r="B292" s="6">
        <f>SUM(B171:B182)</f>
        <v>182453427</v>
      </c>
      <c r="T292" s="6">
        <f>SUM(T171:T182)</f>
        <v>183447501.63019586</v>
      </c>
      <c r="U292" s="40">
        <f t="shared" si="32"/>
        <v>994074.63019585609</v>
      </c>
      <c r="V292" s="5">
        <f t="shared" si="33"/>
        <v>5.4483746704075669E-3</v>
      </c>
    </row>
    <row r="293" spans="1:22" x14ac:dyDescent="0.2">
      <c r="A293" s="17">
        <v>2007</v>
      </c>
      <c r="B293" s="6">
        <f>SUM(B183:B194)</f>
        <v>188506590</v>
      </c>
      <c r="T293" s="6">
        <f>SUM(T183:T194)</f>
        <v>189275554.8282997</v>
      </c>
      <c r="U293" s="40">
        <f t="shared" si="32"/>
        <v>768964.82829970121</v>
      </c>
      <c r="V293" s="5">
        <f t="shared" si="33"/>
        <v>4.0792463982277823E-3</v>
      </c>
    </row>
    <row r="294" spans="1:22" x14ac:dyDescent="0.2">
      <c r="A294">
        <v>2008</v>
      </c>
      <c r="B294" s="6">
        <f>SUM(B195:B206)</f>
        <v>182813235</v>
      </c>
      <c r="T294" s="6">
        <f>SUM(T195:T206)</f>
        <v>185570635.32064036</v>
      </c>
      <c r="U294" s="40">
        <f t="shared" si="32"/>
        <v>2757400.3206403553</v>
      </c>
      <c r="V294" s="5">
        <f t="shared" si="33"/>
        <v>1.5083154787126629E-2</v>
      </c>
    </row>
    <row r="295" spans="1:22" x14ac:dyDescent="0.2">
      <c r="A295" s="17">
        <v>2009</v>
      </c>
      <c r="B295" s="6">
        <f>SUM(B207:B218)</f>
        <v>178335380.82587692</v>
      </c>
      <c r="T295" s="6">
        <f>SUM(T207:T218)</f>
        <v>178435180.31848434</v>
      </c>
      <c r="U295" s="40">
        <f t="shared" si="32"/>
        <v>99799.492607414722</v>
      </c>
      <c r="V295" s="5">
        <f t="shared" si="33"/>
        <v>5.5961689792143347E-4</v>
      </c>
    </row>
    <row r="296" spans="1:22" x14ac:dyDescent="0.2">
      <c r="A296">
        <v>2010</v>
      </c>
      <c r="B296" s="6">
        <f>SUM(B219:B230)</f>
        <v>186321134.65720975</v>
      </c>
      <c r="T296" s="6">
        <f>SUM(T219:T230)</f>
        <v>184469801.87037647</v>
      </c>
      <c r="U296" s="40">
        <f t="shared" si="32"/>
        <v>-1851332.7868332863</v>
      </c>
      <c r="V296" s="5">
        <f t="shared" si="33"/>
        <v>-9.9362468473548904E-3</v>
      </c>
    </row>
    <row r="297" spans="1:22" x14ac:dyDescent="0.2">
      <c r="A297">
        <v>2011</v>
      </c>
      <c r="B297" s="6">
        <f>SUM(B231:B242)</f>
        <v>188636352</v>
      </c>
      <c r="T297" s="6">
        <f>SUM(T231:T242)</f>
        <v>186686295.30929995</v>
      </c>
      <c r="U297" s="40">
        <f t="shared" si="32"/>
        <v>-1950056.6907000542</v>
      </c>
      <c r="V297" s="5">
        <f t="shared" si="33"/>
        <v>-1.0337650564298731E-2</v>
      </c>
    </row>
    <row r="298" spans="1:22" x14ac:dyDescent="0.2">
      <c r="A298">
        <v>2012</v>
      </c>
      <c r="B298" s="6">
        <f>SUM(B243:B254)</f>
        <v>189168670.89000002</v>
      </c>
      <c r="T298" s="6">
        <f>SUM(T243:T254)</f>
        <v>190091284.75565851</v>
      </c>
      <c r="U298" s="40">
        <f t="shared" si="32"/>
        <v>922613.86565849185</v>
      </c>
      <c r="V298" s="5">
        <f t="shared" si="33"/>
        <v>4.8772022413530831E-3</v>
      </c>
    </row>
    <row r="299" spans="1:22" x14ac:dyDescent="0.2">
      <c r="A299">
        <v>2013</v>
      </c>
      <c r="T299" s="6">
        <f>SUM(T255:T266)</f>
        <v>189087891.90591452</v>
      </c>
      <c r="U299" s="40"/>
      <c r="V299" s="5"/>
    </row>
    <row r="300" spans="1:22" x14ac:dyDescent="0.2">
      <c r="A300" s="17">
        <v>2014</v>
      </c>
      <c r="E300" s="168"/>
      <c r="F300" s="168"/>
      <c r="G300" s="168"/>
      <c r="K300" s="168"/>
      <c r="T300" s="6">
        <f>SUM(T267:T279)</f>
        <v>193206757.02486607</v>
      </c>
      <c r="U300" s="168"/>
      <c r="V300" s="168"/>
    </row>
    <row r="301" spans="1:22" x14ac:dyDescent="0.2">
      <c r="T301" s="6"/>
    </row>
    <row r="302" spans="1:22" x14ac:dyDescent="0.2">
      <c r="A302" t="s">
        <v>470</v>
      </c>
      <c r="B302" s="6">
        <f>SUM(B282:B298)</f>
        <v>2905698541.2730865</v>
      </c>
      <c r="T302" s="6">
        <f>SUM(T282:T298)</f>
        <v>2905698541.2730865</v>
      </c>
      <c r="U302" s="37">
        <f>T302-B302</f>
        <v>0</v>
      </c>
    </row>
    <row r="304" spans="1:22" x14ac:dyDescent="0.2">
      <c r="T304" s="6">
        <f>SUM(T282:T300)</f>
        <v>3287993190.203867</v>
      </c>
      <c r="U304" s="49">
        <f>T280-T304</f>
        <v>0</v>
      </c>
    </row>
    <row r="305" spans="2:22" x14ac:dyDescent="0.2">
      <c r="T305" s="19"/>
      <c r="U305" s="19" t="s">
        <v>66</v>
      </c>
      <c r="V305" s="19"/>
    </row>
    <row r="308" spans="2:22" ht="15.75" thickBot="1" x14ac:dyDescent="0.25">
      <c r="B308" s="313" t="s">
        <v>269</v>
      </c>
      <c r="C308" s="314"/>
      <c r="D308" s="314"/>
      <c r="O308" s="315"/>
      <c r="P308" s="74"/>
      <c r="Q308" s="74"/>
      <c r="R308" s="74"/>
      <c r="S308" s="74"/>
    </row>
    <row r="309" spans="2:22" ht="15" x14ac:dyDescent="0.25">
      <c r="B309" s="6" t="str">
        <f>'DATA-Degree Days'!A8</f>
        <v>January</v>
      </c>
      <c r="C309" s="321">
        <f>'DATA-Degree Days'!W8</f>
        <v>643.49</v>
      </c>
      <c r="D309" s="321">
        <f>'DATA-Degree Days'!W28</f>
        <v>0</v>
      </c>
      <c r="E309" s="331">
        <f t="shared" ref="E309:F320" si="34">E267</f>
        <v>352</v>
      </c>
      <c r="F309" s="331">
        <f t="shared" si="34"/>
        <v>31</v>
      </c>
      <c r="G309" s="331">
        <f t="shared" ref="G309:O320" si="35">G267</f>
        <v>0</v>
      </c>
      <c r="H309" s="331">
        <f t="shared" si="35"/>
        <v>0</v>
      </c>
      <c r="I309" s="331">
        <f t="shared" si="35"/>
        <v>0</v>
      </c>
      <c r="J309" s="331">
        <f t="shared" si="35"/>
        <v>0</v>
      </c>
      <c r="K309" s="331">
        <f t="shared" si="35"/>
        <v>8352.0684286327978</v>
      </c>
      <c r="L309" s="331">
        <f t="shared" si="35"/>
        <v>15851.970217179402</v>
      </c>
      <c r="M309" s="331">
        <f t="shared" si="35"/>
        <v>287022.48617192334</v>
      </c>
      <c r="N309" s="331">
        <f t="shared" si="35"/>
        <v>145.40338965020209</v>
      </c>
      <c r="O309" s="331">
        <f t="shared" si="35"/>
        <v>145.85128582788457</v>
      </c>
      <c r="P309" s="36"/>
      <c r="Q309" s="36"/>
      <c r="R309" s="36"/>
      <c r="S309" s="36"/>
      <c r="T309" s="514">
        <f>$X$18+C309*$X$19+D309*$X$20+O309*$X$21+I309*$X$22+H309*$X$23+M309*$X$24+F309*$X$25</f>
        <v>16599226.242851092</v>
      </c>
    </row>
    <row r="310" spans="2:22" ht="15" x14ac:dyDescent="0.25">
      <c r="B310" s="6" t="str">
        <f>'DATA-Degree Days'!A9</f>
        <v>February</v>
      </c>
      <c r="C310" s="321">
        <f>'DATA-Degree Days'!W9</f>
        <v>574.73500000000001</v>
      </c>
      <c r="D310" s="321">
        <f>'DATA-Degree Days'!W29</f>
        <v>0</v>
      </c>
      <c r="E310" s="331">
        <f t="shared" si="34"/>
        <v>304</v>
      </c>
      <c r="F310" s="331">
        <f t="shared" si="34"/>
        <v>28</v>
      </c>
      <c r="G310" s="331">
        <f t="shared" si="35"/>
        <v>0</v>
      </c>
      <c r="H310" s="331">
        <f t="shared" ref="H310:O310" si="36">H268</f>
        <v>0</v>
      </c>
      <c r="I310" s="331">
        <f t="shared" si="36"/>
        <v>0</v>
      </c>
      <c r="J310" s="331">
        <f t="shared" si="36"/>
        <v>0</v>
      </c>
      <c r="K310" s="331">
        <f t="shared" si="36"/>
        <v>8364.9362408229954</v>
      </c>
      <c r="L310" s="331">
        <f t="shared" si="36"/>
        <v>15866.306028156989</v>
      </c>
      <c r="M310" s="331">
        <f t="shared" si="36"/>
        <v>286816.36747399787</v>
      </c>
      <c r="N310" s="331">
        <f t="shared" si="36"/>
        <v>145.66508069839131</v>
      </c>
      <c r="O310" s="331">
        <f t="shared" si="36"/>
        <v>146.12792981049245</v>
      </c>
      <c r="P310" s="36"/>
      <c r="Q310" s="36"/>
      <c r="R310" s="36"/>
      <c r="S310" s="36"/>
      <c r="T310" s="515">
        <f t="shared" ref="T310:T320" si="37">$X$18+C310*$X$19+D310*$X$20+O310*$X$21+I310*$X$22+H310*$X$23+M310*$X$24+F310*$X$25</f>
        <v>14919334.927076416</v>
      </c>
    </row>
    <row r="311" spans="2:22" ht="15" x14ac:dyDescent="0.25">
      <c r="B311" s="6" t="str">
        <f>'DATA-Degree Days'!A10</f>
        <v>March</v>
      </c>
      <c r="C311" s="321">
        <f>'DATA-Degree Days'!W10</f>
        <v>499.01499999999999</v>
      </c>
      <c r="D311" s="321">
        <f>'DATA-Degree Days'!W30</f>
        <v>0</v>
      </c>
      <c r="E311" s="331">
        <f t="shared" si="34"/>
        <v>336</v>
      </c>
      <c r="F311" s="331">
        <f t="shared" si="34"/>
        <v>31</v>
      </c>
      <c r="G311" s="331">
        <f t="shared" si="35"/>
        <v>1</v>
      </c>
      <c r="H311" s="331">
        <f t="shared" ref="H311:O311" si="38">H269</f>
        <v>0</v>
      </c>
      <c r="I311" s="331">
        <f t="shared" si="38"/>
        <v>1</v>
      </c>
      <c r="J311" s="331">
        <f t="shared" si="38"/>
        <v>0</v>
      </c>
      <c r="K311" s="331">
        <f t="shared" si="38"/>
        <v>8377.823878113044</v>
      </c>
      <c r="L311" s="331">
        <f t="shared" si="38"/>
        <v>15880.654803799131</v>
      </c>
      <c r="M311" s="331">
        <f t="shared" si="38"/>
        <v>286610.2487760724</v>
      </c>
      <c r="N311" s="331">
        <f t="shared" si="38"/>
        <v>145.92724272737999</v>
      </c>
      <c r="O311" s="331">
        <f t="shared" si="38"/>
        <v>146.40509851862936</v>
      </c>
      <c r="P311" s="36"/>
      <c r="Q311" s="36"/>
      <c r="R311" s="36"/>
      <c r="S311" s="36"/>
      <c r="T311" s="515">
        <f t="shared" si="37"/>
        <v>15217894.611660663</v>
      </c>
    </row>
    <row r="312" spans="2:22" ht="15" x14ac:dyDescent="0.25">
      <c r="B312" s="6" t="str">
        <f>'DATA-Degree Days'!A11</f>
        <v>April</v>
      </c>
      <c r="C312" s="321">
        <f>'DATA-Degree Days'!W11</f>
        <v>326.33999999999997</v>
      </c>
      <c r="D312" s="321">
        <f>'DATA-Degree Days'!W31</f>
        <v>0.05</v>
      </c>
      <c r="E312" s="331">
        <f t="shared" si="34"/>
        <v>320</v>
      </c>
      <c r="F312" s="331">
        <f t="shared" si="34"/>
        <v>30</v>
      </c>
      <c r="G312" s="331">
        <f t="shared" si="35"/>
        <v>1</v>
      </c>
      <c r="H312" s="331">
        <f t="shared" ref="H312:O312" si="39">H270</f>
        <v>0</v>
      </c>
      <c r="I312" s="331">
        <f t="shared" si="39"/>
        <v>1</v>
      </c>
      <c r="J312" s="331">
        <f t="shared" si="39"/>
        <v>0</v>
      </c>
      <c r="K312" s="331">
        <f t="shared" si="39"/>
        <v>8390.7313710469534</v>
      </c>
      <c r="L312" s="331">
        <f t="shared" si="39"/>
        <v>15895.016555830487</v>
      </c>
      <c r="M312" s="331">
        <f t="shared" si="39"/>
        <v>286404.13007814693</v>
      </c>
      <c r="N312" s="331">
        <f t="shared" si="39"/>
        <v>146.18987658482004</v>
      </c>
      <c r="O312" s="331">
        <f t="shared" si="39"/>
        <v>146.68279294757042</v>
      </c>
      <c r="P312" s="36"/>
      <c r="Q312" s="36"/>
      <c r="R312" s="36"/>
      <c r="S312" s="36"/>
      <c r="T312" s="515">
        <f t="shared" si="37"/>
        <v>14127969.604641974</v>
      </c>
    </row>
    <row r="313" spans="2:22" ht="15" x14ac:dyDescent="0.25">
      <c r="B313" s="6" t="str">
        <f>'DATA-Degree Days'!A12</f>
        <v>May</v>
      </c>
      <c r="C313" s="321">
        <f>'DATA-Degree Days'!W12</f>
        <v>172.13249999999999</v>
      </c>
      <c r="D313" s="321">
        <f>'DATA-Degree Days'!W32</f>
        <v>9.1999999999999993</v>
      </c>
      <c r="E313" s="331">
        <f t="shared" si="34"/>
        <v>336</v>
      </c>
      <c r="F313" s="331">
        <f t="shared" si="34"/>
        <v>31</v>
      </c>
      <c r="G313" s="331">
        <f t="shared" si="35"/>
        <v>1</v>
      </c>
      <c r="H313" s="331">
        <f t="shared" ref="H313:O313" si="40">H271</f>
        <v>0</v>
      </c>
      <c r="I313" s="331">
        <f t="shared" si="40"/>
        <v>1</v>
      </c>
      <c r="J313" s="331">
        <f t="shared" si="40"/>
        <v>0</v>
      </c>
      <c r="K313" s="331">
        <f t="shared" si="40"/>
        <v>8403.6587502157927</v>
      </c>
      <c r="L313" s="331">
        <f t="shared" si="40"/>
        <v>15909.391295986323</v>
      </c>
      <c r="M313" s="331">
        <f t="shared" si="40"/>
        <v>286198.01138022146</v>
      </c>
      <c r="N313" s="331">
        <f t="shared" si="40"/>
        <v>146.45298311988893</v>
      </c>
      <c r="O313" s="331">
        <f t="shared" si="40"/>
        <v>146.96101409447857</v>
      </c>
      <c r="P313" s="36"/>
      <c r="Q313" s="36"/>
      <c r="R313" s="36"/>
      <c r="S313" s="36"/>
      <c r="T313" s="515">
        <f t="shared" si="37"/>
        <v>14375966.792937877</v>
      </c>
    </row>
    <row r="314" spans="2:22" ht="15" x14ac:dyDescent="0.25">
      <c r="B314" s="6" t="str">
        <f>'DATA-Degree Days'!A13</f>
        <v>June</v>
      </c>
      <c r="C314" s="321">
        <f>'DATA-Degree Days'!W13</f>
        <v>31.029999999999994</v>
      </c>
      <c r="D314" s="321">
        <f>'DATA-Degree Days'!W33</f>
        <v>62.070000000000007</v>
      </c>
      <c r="E314" s="331">
        <f t="shared" si="34"/>
        <v>336</v>
      </c>
      <c r="F314" s="331">
        <f t="shared" si="34"/>
        <v>30</v>
      </c>
      <c r="G314" s="331">
        <f t="shared" si="35"/>
        <v>0</v>
      </c>
      <c r="H314" s="331">
        <f t="shared" ref="H314:O314" si="41">H272</f>
        <v>0</v>
      </c>
      <c r="I314" s="331">
        <f t="shared" si="41"/>
        <v>0</v>
      </c>
      <c r="J314" s="331">
        <f t="shared" si="41"/>
        <v>0</v>
      </c>
      <c r="K314" s="331">
        <f t="shared" si="41"/>
        <v>8416.6060462577607</v>
      </c>
      <c r="L314" s="331">
        <f t="shared" si="41"/>
        <v>15923.779036012516</v>
      </c>
      <c r="M314" s="331">
        <f t="shared" si="41"/>
        <v>285991.89268229599</v>
      </c>
      <c r="N314" s="331">
        <f t="shared" si="41"/>
        <v>146.71656318329238</v>
      </c>
      <c r="O314" s="331">
        <f t="shared" si="41"/>
        <v>147.23976295840814</v>
      </c>
      <c r="P314" s="36"/>
      <c r="Q314" s="36"/>
      <c r="R314" s="36"/>
      <c r="S314" s="36"/>
      <c r="T314" s="515">
        <f t="shared" si="37"/>
        <v>16047088.217089299</v>
      </c>
    </row>
    <row r="315" spans="2:22" ht="15" x14ac:dyDescent="0.25">
      <c r="B315" s="6" t="str">
        <f>'DATA-Degree Days'!A14</f>
        <v>July</v>
      </c>
      <c r="C315" s="321">
        <f>'DATA-Degree Days'!W14</f>
        <v>0.59</v>
      </c>
      <c r="D315" s="321">
        <f>'DATA-Degree Days'!W34</f>
        <v>138.26</v>
      </c>
      <c r="E315" s="331">
        <f t="shared" si="34"/>
        <v>352</v>
      </c>
      <c r="F315" s="331">
        <f t="shared" si="34"/>
        <v>31</v>
      </c>
      <c r="G315" s="331">
        <f t="shared" si="35"/>
        <v>0</v>
      </c>
      <c r="H315" s="331">
        <f t="shared" ref="H315:O315" si="42">H273</f>
        <v>1</v>
      </c>
      <c r="I315" s="331">
        <f t="shared" si="42"/>
        <v>0</v>
      </c>
      <c r="J315" s="331">
        <f t="shared" si="42"/>
        <v>0</v>
      </c>
      <c r="K315" s="331">
        <f t="shared" si="42"/>
        <v>8429.573289858261</v>
      </c>
      <c r="L315" s="331">
        <f t="shared" si="42"/>
        <v>15938.179787665566</v>
      </c>
      <c r="M315" s="331">
        <f t="shared" si="42"/>
        <v>285785.77398437052</v>
      </c>
      <c r="N315" s="331">
        <f t="shared" si="42"/>
        <v>146.98061762726732</v>
      </c>
      <c r="O315" s="331">
        <f t="shared" si="42"/>
        <v>147.5190405403084</v>
      </c>
      <c r="P315" s="36"/>
      <c r="Q315" s="36"/>
      <c r="R315" s="36"/>
      <c r="S315" s="36"/>
      <c r="T315" s="515">
        <f t="shared" si="37"/>
        <v>19553135.280911751</v>
      </c>
    </row>
    <row r="316" spans="2:22" ht="15" x14ac:dyDescent="0.25">
      <c r="B316" s="6" t="str">
        <f>'DATA-Degree Days'!A15</f>
        <v>August</v>
      </c>
      <c r="C316" s="321">
        <f>'DATA-Degree Days'!W15</f>
        <v>2.12</v>
      </c>
      <c r="D316" s="321">
        <f>'DATA-Degree Days'!W35</f>
        <v>128.10499999999999</v>
      </c>
      <c r="E316" s="331">
        <f t="shared" si="34"/>
        <v>320</v>
      </c>
      <c r="F316" s="331">
        <f t="shared" si="34"/>
        <v>31</v>
      </c>
      <c r="G316" s="331">
        <f t="shared" si="35"/>
        <v>0</v>
      </c>
      <c r="H316" s="331">
        <f t="shared" ref="H316:O316" si="43">H274</f>
        <v>1</v>
      </c>
      <c r="I316" s="331">
        <f t="shared" si="43"/>
        <v>0</v>
      </c>
      <c r="J316" s="331">
        <f t="shared" si="43"/>
        <v>0</v>
      </c>
      <c r="K316" s="331">
        <f t="shared" si="43"/>
        <v>8442.5605117499708</v>
      </c>
      <c r="L316" s="331">
        <f t="shared" si="43"/>
        <v>15952.593562712604</v>
      </c>
      <c r="M316" s="331">
        <f t="shared" si="43"/>
        <v>285579.65528644505</v>
      </c>
      <c r="N316" s="331">
        <f t="shared" si="43"/>
        <v>147.2451473055844</v>
      </c>
      <c r="O316" s="331">
        <f t="shared" si="43"/>
        <v>147.79884784302718</v>
      </c>
      <c r="P316" s="36"/>
      <c r="Q316" s="36"/>
      <c r="R316" s="36"/>
      <c r="S316" s="36"/>
      <c r="T316" s="515">
        <f t="shared" si="37"/>
        <v>19254419.837907284</v>
      </c>
    </row>
    <row r="317" spans="2:22" ht="15" x14ac:dyDescent="0.25">
      <c r="B317" s="6" t="str">
        <f>'DATA-Degree Days'!A16</f>
        <v>September</v>
      </c>
      <c r="C317" s="321">
        <f>'DATA-Degree Days'!W16</f>
        <v>30.244999999999997</v>
      </c>
      <c r="D317" s="321">
        <f>'DATA-Degree Days'!W36</f>
        <v>44.17</v>
      </c>
      <c r="E317" s="331">
        <f t="shared" si="34"/>
        <v>336</v>
      </c>
      <c r="F317" s="331">
        <f t="shared" si="34"/>
        <v>30</v>
      </c>
      <c r="G317" s="331">
        <f t="shared" si="35"/>
        <v>1</v>
      </c>
      <c r="H317" s="331">
        <f t="shared" ref="H317:O317" si="44">H275</f>
        <v>1</v>
      </c>
      <c r="I317" s="331">
        <f t="shared" si="44"/>
        <v>0</v>
      </c>
      <c r="J317" s="331">
        <f t="shared" si="44"/>
        <v>1</v>
      </c>
      <c r="K317" s="331">
        <f t="shared" si="44"/>
        <v>8455.5677427129194</v>
      </c>
      <c r="L317" s="331">
        <f t="shared" si="44"/>
        <v>15967.020372931403</v>
      </c>
      <c r="M317" s="331">
        <f t="shared" si="44"/>
        <v>285373.53658851958</v>
      </c>
      <c r="N317" s="331">
        <f t="shared" si="44"/>
        <v>147.51015307355081</v>
      </c>
      <c r="O317" s="331">
        <f t="shared" si="44"/>
        <v>148.07918587131445</v>
      </c>
      <c r="P317" s="36"/>
      <c r="Q317" s="36"/>
      <c r="R317" s="36"/>
      <c r="S317" s="36"/>
      <c r="T317" s="515">
        <f t="shared" si="37"/>
        <v>16142477.804085433</v>
      </c>
    </row>
    <row r="318" spans="2:22" ht="15" x14ac:dyDescent="0.25">
      <c r="B318" s="6" t="str">
        <f>'DATA-Degree Days'!A17</f>
        <v>October</v>
      </c>
      <c r="C318" s="321">
        <f>'DATA-Degree Days'!W17</f>
        <v>198.18</v>
      </c>
      <c r="D318" s="321">
        <f>'DATA-Degree Days'!W37</f>
        <v>4.2700000000000005</v>
      </c>
      <c r="E318" s="331">
        <f t="shared" si="34"/>
        <v>352</v>
      </c>
      <c r="F318" s="331">
        <f t="shared" si="34"/>
        <v>31</v>
      </c>
      <c r="G318" s="331">
        <f t="shared" si="35"/>
        <v>1</v>
      </c>
      <c r="H318" s="331">
        <f t="shared" ref="H318:O318" si="45">H276</f>
        <v>0</v>
      </c>
      <c r="I318" s="331">
        <f t="shared" si="45"/>
        <v>0</v>
      </c>
      <c r="J318" s="331">
        <f t="shared" si="45"/>
        <v>1</v>
      </c>
      <c r="K318" s="331">
        <f t="shared" si="45"/>
        <v>8468.5950135745552</v>
      </c>
      <c r="L318" s="331">
        <f t="shared" si="45"/>
        <v>15981.460230110391</v>
      </c>
      <c r="M318" s="331">
        <f t="shared" si="45"/>
        <v>285167.41789059411</v>
      </c>
      <c r="N318" s="331">
        <f t="shared" si="45"/>
        <v>147.7756357880132</v>
      </c>
      <c r="O318" s="331">
        <f t="shared" si="45"/>
        <v>148.36005563182596</v>
      </c>
      <c r="P318" s="36"/>
      <c r="Q318" s="36"/>
      <c r="R318" s="36"/>
      <c r="S318" s="36"/>
      <c r="T318" s="515">
        <f t="shared" si="37"/>
        <v>15365504.011714628</v>
      </c>
    </row>
    <row r="319" spans="2:22" ht="15" x14ac:dyDescent="0.25">
      <c r="B319" s="6" t="str">
        <f>'DATA-Degree Days'!A18</f>
        <v>November</v>
      </c>
      <c r="C319" s="321">
        <f>'DATA-Degree Days'!W18</f>
        <v>350.76500000000004</v>
      </c>
      <c r="D319" s="321">
        <f>'DATA-Degree Days'!W38</f>
        <v>0</v>
      </c>
      <c r="E319" s="331">
        <f t="shared" si="34"/>
        <v>320</v>
      </c>
      <c r="F319" s="331">
        <f t="shared" si="34"/>
        <v>30</v>
      </c>
      <c r="G319" s="331">
        <f t="shared" si="35"/>
        <v>1</v>
      </c>
      <c r="H319" s="331">
        <f t="shared" ref="H319:O319" si="46">H277</f>
        <v>0</v>
      </c>
      <c r="I319" s="331">
        <f t="shared" si="46"/>
        <v>0</v>
      </c>
      <c r="J319" s="331">
        <f t="shared" si="46"/>
        <v>1</v>
      </c>
      <c r="K319" s="331">
        <f t="shared" si="46"/>
        <v>8481.642355209824</v>
      </c>
      <c r="L319" s="331">
        <f t="shared" si="46"/>
        <v>15995.913146048651</v>
      </c>
      <c r="M319" s="331">
        <f t="shared" si="46"/>
        <v>284961.29919266864</v>
      </c>
      <c r="N319" s="331">
        <f t="shared" si="46"/>
        <v>148.04159630736029</v>
      </c>
      <c r="O319" s="331">
        <f t="shared" si="46"/>
        <v>148.64145813312683</v>
      </c>
      <c r="P319" s="36"/>
      <c r="Q319" s="36"/>
      <c r="R319" s="36"/>
      <c r="S319" s="36"/>
      <c r="T319" s="515">
        <f t="shared" si="37"/>
        <v>15331066.402264711</v>
      </c>
    </row>
    <row r="320" spans="2:22" ht="15.75" thickBot="1" x14ac:dyDescent="0.3">
      <c r="B320" s="6" t="str">
        <f>'DATA-Degree Days'!A19</f>
        <v>December</v>
      </c>
      <c r="C320" s="321">
        <f>'DATA-Degree Days'!W19</f>
        <v>540.16999999999996</v>
      </c>
      <c r="D320" s="321">
        <f>'DATA-Degree Days'!W39</f>
        <v>0</v>
      </c>
      <c r="E320" s="331">
        <f t="shared" si="34"/>
        <v>336</v>
      </c>
      <c r="F320" s="331">
        <f t="shared" si="34"/>
        <v>31</v>
      </c>
      <c r="G320" s="331">
        <f t="shared" si="35"/>
        <v>0</v>
      </c>
      <c r="H320" s="331">
        <f t="shared" ref="H320:O320" si="47">H278</f>
        <v>0</v>
      </c>
      <c r="I320" s="331">
        <f t="shared" si="47"/>
        <v>0</v>
      </c>
      <c r="J320" s="331">
        <f t="shared" si="47"/>
        <v>0</v>
      </c>
      <c r="K320" s="331">
        <f t="shared" si="47"/>
        <v>8494.7097985412402</v>
      </c>
      <c r="L320" s="331">
        <f t="shared" si="47"/>
        <v>16010.37913255594</v>
      </c>
      <c r="M320" s="331">
        <f t="shared" si="47"/>
        <v>284755.18049474317</v>
      </c>
      <c r="N320" s="331">
        <f t="shared" si="47"/>
        <v>148.30803549152566</v>
      </c>
      <c r="O320" s="331">
        <f t="shared" si="47"/>
        <v>148.9233943856953</v>
      </c>
      <c r="P320" s="36"/>
      <c r="Q320" s="36"/>
      <c r="R320" s="36"/>
      <c r="S320" s="36"/>
      <c r="T320" s="516">
        <f t="shared" si="37"/>
        <v>16543293.324240604</v>
      </c>
      <c r="U320" s="49">
        <f>SUM(T309:T320)</f>
        <v>193477377.05738172</v>
      </c>
    </row>
    <row r="321" spans="2:22" x14ac:dyDescent="0.2">
      <c r="C321" s="328"/>
      <c r="D321" s="328"/>
      <c r="E321" s="312"/>
      <c r="G321" s="312"/>
      <c r="K321" s="312"/>
      <c r="M321" s="312"/>
      <c r="T321" s="312"/>
      <c r="V321"/>
    </row>
    <row r="322" spans="2:22" x14ac:dyDescent="0.2">
      <c r="C322" s="328"/>
      <c r="D322" s="328"/>
      <c r="E322" s="312"/>
      <c r="G322" s="312"/>
      <c r="K322" s="312"/>
      <c r="M322" s="312"/>
      <c r="V322"/>
    </row>
    <row r="323" spans="2:22" x14ac:dyDescent="0.2">
      <c r="C323" s="328"/>
      <c r="D323" s="328"/>
      <c r="E323" s="312"/>
      <c r="G323" s="312"/>
      <c r="K323" s="312"/>
      <c r="M323" s="312"/>
      <c r="V323"/>
    </row>
    <row r="324" spans="2:22" ht="15.75" thickBot="1" x14ac:dyDescent="0.25">
      <c r="B324" s="313" t="s">
        <v>270</v>
      </c>
      <c r="C324" s="314"/>
      <c r="D324" s="314"/>
      <c r="E324" s="312"/>
      <c r="G324" s="312"/>
      <c r="K324" s="312"/>
      <c r="M324" s="312"/>
      <c r="O324" s="315"/>
      <c r="P324" s="74"/>
      <c r="Q324" s="74"/>
      <c r="R324" s="74"/>
      <c r="S324" s="74"/>
      <c r="V324"/>
    </row>
    <row r="325" spans="2:22" ht="15" x14ac:dyDescent="0.25">
      <c r="B325" s="6" t="str">
        <f>B309</f>
        <v>January</v>
      </c>
      <c r="C325" s="326">
        <f>'DATA-Degree Days'!X8</f>
        <v>610.80011278195434</v>
      </c>
      <c r="D325" s="326">
        <f>'DATA-Degree Days'!X28</f>
        <v>0</v>
      </c>
      <c r="E325" s="331">
        <f t="shared" ref="E325:F336" si="48">E309</f>
        <v>352</v>
      </c>
      <c r="F325" s="331">
        <f t="shared" si="48"/>
        <v>31</v>
      </c>
      <c r="G325" s="331">
        <f t="shared" ref="G325:O336" si="49">G309</f>
        <v>0</v>
      </c>
      <c r="H325" s="331">
        <f t="shared" si="49"/>
        <v>0</v>
      </c>
      <c r="I325" s="331">
        <f t="shared" si="49"/>
        <v>0</v>
      </c>
      <c r="J325" s="331">
        <f t="shared" si="49"/>
        <v>0</v>
      </c>
      <c r="K325" s="331">
        <f t="shared" si="49"/>
        <v>8352.0684286327978</v>
      </c>
      <c r="L325" s="331">
        <f t="shared" si="49"/>
        <v>15851.970217179402</v>
      </c>
      <c r="M325" s="331">
        <f t="shared" si="49"/>
        <v>287022.48617192334</v>
      </c>
      <c r="N325" s="331">
        <f t="shared" si="49"/>
        <v>145.40338965020209</v>
      </c>
      <c r="O325" s="331">
        <f t="shared" si="49"/>
        <v>145.85128582788457</v>
      </c>
      <c r="P325" s="36"/>
      <c r="Q325" s="36"/>
      <c r="R325" s="36"/>
      <c r="S325" s="36"/>
      <c r="T325" s="514">
        <f>$X$18+C325*$X$19+D325*$X$20+O325*$X$21+I325*$X$22+H325*$X$23+M325*$X$24+F325*$X$25</f>
        <v>16478909.09414153</v>
      </c>
      <c r="V325"/>
    </row>
    <row r="326" spans="2:22" ht="15" x14ac:dyDescent="0.25">
      <c r="B326" s="6" t="str">
        <f t="shared" ref="B326:B336" si="50">B310</f>
        <v>February</v>
      </c>
      <c r="C326" s="326">
        <f>'DATA-Degree Days'!X9</f>
        <v>531.16473684210541</v>
      </c>
      <c r="D326" s="326">
        <f>'DATA-Degree Days'!X29</f>
        <v>0</v>
      </c>
      <c r="E326" s="331">
        <f t="shared" si="48"/>
        <v>304</v>
      </c>
      <c r="F326" s="331">
        <f t="shared" si="48"/>
        <v>28</v>
      </c>
      <c r="G326" s="331">
        <f t="shared" si="49"/>
        <v>0</v>
      </c>
      <c r="H326" s="331">
        <f t="shared" si="49"/>
        <v>0</v>
      </c>
      <c r="I326" s="331">
        <f t="shared" si="49"/>
        <v>0</v>
      </c>
      <c r="J326" s="331">
        <f t="shared" si="49"/>
        <v>0</v>
      </c>
      <c r="K326" s="331">
        <f t="shared" si="49"/>
        <v>8364.9362408229954</v>
      </c>
      <c r="L326" s="331">
        <f t="shared" si="49"/>
        <v>15866.306028156989</v>
      </c>
      <c r="M326" s="331">
        <f t="shared" si="49"/>
        <v>286816.36747399787</v>
      </c>
      <c r="N326" s="331">
        <f t="shared" si="49"/>
        <v>145.66508069839131</v>
      </c>
      <c r="O326" s="331">
        <f t="shared" si="49"/>
        <v>146.12792981049245</v>
      </c>
      <c r="P326" s="36"/>
      <c r="Q326" s="36"/>
      <c r="R326" s="36"/>
      <c r="S326" s="36"/>
      <c r="T326" s="515">
        <f t="shared" ref="T326:T336" si="51">$X$18+C326*$X$19+D326*$X$20+O326*$X$21+I326*$X$22+H326*$X$23+M326*$X$24+F326*$X$25</f>
        <v>14758971.882789457</v>
      </c>
      <c r="V326"/>
    </row>
    <row r="327" spans="2:22" ht="15" x14ac:dyDescent="0.25">
      <c r="B327" s="6" t="str">
        <f t="shared" si="50"/>
        <v>March</v>
      </c>
      <c r="C327" s="326">
        <f>'DATA-Degree Days'!X10</f>
        <v>461.00281954887214</v>
      </c>
      <c r="D327" s="326">
        <f>'DATA-Degree Days'!X30</f>
        <v>0</v>
      </c>
      <c r="E327" s="331">
        <f t="shared" si="48"/>
        <v>336</v>
      </c>
      <c r="F327" s="331">
        <f t="shared" si="48"/>
        <v>31</v>
      </c>
      <c r="G327" s="331">
        <f t="shared" si="49"/>
        <v>1</v>
      </c>
      <c r="H327" s="331">
        <f t="shared" si="49"/>
        <v>0</v>
      </c>
      <c r="I327" s="331">
        <f t="shared" si="49"/>
        <v>1</v>
      </c>
      <c r="J327" s="331">
        <f t="shared" si="49"/>
        <v>0</v>
      </c>
      <c r="K327" s="331">
        <f t="shared" si="49"/>
        <v>8377.823878113044</v>
      </c>
      <c r="L327" s="331">
        <f t="shared" si="49"/>
        <v>15880.654803799131</v>
      </c>
      <c r="M327" s="331">
        <f t="shared" si="49"/>
        <v>286610.2487760724</v>
      </c>
      <c r="N327" s="331">
        <f t="shared" si="49"/>
        <v>145.92724272737999</v>
      </c>
      <c r="O327" s="331">
        <f t="shared" si="49"/>
        <v>146.40509851862936</v>
      </c>
      <c r="P327" s="36"/>
      <c r="Q327" s="36"/>
      <c r="R327" s="36"/>
      <c r="S327" s="36"/>
      <c r="T327" s="515">
        <f t="shared" si="51"/>
        <v>15077988.434022084</v>
      </c>
      <c r="V327"/>
    </row>
    <row r="328" spans="2:22" ht="15" x14ac:dyDescent="0.25">
      <c r="B328" s="6" t="str">
        <f t="shared" si="50"/>
        <v>April</v>
      </c>
      <c r="C328" s="326">
        <f>'DATA-Degree Days'!X11</f>
        <v>307.89492481203024</v>
      </c>
      <c r="D328" s="326">
        <f>'DATA-Degree Days'!X31</f>
        <v>3.7969924812029987E-2</v>
      </c>
      <c r="E328" s="331">
        <f t="shared" si="48"/>
        <v>320</v>
      </c>
      <c r="F328" s="331">
        <f t="shared" si="48"/>
        <v>30</v>
      </c>
      <c r="G328" s="331">
        <f t="shared" si="49"/>
        <v>1</v>
      </c>
      <c r="H328" s="331">
        <f t="shared" si="49"/>
        <v>0</v>
      </c>
      <c r="I328" s="331">
        <f t="shared" si="49"/>
        <v>1</v>
      </c>
      <c r="J328" s="331">
        <f t="shared" si="49"/>
        <v>0</v>
      </c>
      <c r="K328" s="331">
        <f t="shared" si="49"/>
        <v>8390.7313710469534</v>
      </c>
      <c r="L328" s="331">
        <f t="shared" si="49"/>
        <v>15895.016555830487</v>
      </c>
      <c r="M328" s="331">
        <f t="shared" si="49"/>
        <v>286404.13007814693</v>
      </c>
      <c r="N328" s="331">
        <f t="shared" si="49"/>
        <v>146.18987658482004</v>
      </c>
      <c r="O328" s="331">
        <f t="shared" si="49"/>
        <v>146.68279294757042</v>
      </c>
      <c r="P328" s="36"/>
      <c r="Q328" s="36"/>
      <c r="R328" s="36"/>
      <c r="S328" s="36"/>
      <c r="T328" s="515">
        <f t="shared" si="51"/>
        <v>14059685.828639114</v>
      </c>
      <c r="V328"/>
    </row>
    <row r="329" spans="2:22" ht="15" x14ac:dyDescent="0.25">
      <c r="B329" s="6" t="str">
        <f t="shared" si="50"/>
        <v>May</v>
      </c>
      <c r="C329" s="326">
        <f>'DATA-Degree Days'!X12</f>
        <v>153.73398496240634</v>
      </c>
      <c r="D329" s="326">
        <f>'DATA-Degree Days'!X32</f>
        <v>12.919097744361011</v>
      </c>
      <c r="E329" s="331">
        <f t="shared" si="48"/>
        <v>336</v>
      </c>
      <c r="F329" s="331">
        <f t="shared" si="48"/>
        <v>31</v>
      </c>
      <c r="G329" s="331">
        <f t="shared" si="49"/>
        <v>1</v>
      </c>
      <c r="H329" s="331">
        <f t="shared" si="49"/>
        <v>0</v>
      </c>
      <c r="I329" s="331">
        <f t="shared" si="49"/>
        <v>1</v>
      </c>
      <c r="J329" s="331">
        <f t="shared" si="49"/>
        <v>0</v>
      </c>
      <c r="K329" s="331">
        <f t="shared" si="49"/>
        <v>8403.6587502157927</v>
      </c>
      <c r="L329" s="331">
        <f t="shared" si="49"/>
        <v>15909.391295986323</v>
      </c>
      <c r="M329" s="331">
        <f t="shared" si="49"/>
        <v>286198.01138022146</v>
      </c>
      <c r="N329" s="331">
        <f t="shared" si="49"/>
        <v>146.45298311988893</v>
      </c>
      <c r="O329" s="331">
        <f t="shared" si="49"/>
        <v>146.96101409447857</v>
      </c>
      <c r="P329" s="36"/>
      <c r="Q329" s="36"/>
      <c r="R329" s="36"/>
      <c r="S329" s="36"/>
      <c r="T329" s="515">
        <f t="shared" si="51"/>
        <v>14430530.394530835</v>
      </c>
      <c r="V329"/>
    </row>
    <row r="330" spans="2:22" ht="15" x14ac:dyDescent="0.25">
      <c r="B330" s="6" t="str">
        <f t="shared" si="50"/>
        <v>June</v>
      </c>
      <c r="C330" s="326">
        <f>'DATA-Degree Days'!X13</f>
        <v>25.186165413533899</v>
      </c>
      <c r="D330" s="326">
        <f>'DATA-Degree Days'!X33</f>
        <v>69.372706766917418</v>
      </c>
      <c r="E330" s="331">
        <f t="shared" si="48"/>
        <v>336</v>
      </c>
      <c r="F330" s="331">
        <f t="shared" si="48"/>
        <v>30</v>
      </c>
      <c r="G330" s="331">
        <f t="shared" si="49"/>
        <v>0</v>
      </c>
      <c r="H330" s="331">
        <f t="shared" si="49"/>
        <v>0</v>
      </c>
      <c r="I330" s="331">
        <f t="shared" si="49"/>
        <v>0</v>
      </c>
      <c r="J330" s="331">
        <f t="shared" si="49"/>
        <v>0</v>
      </c>
      <c r="K330" s="331">
        <f t="shared" si="49"/>
        <v>8416.6060462577607</v>
      </c>
      <c r="L330" s="331">
        <f t="shared" si="49"/>
        <v>15923.779036012516</v>
      </c>
      <c r="M330" s="331">
        <f t="shared" si="49"/>
        <v>285991.89268229599</v>
      </c>
      <c r="N330" s="331">
        <f t="shared" si="49"/>
        <v>146.71656318329238</v>
      </c>
      <c r="O330" s="331">
        <f t="shared" si="49"/>
        <v>147.23976295840814</v>
      </c>
      <c r="P330" s="36"/>
      <c r="Q330" s="36"/>
      <c r="R330" s="36"/>
      <c r="S330" s="36"/>
      <c r="T330" s="515">
        <f t="shared" si="51"/>
        <v>16265685.824752066</v>
      </c>
      <c r="V330"/>
    </row>
    <row r="331" spans="2:22" ht="15" x14ac:dyDescent="0.25">
      <c r="B331" s="6" t="str">
        <f t="shared" si="50"/>
        <v>July</v>
      </c>
      <c r="C331" s="326">
        <f>'DATA-Degree Days'!X14</f>
        <v>-0.54007518796993281</v>
      </c>
      <c r="D331" s="326">
        <f>'DATA-Degree Days'!X34</f>
        <v>156.02236842105276</v>
      </c>
      <c r="E331" s="331">
        <f t="shared" si="48"/>
        <v>352</v>
      </c>
      <c r="F331" s="331">
        <f t="shared" si="48"/>
        <v>31</v>
      </c>
      <c r="G331" s="331">
        <f t="shared" si="49"/>
        <v>0</v>
      </c>
      <c r="H331" s="331">
        <f t="shared" si="49"/>
        <v>1</v>
      </c>
      <c r="I331" s="331">
        <f t="shared" si="49"/>
        <v>0</v>
      </c>
      <c r="J331" s="331">
        <f t="shared" si="49"/>
        <v>0</v>
      </c>
      <c r="K331" s="331">
        <f t="shared" si="49"/>
        <v>8429.573289858261</v>
      </c>
      <c r="L331" s="331">
        <f t="shared" si="49"/>
        <v>15938.179787665566</v>
      </c>
      <c r="M331" s="331">
        <f t="shared" si="49"/>
        <v>285785.77398437052</v>
      </c>
      <c r="N331" s="331">
        <f t="shared" si="49"/>
        <v>146.98061762726732</v>
      </c>
      <c r="O331" s="331">
        <f t="shared" si="49"/>
        <v>147.5190405403084</v>
      </c>
      <c r="P331" s="36"/>
      <c r="Q331" s="36"/>
      <c r="R331" s="36"/>
      <c r="S331" s="36"/>
      <c r="T331" s="515">
        <f t="shared" si="51"/>
        <v>20132986.111359715</v>
      </c>
      <c r="V331"/>
    </row>
    <row r="332" spans="2:22" ht="15" x14ac:dyDescent="0.25">
      <c r="B332" s="6" t="str">
        <f t="shared" si="50"/>
        <v>August</v>
      </c>
      <c r="C332" s="326">
        <f>'DATA-Degree Days'!X15</f>
        <v>0.19203007518797222</v>
      </c>
      <c r="D332" s="326">
        <f>'DATA-Degree Days'!X35</f>
        <v>140.14860902255623</v>
      </c>
      <c r="E332" s="331">
        <f t="shared" si="48"/>
        <v>320</v>
      </c>
      <c r="F332" s="331">
        <f t="shared" si="48"/>
        <v>31</v>
      </c>
      <c r="G332" s="331">
        <f t="shared" si="49"/>
        <v>0</v>
      </c>
      <c r="H332" s="331">
        <f t="shared" si="49"/>
        <v>1</v>
      </c>
      <c r="I332" s="331">
        <f t="shared" si="49"/>
        <v>0</v>
      </c>
      <c r="J332" s="331">
        <f t="shared" si="49"/>
        <v>0</v>
      </c>
      <c r="K332" s="331">
        <f t="shared" si="49"/>
        <v>8442.5605117499708</v>
      </c>
      <c r="L332" s="331">
        <f t="shared" si="49"/>
        <v>15952.593562712604</v>
      </c>
      <c r="M332" s="331">
        <f t="shared" si="49"/>
        <v>285579.65528644505</v>
      </c>
      <c r="N332" s="331">
        <f t="shared" si="49"/>
        <v>147.2451473055844</v>
      </c>
      <c r="O332" s="331">
        <f t="shared" si="49"/>
        <v>147.79884784302718</v>
      </c>
      <c r="P332" s="36"/>
      <c r="Q332" s="36"/>
      <c r="R332" s="36"/>
      <c r="S332" s="36"/>
      <c r="T332" s="515">
        <f t="shared" si="51"/>
        <v>19643306.481018778</v>
      </c>
      <c r="V332"/>
    </row>
    <row r="333" spans="2:22" ht="15" x14ac:dyDescent="0.25">
      <c r="B333" s="6" t="str">
        <f t="shared" si="50"/>
        <v>September</v>
      </c>
      <c r="C333" s="326">
        <f>'DATA-Degree Days'!X16</f>
        <v>16.916804511278315</v>
      </c>
      <c r="D333" s="326">
        <f>'DATA-Degree Days'!X36</f>
        <v>51.525864661654168</v>
      </c>
      <c r="E333" s="331">
        <f t="shared" si="48"/>
        <v>336</v>
      </c>
      <c r="F333" s="331">
        <f t="shared" si="48"/>
        <v>30</v>
      </c>
      <c r="G333" s="331">
        <f t="shared" si="49"/>
        <v>1</v>
      </c>
      <c r="H333" s="331">
        <f t="shared" si="49"/>
        <v>1</v>
      </c>
      <c r="I333" s="331">
        <f t="shared" si="49"/>
        <v>0</v>
      </c>
      <c r="J333" s="331">
        <f t="shared" si="49"/>
        <v>1</v>
      </c>
      <c r="K333" s="331">
        <f t="shared" si="49"/>
        <v>8455.5677427129194</v>
      </c>
      <c r="L333" s="331">
        <f t="shared" si="49"/>
        <v>15967.020372931403</v>
      </c>
      <c r="M333" s="331">
        <f t="shared" si="49"/>
        <v>285373.53658851958</v>
      </c>
      <c r="N333" s="331">
        <f t="shared" si="49"/>
        <v>147.51015307355081</v>
      </c>
      <c r="O333" s="331">
        <f t="shared" si="49"/>
        <v>148.07918587131445</v>
      </c>
      <c r="P333" s="36"/>
      <c r="Q333" s="36"/>
      <c r="R333" s="36"/>
      <c r="S333" s="36"/>
      <c r="T333" s="515">
        <f t="shared" si="51"/>
        <v>16335276.541345732</v>
      </c>
      <c r="V333"/>
    </row>
    <row r="334" spans="2:22" ht="15" x14ac:dyDescent="0.25">
      <c r="B334" s="6" t="str">
        <f t="shared" si="50"/>
        <v>October</v>
      </c>
      <c r="C334" s="326">
        <f>'DATA-Degree Days'!X17</f>
        <v>189.83567669172953</v>
      </c>
      <c r="D334" s="326">
        <f>'DATA-Degree Days'!X37</f>
        <v>4.1906015037593995</v>
      </c>
      <c r="E334" s="331">
        <f t="shared" si="48"/>
        <v>352</v>
      </c>
      <c r="F334" s="331">
        <f t="shared" si="48"/>
        <v>31</v>
      </c>
      <c r="G334" s="331">
        <f t="shared" si="49"/>
        <v>1</v>
      </c>
      <c r="H334" s="331">
        <f t="shared" si="49"/>
        <v>0</v>
      </c>
      <c r="I334" s="331">
        <f t="shared" si="49"/>
        <v>0</v>
      </c>
      <c r="J334" s="331">
        <f t="shared" si="49"/>
        <v>1</v>
      </c>
      <c r="K334" s="331">
        <f t="shared" si="49"/>
        <v>8468.5950135745552</v>
      </c>
      <c r="L334" s="331">
        <f t="shared" si="49"/>
        <v>15981.460230110391</v>
      </c>
      <c r="M334" s="331">
        <f t="shared" si="49"/>
        <v>285167.41789059411</v>
      </c>
      <c r="N334" s="331">
        <f t="shared" si="49"/>
        <v>147.7756357880132</v>
      </c>
      <c r="O334" s="331">
        <f t="shared" si="49"/>
        <v>148.36005563182596</v>
      </c>
      <c r="P334" s="36"/>
      <c r="Q334" s="36"/>
      <c r="R334" s="36"/>
      <c r="S334" s="36"/>
      <c r="T334" s="515">
        <f t="shared" si="51"/>
        <v>15332181.665805802</v>
      </c>
      <c r="V334"/>
    </row>
    <row r="335" spans="2:22" ht="15" x14ac:dyDescent="0.25">
      <c r="B335" s="6" t="str">
        <f t="shared" si="50"/>
        <v>November</v>
      </c>
      <c r="C335" s="326">
        <f>'DATA-Degree Days'!X18</f>
        <v>327.18281954887243</v>
      </c>
      <c r="D335" s="326">
        <f>'DATA-Degree Days'!X38</f>
        <v>0</v>
      </c>
      <c r="E335" s="331">
        <f t="shared" si="48"/>
        <v>320</v>
      </c>
      <c r="F335" s="331">
        <f t="shared" si="48"/>
        <v>30</v>
      </c>
      <c r="G335" s="331">
        <f t="shared" si="49"/>
        <v>1</v>
      </c>
      <c r="H335" s="331">
        <f t="shared" si="49"/>
        <v>0</v>
      </c>
      <c r="I335" s="331">
        <f t="shared" si="49"/>
        <v>0</v>
      </c>
      <c r="J335" s="331">
        <f t="shared" si="49"/>
        <v>1</v>
      </c>
      <c r="K335" s="331">
        <f t="shared" si="49"/>
        <v>8481.642355209824</v>
      </c>
      <c r="L335" s="331">
        <f t="shared" si="49"/>
        <v>15995.913146048651</v>
      </c>
      <c r="M335" s="331">
        <f t="shared" si="49"/>
        <v>284961.29919266864</v>
      </c>
      <c r="N335" s="331">
        <f t="shared" si="49"/>
        <v>148.04159630736029</v>
      </c>
      <c r="O335" s="331">
        <f t="shared" si="49"/>
        <v>148.64145813312683</v>
      </c>
      <c r="P335" s="36"/>
      <c r="Q335" s="36"/>
      <c r="R335" s="36"/>
      <c r="S335" s="36"/>
      <c r="T335" s="515">
        <f t="shared" si="51"/>
        <v>15244270.730768243</v>
      </c>
      <c r="V335"/>
    </row>
    <row r="336" spans="2:22" ht="15.75" thickBot="1" x14ac:dyDescent="0.3">
      <c r="B336" s="6" t="str">
        <f t="shared" si="50"/>
        <v>December</v>
      </c>
      <c r="C336" s="326">
        <f>'DATA-Degree Days'!X19</f>
        <v>522.78135338345783</v>
      </c>
      <c r="D336" s="326">
        <f>'DATA-Degree Days'!X39</f>
        <v>0</v>
      </c>
      <c r="E336" s="331">
        <f t="shared" si="48"/>
        <v>336</v>
      </c>
      <c r="F336" s="331">
        <f t="shared" si="48"/>
        <v>31</v>
      </c>
      <c r="G336" s="331">
        <f t="shared" si="49"/>
        <v>0</v>
      </c>
      <c r="H336" s="331">
        <f t="shared" si="49"/>
        <v>0</v>
      </c>
      <c r="I336" s="331">
        <f t="shared" si="49"/>
        <v>0</v>
      </c>
      <c r="J336" s="331">
        <f t="shared" si="49"/>
        <v>0</v>
      </c>
      <c r="K336" s="331">
        <f t="shared" si="49"/>
        <v>8494.7097985412402</v>
      </c>
      <c r="L336" s="331">
        <f t="shared" si="49"/>
        <v>16010.37913255594</v>
      </c>
      <c r="M336" s="331">
        <f t="shared" si="49"/>
        <v>284755.18049474317</v>
      </c>
      <c r="N336" s="331">
        <f t="shared" si="49"/>
        <v>148.30803549152566</v>
      </c>
      <c r="O336" s="331">
        <f t="shared" si="49"/>
        <v>148.9233943856953</v>
      </c>
      <c r="P336" s="36"/>
      <c r="Q336" s="36"/>
      <c r="R336" s="36"/>
      <c r="S336" s="36"/>
      <c r="T336" s="516">
        <f t="shared" si="51"/>
        <v>16479293.336511508</v>
      </c>
      <c r="U336" s="49">
        <f>SUM(T325:T336)</f>
        <v>194239086.32568491</v>
      </c>
      <c r="V336"/>
    </row>
  </sheetData>
  <mergeCells count="3">
    <mergeCell ref="P1:S1"/>
    <mergeCell ref="C1:D1"/>
    <mergeCell ref="E1:J1"/>
  </mergeCells>
  <phoneticPr fontId="0" type="noConversion"/>
  <printOptions headings="1" gridLines="1"/>
  <pageMargins left="0.38" right="0.75" top="0.73" bottom="0.74" header="0.5" footer="0.5"/>
  <pageSetup scale="37" fitToHeight="12" orientation="landscape" r:id="rId1"/>
  <headerFooter alignWithMargins="0">
    <oddHeader>&amp;L&amp;Z&amp;F&amp;A</oddHeader>
    <oddFooter>&amp;L&amp;D&amp;T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92D050"/>
    <pageSetUpPr fitToPage="1"/>
  </sheetPr>
  <dimension ref="A2:W100"/>
  <sheetViews>
    <sheetView workbookViewId="0">
      <pane ySplit="2" topLeftCell="A39" activePane="bottomLeft" state="frozen"/>
      <selection pane="bottomLeft" activeCell="E85" sqref="E8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3.85546875" style="6" bestFit="1" customWidth="1"/>
    <col min="14" max="15" width="12.7109375" style="6" bestFit="1" customWidth="1"/>
    <col min="16" max="16" width="10.7109375" style="6" bestFit="1" customWidth="1"/>
    <col min="17" max="17" width="9.140625" style="6"/>
    <col min="18" max="18" width="11.140625" style="6" bestFit="1" customWidth="1"/>
  </cols>
  <sheetData>
    <row r="2" spans="1:18" ht="42" customHeight="1" x14ac:dyDescent="0.25">
      <c r="B2" s="2" t="s">
        <v>6</v>
      </c>
      <c r="C2" s="2" t="s">
        <v>7</v>
      </c>
      <c r="D2" s="2" t="s">
        <v>40</v>
      </c>
      <c r="E2" s="2" t="s">
        <v>8</v>
      </c>
      <c r="F2" s="2" t="s">
        <v>0</v>
      </c>
      <c r="G2" s="7" t="s">
        <v>1</v>
      </c>
      <c r="H2" s="311" t="s">
        <v>94</v>
      </c>
      <c r="I2" s="404" t="s">
        <v>95</v>
      </c>
      <c r="J2" s="404" t="s">
        <v>96</v>
      </c>
      <c r="K2" s="404" t="s">
        <v>97</v>
      </c>
      <c r="L2" s="404" t="s">
        <v>98</v>
      </c>
      <c r="M2" s="404" t="s">
        <v>99</v>
      </c>
    </row>
    <row r="4" spans="1:18" x14ac:dyDescent="0.2">
      <c r="A4" s="19"/>
      <c r="B4" s="43" t="s">
        <v>42</v>
      </c>
    </row>
    <row r="5" spans="1:18" ht="13.5" thickBot="1" x14ac:dyDescent="0.25">
      <c r="B5"/>
      <c r="C5"/>
      <c r="D5"/>
      <c r="E5"/>
      <c r="F5"/>
      <c r="G5"/>
      <c r="H5"/>
      <c r="I5"/>
      <c r="J5"/>
      <c r="K5"/>
      <c r="L5"/>
      <c r="M5"/>
      <c r="N5"/>
      <c r="O5"/>
      <c r="P5"/>
      <c r="Q5"/>
      <c r="R5"/>
    </row>
    <row r="6" spans="1:18" ht="13.5" thickBot="1" x14ac:dyDescent="0.25">
      <c r="H6" s="665" t="s">
        <v>181</v>
      </c>
      <c r="I6" s="666"/>
      <c r="J6" s="666"/>
      <c r="K6" s="666"/>
      <c r="L6" s="666"/>
      <c r="M6" s="667"/>
    </row>
    <row r="7" spans="1:18" x14ac:dyDescent="0.2">
      <c r="A7">
        <f>'Purchased Power Model '!A282</f>
        <v>1996</v>
      </c>
      <c r="B7" s="398"/>
      <c r="C7" s="398"/>
      <c r="D7" s="399"/>
      <c r="E7" s="400"/>
      <c r="F7" s="401"/>
      <c r="G7" s="402"/>
      <c r="H7" s="398"/>
      <c r="I7" s="398"/>
      <c r="J7" s="398"/>
      <c r="K7" s="398"/>
      <c r="L7" s="398"/>
      <c r="M7" s="398"/>
      <c r="P7" s="26"/>
      <c r="Q7" s="167"/>
      <c r="R7" s="37"/>
    </row>
    <row r="8" spans="1:18" x14ac:dyDescent="0.2">
      <c r="A8">
        <f>'Purchased Power Model '!A283</f>
        <v>1997</v>
      </c>
      <c r="B8" s="398"/>
      <c r="C8" s="398"/>
      <c r="D8" s="399"/>
      <c r="E8" s="400"/>
      <c r="F8" s="401"/>
      <c r="G8" s="402"/>
      <c r="H8" s="398"/>
      <c r="I8" s="398"/>
      <c r="J8" s="398"/>
      <c r="K8" s="398"/>
      <c r="L8" s="398"/>
      <c r="M8" s="398"/>
      <c r="P8" s="26"/>
      <c r="Q8" s="167"/>
      <c r="R8" s="37"/>
    </row>
    <row r="9" spans="1:18" x14ac:dyDescent="0.2">
      <c r="A9">
        <f>'Purchased Power Model '!A284</f>
        <v>1998</v>
      </c>
      <c r="B9" s="398"/>
      <c r="C9" s="398"/>
      <c r="D9" s="399"/>
      <c r="E9" s="400"/>
      <c r="F9" s="401"/>
      <c r="G9" s="402"/>
      <c r="H9" s="398"/>
      <c r="I9" s="398"/>
      <c r="J9" s="398"/>
      <c r="K9" s="398"/>
      <c r="L9" s="398"/>
      <c r="M9" s="398"/>
      <c r="P9" s="26"/>
      <c r="Q9" s="167"/>
      <c r="R9" s="37"/>
    </row>
    <row r="10" spans="1:18" x14ac:dyDescent="0.2">
      <c r="A10">
        <f>'Purchased Power Model '!A285</f>
        <v>1999</v>
      </c>
      <c r="B10" s="398"/>
      <c r="C10" s="398"/>
      <c r="D10" s="399"/>
      <c r="E10" s="400"/>
      <c r="F10" s="401"/>
      <c r="G10" s="402"/>
      <c r="H10" s="398"/>
      <c r="I10" s="398"/>
      <c r="J10" s="398"/>
      <c r="K10" s="398"/>
      <c r="L10" s="398"/>
      <c r="M10" s="398"/>
      <c r="P10" s="26"/>
      <c r="Q10" s="167"/>
      <c r="R10" s="37"/>
    </row>
    <row r="11" spans="1:18" x14ac:dyDescent="0.2">
      <c r="A11">
        <f>'Purchased Power Model '!A286</f>
        <v>2000</v>
      </c>
      <c r="B11" s="398"/>
      <c r="C11" s="398"/>
      <c r="D11" s="399"/>
      <c r="E11" s="400"/>
      <c r="F11" s="401"/>
      <c r="G11" s="402"/>
      <c r="H11" s="398"/>
      <c r="I11" s="398"/>
      <c r="J11" s="398"/>
      <c r="K11" s="398"/>
      <c r="L11" s="398"/>
      <c r="M11" s="398"/>
      <c r="P11" s="26"/>
      <c r="Q11" s="167"/>
      <c r="R11" s="37"/>
    </row>
    <row r="12" spans="1:18" x14ac:dyDescent="0.2">
      <c r="A12">
        <f>'Purchased Power Model '!A287</f>
        <v>2001</v>
      </c>
      <c r="B12" s="398"/>
      <c r="C12" s="398"/>
      <c r="D12" s="399"/>
      <c r="E12" s="400"/>
      <c r="F12" s="401"/>
      <c r="G12" s="402"/>
      <c r="H12" s="398"/>
      <c r="I12" s="398"/>
      <c r="J12" s="398"/>
      <c r="K12" s="398"/>
      <c r="L12" s="398"/>
      <c r="M12" s="398"/>
      <c r="P12" s="26"/>
      <c r="Q12" s="167"/>
      <c r="R12" s="37"/>
    </row>
    <row r="13" spans="1:18" x14ac:dyDescent="0.2">
      <c r="A13">
        <f>'Purchased Power Model '!A288</f>
        <v>2002</v>
      </c>
      <c r="B13" s="398"/>
      <c r="C13" s="398"/>
      <c r="D13" s="399"/>
      <c r="E13" s="400"/>
      <c r="F13" s="401"/>
      <c r="G13" s="402"/>
      <c r="H13" s="398"/>
      <c r="I13" s="398"/>
      <c r="J13" s="398"/>
      <c r="K13" s="398"/>
      <c r="L13" s="398"/>
      <c r="M13" s="398"/>
      <c r="P13" s="26"/>
      <c r="Q13" s="167"/>
      <c r="R13" s="37"/>
    </row>
    <row r="14" spans="1:18" ht="15" x14ac:dyDescent="0.25">
      <c r="A14">
        <f>'Purchased Power Model '!A289</f>
        <v>2003</v>
      </c>
      <c r="B14" s="6">
        <f>'Purchased Power Model '!B289</f>
        <v>174477589</v>
      </c>
      <c r="C14" s="6">
        <f>'Purchased Power Model '!T289</f>
        <v>174074041.90562162</v>
      </c>
      <c r="D14" s="40">
        <f t="shared" ref="D14:D23" si="0">C14-B14</f>
        <v>-403547.09437838197</v>
      </c>
      <c r="E14" s="5">
        <f t="shared" ref="E14:E23" si="1">D14/B14</f>
        <v>-2.3128878424516857E-3</v>
      </c>
      <c r="F14" s="53">
        <f t="shared" ref="F14:F23" si="2">1 +(B14-G14)/G14</f>
        <v>1.0493614670084808</v>
      </c>
      <c r="G14" s="63">
        <f t="shared" ref="G14:G23" si="3">SUM(H14:M14)</f>
        <v>166270245.74992317</v>
      </c>
      <c r="H14" s="311">
        <f>'DATA-kWh'!M26</f>
        <v>59473067.616589859</v>
      </c>
      <c r="I14" s="311">
        <f>'DATA-kWh'!M46</f>
        <v>35010423</v>
      </c>
      <c r="J14" s="311">
        <f>'DATA-kWh'!M66</f>
        <v>70539226</v>
      </c>
      <c r="K14" s="311">
        <f>'DATA-kWh'!M86</f>
        <v>884324.1333333333</v>
      </c>
      <c r="L14" s="311">
        <f>'DATA-kWh'!M126</f>
        <v>145274</v>
      </c>
      <c r="M14" s="311">
        <f>'DATA-kWh'!M106</f>
        <v>217931</v>
      </c>
      <c r="P14" s="26"/>
      <c r="Q14" s="167"/>
      <c r="R14" s="37"/>
    </row>
    <row r="15" spans="1:18" ht="15" x14ac:dyDescent="0.25">
      <c r="A15">
        <f>'Purchased Power Model '!A290</f>
        <v>2004</v>
      </c>
      <c r="B15" s="6">
        <f>'Purchased Power Model '!B290</f>
        <v>178152405</v>
      </c>
      <c r="C15" s="6">
        <f>'Purchased Power Model '!T290</f>
        <v>174837462.18309715</v>
      </c>
      <c r="D15" s="40">
        <f t="shared" si="0"/>
        <v>-3314942.8169028461</v>
      </c>
      <c r="E15" s="5">
        <f t="shared" si="1"/>
        <v>-1.8607342499265423E-2</v>
      </c>
      <c r="F15" s="53">
        <f t="shared" si="2"/>
        <v>1.0492608323734185</v>
      </c>
      <c r="G15" s="63">
        <f t="shared" si="3"/>
        <v>169788483</v>
      </c>
      <c r="H15" s="311">
        <f>'DATA-kWh'!N26</f>
        <v>60142431</v>
      </c>
      <c r="I15" s="311">
        <f>'DATA-kWh'!N46</f>
        <v>34349415</v>
      </c>
      <c r="J15" s="311">
        <f>'DATA-kWh'!N66</f>
        <v>73966550</v>
      </c>
      <c r="K15" s="311">
        <f>'DATA-kWh'!N86</f>
        <v>914682</v>
      </c>
      <c r="L15" s="311">
        <f>'DATA-kWh'!N126</f>
        <v>197474</v>
      </c>
      <c r="M15" s="311">
        <f>'DATA-kWh'!N106</f>
        <v>217931</v>
      </c>
      <c r="P15" s="26"/>
      <c r="Q15" s="167"/>
      <c r="R15" s="37"/>
    </row>
    <row r="16" spans="1:18" ht="15" x14ac:dyDescent="0.25">
      <c r="A16">
        <f>'Purchased Power Model '!A291</f>
        <v>2005</v>
      </c>
      <c r="B16" s="6">
        <f>'Purchased Power Model '!B291</f>
        <v>188569914</v>
      </c>
      <c r="C16" s="6">
        <f>'Purchased Power Model '!T291</f>
        <v>188383383.54167727</v>
      </c>
      <c r="D16" s="40">
        <f t="shared" si="0"/>
        <v>-186530.45832273364</v>
      </c>
      <c r="E16" s="5">
        <f t="shared" si="1"/>
        <v>-9.891846178745865E-4</v>
      </c>
      <c r="F16" s="53">
        <f t="shared" si="2"/>
        <v>1.0477927338894126</v>
      </c>
      <c r="G16" s="63">
        <f t="shared" si="3"/>
        <v>179968717</v>
      </c>
      <c r="H16" s="311">
        <f>'DATA-kWh'!O26</f>
        <v>67990535</v>
      </c>
      <c r="I16" s="311">
        <f>'DATA-kWh'!O46</f>
        <v>34479068</v>
      </c>
      <c r="J16" s="311">
        <f>'DATA-kWh'!O66</f>
        <v>76163682</v>
      </c>
      <c r="K16" s="311">
        <f>'DATA-kWh'!O86</f>
        <v>995698</v>
      </c>
      <c r="L16" s="311">
        <f>'DATA-kWh'!O126</f>
        <v>121803</v>
      </c>
      <c r="M16" s="311">
        <f>'DATA-kWh'!O106</f>
        <v>217931</v>
      </c>
      <c r="P16" s="26"/>
      <c r="Q16" s="167"/>
      <c r="R16" s="37"/>
    </row>
    <row r="17" spans="1:18" ht="15" x14ac:dyDescent="0.25">
      <c r="A17">
        <f>'Purchased Power Model '!A292</f>
        <v>2006</v>
      </c>
      <c r="B17" s="6">
        <f>'Purchased Power Model '!B292</f>
        <v>182453427</v>
      </c>
      <c r="C17" s="6">
        <f>'Purchased Power Model '!T292</f>
        <v>183447501.63019586</v>
      </c>
      <c r="D17" s="40">
        <f t="shared" si="0"/>
        <v>994074.63019585609</v>
      </c>
      <c r="E17" s="5">
        <f t="shared" si="1"/>
        <v>5.4483746704075669E-3</v>
      </c>
      <c r="F17" s="53">
        <f t="shared" si="2"/>
        <v>1.0410511205715174</v>
      </c>
      <c r="G17" s="63">
        <f t="shared" si="3"/>
        <v>175258854.62746203</v>
      </c>
      <c r="H17" s="311">
        <f>'DATA-kWh'!P26</f>
        <v>64063446</v>
      </c>
      <c r="I17" s="311">
        <f>'DATA-kWh'!P46</f>
        <v>30478041</v>
      </c>
      <c r="J17" s="311">
        <f>'DATA-kWh'!P66</f>
        <v>79256712</v>
      </c>
      <c r="K17" s="311">
        <f>'DATA-kWh'!P86</f>
        <v>1118911</v>
      </c>
      <c r="L17" s="311">
        <f>'DATA-kWh'!P126</f>
        <v>123813.62746201461</v>
      </c>
      <c r="M17" s="311">
        <f>'DATA-kWh'!P106</f>
        <v>217931</v>
      </c>
      <c r="P17" s="26"/>
      <c r="Q17" s="167"/>
      <c r="R17" s="37"/>
    </row>
    <row r="18" spans="1:18" ht="15" x14ac:dyDescent="0.25">
      <c r="A18">
        <f>'Purchased Power Model '!A293</f>
        <v>2007</v>
      </c>
      <c r="B18" s="6">
        <f>'Purchased Power Model '!B293</f>
        <v>188506590</v>
      </c>
      <c r="C18" s="6">
        <f>'Purchased Power Model '!T293</f>
        <v>189275554.8282997</v>
      </c>
      <c r="D18" s="40">
        <f t="shared" si="0"/>
        <v>768964.82829970121</v>
      </c>
      <c r="E18" s="5">
        <f t="shared" si="1"/>
        <v>4.0792463982277823E-3</v>
      </c>
      <c r="F18" s="53">
        <f t="shared" si="2"/>
        <v>1.0445019400959128</v>
      </c>
      <c r="G18" s="63">
        <f t="shared" si="3"/>
        <v>180475098</v>
      </c>
      <c r="H18" s="311">
        <f>'DATA-kWh'!Q26</f>
        <v>65499951</v>
      </c>
      <c r="I18" s="311">
        <f>'DATA-kWh'!Q46</f>
        <v>34969161</v>
      </c>
      <c r="J18" s="311">
        <f>'DATA-kWh'!Q66</f>
        <v>78684896</v>
      </c>
      <c r="K18" s="311">
        <f>'DATA-kWh'!Q86</f>
        <v>1002185</v>
      </c>
      <c r="L18" s="311">
        <f>'DATA-kWh'!Q126</f>
        <v>100974</v>
      </c>
      <c r="M18" s="311">
        <f>'DATA-kWh'!Q106</f>
        <v>217931</v>
      </c>
      <c r="P18" s="26"/>
      <c r="Q18" s="167"/>
      <c r="R18" s="37"/>
    </row>
    <row r="19" spans="1:18" ht="15" x14ac:dyDescent="0.25">
      <c r="A19">
        <f>'Purchased Power Model '!A294</f>
        <v>2008</v>
      </c>
      <c r="B19" s="6">
        <f>'Purchased Power Model '!B294</f>
        <v>182813235</v>
      </c>
      <c r="C19" s="6">
        <f>'Purchased Power Model '!T294</f>
        <v>185570635.32064036</v>
      </c>
      <c r="D19" s="40">
        <f t="shared" si="0"/>
        <v>2757400.3206403553</v>
      </c>
      <c r="E19" s="5">
        <f t="shared" si="1"/>
        <v>1.5083154787126629E-2</v>
      </c>
      <c r="F19" s="53">
        <f t="shared" si="2"/>
        <v>1.0512585854072174</v>
      </c>
      <c r="G19" s="63">
        <f t="shared" si="3"/>
        <v>173899397.86240616</v>
      </c>
      <c r="H19" s="311">
        <f>'DATA-kWh'!R26</f>
        <v>62980676.951219514</v>
      </c>
      <c r="I19" s="311">
        <f>'DATA-kWh'!R46</f>
        <v>35045141.781299576</v>
      </c>
      <c r="J19" s="311">
        <f>'DATA-kWh'!R66</f>
        <v>74475846.068181574</v>
      </c>
      <c r="K19" s="311">
        <f>'DATA-kWh'!R86</f>
        <v>1121118.2660441326</v>
      </c>
      <c r="L19" s="311">
        <f>'DATA-kWh'!R126</f>
        <v>65335.910294257686</v>
      </c>
      <c r="M19" s="311">
        <f>'DATA-kWh'!R106</f>
        <v>211278.88536708895</v>
      </c>
      <c r="P19" s="26"/>
      <c r="Q19" s="167"/>
      <c r="R19" s="37"/>
    </row>
    <row r="20" spans="1:18" ht="15" x14ac:dyDescent="0.25">
      <c r="A20">
        <f>'Purchased Power Model '!A295</f>
        <v>2009</v>
      </c>
      <c r="B20" s="6">
        <f>'Purchased Power Model '!B295</f>
        <v>178335380.82587692</v>
      </c>
      <c r="C20" s="6">
        <f>'Purchased Power Model '!T295</f>
        <v>178435180.31848434</v>
      </c>
      <c r="D20" s="40">
        <f t="shared" si="0"/>
        <v>99799.492607414722</v>
      </c>
      <c r="E20" s="5">
        <f t="shared" si="1"/>
        <v>5.5961689792143347E-4</v>
      </c>
      <c r="F20" s="53">
        <f t="shared" si="2"/>
        <v>1.0315385566443516</v>
      </c>
      <c r="G20" s="63">
        <f t="shared" si="3"/>
        <v>172882903.57852563</v>
      </c>
      <c r="H20" s="311">
        <f>'DATA-kWh'!S26</f>
        <v>63244583.51031895</v>
      </c>
      <c r="I20" s="311">
        <f>'DATA-kWh'!S46</f>
        <v>33688872.79423999</v>
      </c>
      <c r="J20" s="311">
        <f>'DATA-kWh'!S66</f>
        <v>74591201.455103308</v>
      </c>
      <c r="K20" s="311">
        <f>'DATA-kWh'!S86</f>
        <v>1155889.8842094042</v>
      </c>
      <c r="L20" s="311">
        <f>'DATA-kWh'!S126</f>
        <v>5467.0983715836583</v>
      </c>
      <c r="M20" s="311">
        <f>'DATA-kWh'!S106</f>
        <v>196888.83628239558</v>
      </c>
      <c r="P20" s="26"/>
      <c r="Q20" s="167"/>
      <c r="R20" s="37"/>
    </row>
    <row r="21" spans="1:18" ht="15" x14ac:dyDescent="0.25">
      <c r="A21">
        <f>'Purchased Power Model '!A296</f>
        <v>2010</v>
      </c>
      <c r="B21" s="6">
        <f>'Purchased Power Model '!B296</f>
        <v>186321134.65720975</v>
      </c>
      <c r="C21" s="6">
        <f>'Purchased Power Model '!T296</f>
        <v>184469801.87037647</v>
      </c>
      <c r="D21" s="40">
        <f t="shared" si="0"/>
        <v>-1851332.7868332863</v>
      </c>
      <c r="E21" s="5">
        <f>D21/B21</f>
        <v>-9.9362468473548904E-3</v>
      </c>
      <c r="F21" s="53">
        <f t="shared" si="2"/>
        <v>1.0488434466376748</v>
      </c>
      <c r="G21" s="63">
        <f t="shared" si="3"/>
        <v>177644371.28773403</v>
      </c>
      <c r="H21" s="311">
        <f>'DATA-kWh'!T26</f>
        <v>66159480.468461536</v>
      </c>
      <c r="I21" s="311">
        <f>'DATA-kWh'!T46</f>
        <v>33426752.734460428</v>
      </c>
      <c r="J21" s="311">
        <f>'DATA-kWh'!T66</f>
        <v>76704892.796715111</v>
      </c>
      <c r="K21" s="311">
        <f>'DATA-kWh'!T86</f>
        <v>1135598.169746463</v>
      </c>
      <c r="L21" s="398"/>
      <c r="M21" s="311">
        <f>'DATA-kWh'!T106</f>
        <v>217647.11835051546</v>
      </c>
      <c r="P21" s="26"/>
      <c r="Q21" s="167"/>
      <c r="R21" s="37"/>
    </row>
    <row r="22" spans="1:18" ht="15" x14ac:dyDescent="0.25">
      <c r="A22">
        <f>'Purchased Power Model '!A297</f>
        <v>2011</v>
      </c>
      <c r="B22" s="6">
        <f>'Purchased Power Model '!B297</f>
        <v>188636352</v>
      </c>
      <c r="C22" s="6">
        <f>'Purchased Power Model '!T297</f>
        <v>186686295.30929995</v>
      </c>
      <c r="D22" s="40">
        <f t="shared" si="0"/>
        <v>-1950056.6907000542</v>
      </c>
      <c r="E22" s="5">
        <f t="shared" si="1"/>
        <v>-1.0337650564298731E-2</v>
      </c>
      <c r="F22" s="53">
        <f t="shared" si="2"/>
        <v>1.0258161990634793</v>
      </c>
      <c r="G22" s="63">
        <f t="shared" si="3"/>
        <v>183889036.04000002</v>
      </c>
      <c r="H22" s="311">
        <f>'DATA-kWh'!U26</f>
        <v>67609924.159999996</v>
      </c>
      <c r="I22" s="311">
        <f>'DATA-kWh'!U46</f>
        <v>34407699.510000005</v>
      </c>
      <c r="J22" s="311">
        <f>'DATA-kWh'!U66</f>
        <v>80480195.260000005</v>
      </c>
      <c r="K22" s="311">
        <f>'DATA-kWh'!U86</f>
        <v>1153818.49</v>
      </c>
      <c r="L22" s="398"/>
      <c r="M22" s="311">
        <f>'DATA-kWh'!U106</f>
        <v>237398.62</v>
      </c>
      <c r="P22" s="26"/>
      <c r="Q22" s="167"/>
      <c r="R22" s="37"/>
    </row>
    <row r="23" spans="1:18" ht="15" x14ac:dyDescent="0.25">
      <c r="A23">
        <f>'Purchased Power Model '!A298</f>
        <v>2012</v>
      </c>
      <c r="B23" s="6">
        <f>'Purchased Power Model '!B298</f>
        <v>189168670.89000002</v>
      </c>
      <c r="C23" s="6">
        <f>'Purchased Power Model '!T298</f>
        <v>190091284.75565851</v>
      </c>
      <c r="D23" s="40">
        <f t="shared" si="0"/>
        <v>922613.86565849185</v>
      </c>
      <c r="E23" s="5">
        <f t="shared" si="1"/>
        <v>4.8772022413530831E-3</v>
      </c>
      <c r="F23" s="53">
        <f t="shared" si="2"/>
        <v>1.0316146767792103</v>
      </c>
      <c r="G23" s="63">
        <f t="shared" si="3"/>
        <v>183371442.02000001</v>
      </c>
      <c r="H23" s="311">
        <f>'DATA-kWh'!V26</f>
        <v>67185686.109999999</v>
      </c>
      <c r="I23" s="311">
        <f>'DATA-kWh'!V46</f>
        <v>35564177.82</v>
      </c>
      <c r="J23" s="311">
        <f>'DATA-kWh'!V66</f>
        <v>79222400.810000002</v>
      </c>
      <c r="K23" s="311">
        <f>'DATA-kWh'!V86</f>
        <v>1163464</v>
      </c>
      <c r="L23" s="398"/>
      <c r="M23" s="311">
        <f>'DATA-kWh'!V106</f>
        <v>235713.28</v>
      </c>
    </row>
    <row r="24" spans="1:18" x14ac:dyDescent="0.2">
      <c r="A24">
        <f>'Purchased Power Model '!A299</f>
        <v>2013</v>
      </c>
      <c r="B24" s="6"/>
      <c r="C24" s="6">
        <f>'Purchased Power Model '!T299</f>
        <v>189087891.90591452</v>
      </c>
      <c r="G24" s="22">
        <f>C24/$F$28</f>
        <v>181448204.70642552</v>
      </c>
    </row>
    <row r="25" spans="1:18" x14ac:dyDescent="0.2">
      <c r="A25">
        <f>'Purchased Power Model '!A300</f>
        <v>2014</v>
      </c>
      <c r="B25" s="6"/>
      <c r="C25" s="6">
        <f>'Purchased Power Model '!T300</f>
        <v>193206757.02486607</v>
      </c>
      <c r="D25" s="168"/>
      <c r="E25" s="168"/>
      <c r="F25" s="168"/>
      <c r="G25" s="22">
        <f>C25/$F$28</f>
        <v>185400655.99100351</v>
      </c>
    </row>
    <row r="26" spans="1:18" x14ac:dyDescent="0.2">
      <c r="A26" s="473" t="s">
        <v>361</v>
      </c>
      <c r="B26" s="534">
        <f>SUM(B14:B23)-'[7]2002 to 2012'!$F$31-'[7]2002 to 2012'!$F$45-'[7]2002 to 2012'!$F$59-'[7]2002 to 2012'!$F$73-'[7]2002 to 2012'!$F$87-'[7]2002 to 2012'!$F$102-'[7]2002 to 2012'!$F$116-'[7]2002 to 2012'!$F$130-'[7]2002 to 2012'!$F$144-'[7]2002 to 2012'!$F$158</f>
        <v>0</v>
      </c>
      <c r="C26" s="6"/>
      <c r="G26" s="473">
        <f>SUM(G14:G23)-'[7]2002 to 2012'!$F$30-'[7]2002 to 2012'!$F$44-'[7]2002 to 2012'!$F$58-'[7]2002 to 2012'!$F$72-'[7]2002 to 2012'!$F$86-'[7]2002 to 2012'!$F$101-'[7]2002 to 2012'!$F$115-'[7]2002 to 2012'!$F$129-'[7]2002 to 2012'!$F$143-'[7]2002 to 2012'!$F$157</f>
        <v>0</v>
      </c>
    </row>
    <row r="28" spans="1:18" x14ac:dyDescent="0.2">
      <c r="A28" s="20" t="s">
        <v>13</v>
      </c>
      <c r="F28" s="53">
        <f>AVERAGE(F7:F23)</f>
        <v>1.0421039558470675</v>
      </c>
    </row>
    <row r="29" spans="1:18" x14ac:dyDescent="0.2">
      <c r="E29"/>
      <c r="F29"/>
      <c r="G29"/>
    </row>
    <row r="31" spans="1:18" x14ac:dyDescent="0.2">
      <c r="A31" s="23" t="s">
        <v>15</v>
      </c>
      <c r="B31" s="13"/>
      <c r="H31" s="28"/>
      <c r="I31" s="28"/>
      <c r="J31" s="28"/>
      <c r="K31" s="28"/>
      <c r="L31" s="28"/>
    </row>
    <row r="32" spans="1:18" x14ac:dyDescent="0.2">
      <c r="H32" s="28"/>
      <c r="I32" s="28"/>
      <c r="J32" s="28"/>
      <c r="K32" s="28"/>
      <c r="L32" s="28"/>
    </row>
    <row r="33" spans="1:13" x14ac:dyDescent="0.2">
      <c r="A33">
        <f t="shared" ref="A33:A51" si="4">A7</f>
        <v>1996</v>
      </c>
      <c r="H33" s="398"/>
      <c r="I33" s="398"/>
      <c r="J33" s="398"/>
      <c r="K33" s="398"/>
      <c r="L33" s="398"/>
      <c r="M33" s="398"/>
    </row>
    <row r="34" spans="1:13" x14ac:dyDescent="0.2">
      <c r="A34">
        <f t="shared" si="4"/>
        <v>1997</v>
      </c>
      <c r="H34" s="398"/>
      <c r="I34" s="398"/>
      <c r="J34" s="398"/>
      <c r="K34" s="398"/>
      <c r="L34" s="398"/>
      <c r="M34" s="398"/>
    </row>
    <row r="35" spans="1:13" x14ac:dyDescent="0.2">
      <c r="A35">
        <f t="shared" si="4"/>
        <v>1998</v>
      </c>
      <c r="H35" s="398"/>
      <c r="I35" s="398"/>
      <c r="J35" s="398"/>
      <c r="K35" s="398"/>
      <c r="L35" s="398"/>
      <c r="M35" s="398"/>
    </row>
    <row r="36" spans="1:13" x14ac:dyDescent="0.2">
      <c r="A36">
        <f t="shared" si="4"/>
        <v>1999</v>
      </c>
      <c r="H36" s="398"/>
      <c r="I36" s="398"/>
      <c r="J36" s="398"/>
      <c r="K36" s="398"/>
      <c r="L36" s="398"/>
      <c r="M36" s="398"/>
    </row>
    <row r="37" spans="1:13" x14ac:dyDescent="0.2">
      <c r="A37">
        <f t="shared" si="4"/>
        <v>2000</v>
      </c>
      <c r="H37" s="398"/>
      <c r="I37" s="398"/>
      <c r="J37" s="398"/>
      <c r="K37" s="398"/>
      <c r="L37" s="398"/>
      <c r="M37" s="398"/>
    </row>
    <row r="38" spans="1:13" x14ac:dyDescent="0.2">
      <c r="A38">
        <f t="shared" si="4"/>
        <v>2001</v>
      </c>
      <c r="H38" s="398"/>
      <c r="I38" s="398"/>
      <c r="J38" s="398"/>
      <c r="K38" s="398"/>
      <c r="L38" s="398"/>
      <c r="M38" s="398"/>
    </row>
    <row r="39" spans="1:13" x14ac:dyDescent="0.2">
      <c r="A39">
        <f t="shared" si="4"/>
        <v>2002</v>
      </c>
      <c r="D39" s="6"/>
      <c r="H39" s="398"/>
      <c r="I39" s="398"/>
      <c r="J39" s="398"/>
      <c r="K39" s="398"/>
      <c r="L39" s="398"/>
      <c r="M39" s="398"/>
    </row>
    <row r="40" spans="1:13" x14ac:dyDescent="0.2">
      <c r="A40">
        <f t="shared" si="4"/>
        <v>2003</v>
      </c>
      <c r="H40" s="28">
        <f>H14/'Rate Class Customer Model'!B10</f>
        <v>10505.752979436471</v>
      </c>
      <c r="I40" s="28">
        <f>I14/'Rate Class Customer Model'!C10</f>
        <v>28463.758536585367</v>
      </c>
      <c r="J40" s="28">
        <f>J14/'Rate Class Customer Model'!D10</f>
        <v>742518.16842105263</v>
      </c>
      <c r="K40" s="28">
        <f>K14/'Rate Class Customer Model'!G10</f>
        <v>555.82912214540124</v>
      </c>
      <c r="L40" s="28">
        <f>L14/'Rate Class Customer Model'!H10</f>
        <v>1345.1296296296296</v>
      </c>
      <c r="M40" s="28">
        <f>M14/'Rate Class Customer Model'!I10</f>
        <v>9080.4583333333339</v>
      </c>
    </row>
    <row r="41" spans="1:13" x14ac:dyDescent="0.2">
      <c r="A41">
        <f t="shared" si="4"/>
        <v>2004</v>
      </c>
      <c r="H41" s="28">
        <f>H15/'Rate Class Customer Model'!B11</f>
        <v>10190.178075228736</v>
      </c>
      <c r="I41" s="28">
        <f>I15/'Rate Class Customer Model'!C11</f>
        <v>27994.63325183374</v>
      </c>
      <c r="J41" s="28">
        <f>J15/'Rate Class Customer Model'!D11</f>
        <v>754760.71428571432</v>
      </c>
      <c r="K41" s="28">
        <f>K15/'Rate Class Customer Model'!G11</f>
        <v>567.77281191806333</v>
      </c>
      <c r="L41" s="28">
        <f>L15/'Rate Class Customer Model'!H11</f>
        <v>1880.7047619047619</v>
      </c>
      <c r="M41" s="28">
        <f>M15/'Rate Class Customer Model'!I11</f>
        <v>9080.4583333333339</v>
      </c>
    </row>
    <row r="42" spans="1:13" x14ac:dyDescent="0.2">
      <c r="A42">
        <f t="shared" si="4"/>
        <v>2005</v>
      </c>
      <c r="H42" s="28">
        <f>H16/'Rate Class Customer Model'!B12</f>
        <v>11102.308131939908</v>
      </c>
      <c r="I42" s="28">
        <f>I16/'Rate Class Customer Model'!C12</f>
        <v>28495.097520661158</v>
      </c>
      <c r="J42" s="28">
        <f>J16/'Rate Class Customer Model'!D12</f>
        <v>705219.27777777775</v>
      </c>
      <c r="K42" s="28">
        <f>K16/'Rate Class Customer Model'!G12</f>
        <v>600.54161640530765</v>
      </c>
      <c r="L42" s="28">
        <f>L16/'Rate Class Customer Model'!H12</f>
        <v>1522.5374999999999</v>
      </c>
      <c r="M42" s="28">
        <f>M16/'Rate Class Customer Model'!I12</f>
        <v>9080.4583333333339</v>
      </c>
    </row>
    <row r="43" spans="1:13" x14ac:dyDescent="0.2">
      <c r="A43">
        <f t="shared" si="4"/>
        <v>2006</v>
      </c>
      <c r="H43" s="28">
        <f>H17/'Rate Class Customer Model'!B13</f>
        <v>10207.687380497133</v>
      </c>
      <c r="I43" s="28">
        <f>I17/'Rate Class Customer Model'!C13</f>
        <v>25209.29776674938</v>
      </c>
      <c r="J43" s="28">
        <f>J17/'Rate Class Customer Model'!D13</f>
        <v>677407.79487179487</v>
      </c>
      <c r="K43" s="28">
        <f>K17/'Rate Class Customer Model'!G13</f>
        <v>644.53398617511516</v>
      </c>
      <c r="L43" s="28">
        <f>L17/'Rate Class Customer Model'!H13</f>
        <v>1607.9691878183717</v>
      </c>
      <c r="M43" s="28">
        <f>M17/'Rate Class Customer Model'!I13</f>
        <v>9080.4583333333339</v>
      </c>
    </row>
    <row r="44" spans="1:13" x14ac:dyDescent="0.2">
      <c r="A44">
        <f t="shared" si="4"/>
        <v>2007</v>
      </c>
      <c r="H44" s="28">
        <f>H18/'Rate Class Customer Model'!B14</f>
        <v>10196.131849315068</v>
      </c>
      <c r="I44" s="28">
        <f>I18/'Rate Class Customer Model'!C14</f>
        <v>28757.533717105263</v>
      </c>
      <c r="J44" s="28">
        <f>J18/'Rate Class Customer Model'!D14</f>
        <v>684216.48695652175</v>
      </c>
      <c r="K44" s="28">
        <f>K18/'Rate Class Customer Model'!G14</f>
        <v>558.00946547884189</v>
      </c>
      <c r="L44" s="28">
        <f>L18/'Rate Class Customer Model'!H14</f>
        <v>1328.6052631578948</v>
      </c>
      <c r="M44" s="28">
        <f>M18/'Rate Class Customer Model'!I14</f>
        <v>9475.2608695652179</v>
      </c>
    </row>
    <row r="45" spans="1:13" x14ac:dyDescent="0.2">
      <c r="A45">
        <f t="shared" si="4"/>
        <v>2008</v>
      </c>
      <c r="H45" s="28">
        <f>H19/'Rate Class Customer Model'!B15</f>
        <v>9785.6862882566056</v>
      </c>
      <c r="I45" s="28">
        <f>I19/'Rate Class Customer Model'!C15</f>
        <v>28608.279005142511</v>
      </c>
      <c r="J45" s="28">
        <f>J19/'Rate Class Customer Model'!D15</f>
        <v>647616.05276679632</v>
      </c>
      <c r="K45" s="28">
        <f>K19/'Rate Class Customer Model'!G15</f>
        <v>588.82261872065794</v>
      </c>
      <c r="L45" s="28">
        <f>L19/'Rate Class Customer Model'!H15</f>
        <v>920.22408865151669</v>
      </c>
      <c r="M45" s="28">
        <f>M19/'Rate Class Customer Model'!I15</f>
        <v>9603.5856985040427</v>
      </c>
    </row>
    <row r="46" spans="1:13" x14ac:dyDescent="0.2">
      <c r="A46">
        <f t="shared" si="4"/>
        <v>2009</v>
      </c>
      <c r="H46" s="28">
        <f>H20/'Rate Class Customer Model'!B16</f>
        <v>9719.4688044135473</v>
      </c>
      <c r="I46" s="28">
        <f>I20/'Rate Class Customer Model'!C16</f>
        <v>27389.327474991864</v>
      </c>
      <c r="J46" s="28">
        <f>J20/'Rate Class Customer Model'!D16</f>
        <v>616456.21037275461</v>
      </c>
      <c r="K46" s="28">
        <f>K20/'Rate Class Customer Model'!G16</f>
        <v>603.59785076209096</v>
      </c>
      <c r="L46" s="398"/>
      <c r="M46" s="28">
        <f>M20/'Rate Class Customer Model'!I16</f>
        <v>8949.492558290709</v>
      </c>
    </row>
    <row r="47" spans="1:13" x14ac:dyDescent="0.2">
      <c r="A47">
        <f t="shared" si="4"/>
        <v>2010</v>
      </c>
      <c r="H47" s="28">
        <f>H21/'Rate Class Customer Model'!B17</f>
        <v>10120.771067532742</v>
      </c>
      <c r="I47" s="28">
        <f>I21/'Rate Class Customer Model'!C17</f>
        <v>27287.14508935545</v>
      </c>
      <c r="J47" s="28">
        <f>J21/'Rate Class Customer Model'!D17</f>
        <v>633924.73385714972</v>
      </c>
      <c r="K47" s="28">
        <f>K21/'Rate Class Customer Model'!G17</f>
        <v>591.45738007628279</v>
      </c>
      <c r="L47" s="398"/>
      <c r="M47" s="28">
        <f>M21/'Rate Class Customer Model'!I17</f>
        <v>10882.355917525772</v>
      </c>
    </row>
    <row r="48" spans="1:13" x14ac:dyDescent="0.2">
      <c r="A48">
        <f t="shared" si="4"/>
        <v>2011</v>
      </c>
      <c r="H48" s="28">
        <f>H22/'Rate Class Customer Model'!B18</f>
        <v>10142.502874287427</v>
      </c>
      <c r="I48" s="28">
        <f>I22/'Rate Class Customer Model'!C18</f>
        <v>27460.254996009582</v>
      </c>
      <c r="J48" s="28">
        <f>J22/'Rate Class Customer Model'!D18</f>
        <v>682035.55305084749</v>
      </c>
      <c r="K48" s="28">
        <f>K22/'Rate Class Customer Model'!G18</f>
        <v>592.91803186022605</v>
      </c>
      <c r="L48" s="398"/>
      <c r="M48" s="28">
        <f>M22/'Rate Class Customer Model'!I18</f>
        <v>10790.846363636363</v>
      </c>
    </row>
    <row r="49" spans="1:23" x14ac:dyDescent="0.2">
      <c r="A49">
        <f t="shared" si="4"/>
        <v>2012</v>
      </c>
      <c r="H49" s="28">
        <f>H23/'Rate Class Customer Model'!B19</f>
        <v>9854.1634071575245</v>
      </c>
      <c r="I49" s="28">
        <f>I23/'Rate Class Customer Model'!C19</f>
        <v>28405.89282747604</v>
      </c>
      <c r="J49" s="28">
        <f>J23/'Rate Class Customer Model'!D19</f>
        <v>677114.53683760681</v>
      </c>
      <c r="K49" s="28">
        <f>K23/'Rate Class Customer Model'!G19</f>
        <v>596.9543355566957</v>
      </c>
      <c r="L49" s="398"/>
      <c r="M49" s="28">
        <f>M23/'Rate Class Customer Model'!I19</f>
        <v>10714.24</v>
      </c>
    </row>
    <row r="50" spans="1:23" x14ac:dyDescent="0.2">
      <c r="A50">
        <f t="shared" si="4"/>
        <v>2013</v>
      </c>
      <c r="H50" s="22">
        <f>H49*H71</f>
        <v>9784.3064317490716</v>
      </c>
      <c r="I50" s="22">
        <f>I49*I71</f>
        <v>28399.470570269747</v>
      </c>
      <c r="J50" s="22">
        <f>J49*J71</f>
        <v>670212.77099681308</v>
      </c>
      <c r="K50" s="22">
        <f>K49*K71</f>
        <v>601.70765189052668</v>
      </c>
      <c r="L50" s="398"/>
      <c r="M50" s="22">
        <f>M49*M71</f>
        <v>10913.023835588392</v>
      </c>
    </row>
    <row r="51" spans="1:23" x14ac:dyDescent="0.2">
      <c r="A51">
        <f t="shared" si="4"/>
        <v>2014</v>
      </c>
      <c r="B51" s="168"/>
      <c r="C51" s="168"/>
      <c r="D51" s="168"/>
      <c r="E51" s="168"/>
      <c r="F51" s="168"/>
      <c r="H51" s="22">
        <f>H50*H71</f>
        <v>9714.9446781886418</v>
      </c>
      <c r="I51" s="22">
        <f>I50*I71</f>
        <v>28393.049765064552</v>
      </c>
      <c r="J51" s="22">
        <f>J50*J71</f>
        <v>663381.35421682021</v>
      </c>
      <c r="K51" s="22">
        <f>K50*K71</f>
        <v>606.49881704264021</v>
      </c>
      <c r="L51" s="398"/>
      <c r="M51" s="22">
        <f>M50*M71</f>
        <v>11115.495754819791</v>
      </c>
    </row>
    <row r="53" spans="1:23" x14ac:dyDescent="0.2">
      <c r="A53" s="41">
        <v>1996</v>
      </c>
      <c r="H53" s="26"/>
    </row>
    <row r="54" spans="1:23" x14ac:dyDescent="0.2">
      <c r="A54" s="41">
        <v>1997</v>
      </c>
      <c r="H54" s="403"/>
      <c r="I54" s="403"/>
      <c r="J54" s="403"/>
      <c r="K54" s="403"/>
      <c r="L54" s="403"/>
      <c r="M54" s="398"/>
    </row>
    <row r="55" spans="1:23" x14ac:dyDescent="0.2">
      <c r="A55" s="41">
        <v>1998</v>
      </c>
      <c r="H55" s="403"/>
      <c r="I55" s="403"/>
      <c r="J55" s="403"/>
      <c r="K55" s="403"/>
      <c r="L55" s="403"/>
      <c r="M55" s="398"/>
    </row>
    <row r="56" spans="1:23" x14ac:dyDescent="0.2">
      <c r="A56" s="41">
        <v>1999</v>
      </c>
      <c r="D56" s="6"/>
      <c r="H56" s="403"/>
      <c r="I56" s="403"/>
      <c r="J56" s="403"/>
      <c r="K56" s="403"/>
      <c r="L56" s="403"/>
      <c r="M56" s="398"/>
    </row>
    <row r="57" spans="1:23" x14ac:dyDescent="0.2">
      <c r="A57" s="41">
        <v>2000</v>
      </c>
      <c r="D57" s="6"/>
      <c r="H57" s="403"/>
      <c r="I57" s="403"/>
      <c r="J57" s="403"/>
      <c r="K57" s="403"/>
      <c r="L57" s="403"/>
      <c r="M57" s="398"/>
    </row>
    <row r="58" spans="1:23" x14ac:dyDescent="0.2">
      <c r="A58" s="41">
        <v>2001</v>
      </c>
      <c r="D58" s="6"/>
      <c r="H58" s="403"/>
      <c r="I58" s="403"/>
      <c r="J58" s="403"/>
      <c r="K58" s="403"/>
      <c r="L58" s="403"/>
      <c r="M58" s="403"/>
      <c r="O58" s="70"/>
      <c r="P58" s="70"/>
      <c r="Q58" s="70"/>
      <c r="R58" s="70"/>
      <c r="S58" s="70"/>
      <c r="T58" s="70"/>
      <c r="U58" s="70"/>
      <c r="V58" s="70"/>
      <c r="W58" s="70"/>
    </row>
    <row r="59" spans="1:23" x14ac:dyDescent="0.2">
      <c r="A59" s="41">
        <v>2002</v>
      </c>
      <c r="D59" s="6"/>
      <c r="H59" s="403"/>
      <c r="I59" s="403"/>
      <c r="J59" s="403"/>
      <c r="K59" s="403"/>
      <c r="L59" s="403"/>
      <c r="M59" s="403"/>
      <c r="O59" s="70"/>
      <c r="P59" s="70"/>
      <c r="Q59" s="70"/>
      <c r="R59" s="70"/>
      <c r="S59" s="70"/>
      <c r="T59" s="70"/>
      <c r="U59" s="70"/>
      <c r="V59" s="70"/>
      <c r="W59" s="70"/>
    </row>
    <row r="60" spans="1:23" x14ac:dyDescent="0.2">
      <c r="A60" s="41">
        <v>2003</v>
      </c>
      <c r="D60" s="6"/>
      <c r="H60" s="403"/>
      <c r="I60" s="403"/>
      <c r="J60" s="403"/>
      <c r="K60" s="403"/>
      <c r="L60" s="403"/>
      <c r="M60" s="403"/>
      <c r="O60" s="70"/>
      <c r="P60" s="70"/>
      <c r="Q60" s="70"/>
      <c r="R60" s="70"/>
      <c r="S60" s="70"/>
      <c r="T60" s="70"/>
      <c r="U60" s="70"/>
      <c r="V60" s="70"/>
      <c r="W60" s="70"/>
    </row>
    <row r="61" spans="1:23" x14ac:dyDescent="0.2">
      <c r="A61" s="41">
        <v>2004</v>
      </c>
      <c r="D61" s="6"/>
      <c r="H61" s="26">
        <f t="shared" ref="H61:M61" si="5">H41/H40</f>
        <v>0.96996170528419734</v>
      </c>
      <c r="I61" s="26">
        <f t="shared" si="5"/>
        <v>0.98351850532498564</v>
      </c>
      <c r="J61" s="26">
        <f t="shared" si="5"/>
        <v>1.0164878738128322</v>
      </c>
      <c r="K61" s="26">
        <f t="shared" si="5"/>
        <v>1.0214880604430396</v>
      </c>
      <c r="L61" s="26">
        <f t="shared" si="5"/>
        <v>1.3981587502630497</v>
      </c>
      <c r="M61" s="26">
        <f t="shared" si="5"/>
        <v>1</v>
      </c>
      <c r="O61" s="70"/>
      <c r="P61" s="70"/>
      <c r="Q61" s="70"/>
      <c r="R61" s="70"/>
      <c r="S61" s="70"/>
      <c r="T61" s="70"/>
      <c r="U61" s="70"/>
      <c r="V61" s="70"/>
      <c r="W61" s="70">
        <f>SUM(H61:M61)-6</f>
        <v>0.38961489512810399</v>
      </c>
    </row>
    <row r="62" spans="1:23" x14ac:dyDescent="0.2">
      <c r="A62" s="41">
        <v>2005</v>
      </c>
      <c r="D62" s="6"/>
      <c r="H62" s="26">
        <f>H42/H41</f>
        <v>1.0895107082503754</v>
      </c>
      <c r="I62" s="26">
        <f t="shared" ref="I62:M65" si="6">I42/I41</f>
        <v>1.0178771503925537</v>
      </c>
      <c r="J62" s="26">
        <f t="shared" si="6"/>
        <v>0.93436140014942182</v>
      </c>
      <c r="K62" s="26">
        <f t="shared" si="6"/>
        <v>1.0577146418415915</v>
      </c>
      <c r="L62" s="26">
        <f t="shared" si="6"/>
        <v>0.80955689103375628</v>
      </c>
      <c r="M62" s="26">
        <f t="shared" si="6"/>
        <v>1</v>
      </c>
      <c r="O62" s="70"/>
      <c r="P62" s="70"/>
      <c r="Q62" s="70"/>
      <c r="R62" s="70"/>
      <c r="S62" s="70"/>
      <c r="T62" s="70"/>
      <c r="U62" s="70"/>
      <c r="V62" s="70"/>
      <c r="W62" s="70">
        <f t="shared" ref="W62:W65" si="7">SUM(H62:M62)-6</f>
        <v>-9.0979208332301553E-2</v>
      </c>
    </row>
    <row r="63" spans="1:23" x14ac:dyDescent="0.2">
      <c r="A63" s="41">
        <v>2006</v>
      </c>
      <c r="D63" s="6"/>
      <c r="H63" s="26">
        <f>H43/H42</f>
        <v>0.91942029163565853</v>
      </c>
      <c r="I63" s="26">
        <f t="shared" si="6"/>
        <v>0.88468894512365437</v>
      </c>
      <c r="J63" s="26">
        <f t="shared" si="6"/>
        <v>0.96056335414763494</v>
      </c>
      <c r="K63" s="26">
        <f t="shared" si="6"/>
        <v>1.0732544898938643</v>
      </c>
      <c r="L63" s="26">
        <f t="shared" si="6"/>
        <v>1.0561113849861641</v>
      </c>
      <c r="M63" s="26">
        <f t="shared" si="6"/>
        <v>1</v>
      </c>
      <c r="O63" s="70"/>
      <c r="P63" s="70"/>
      <c r="Q63" s="70"/>
      <c r="R63" s="70"/>
      <c r="S63" s="70"/>
      <c r="T63" s="70"/>
      <c r="U63" s="70"/>
      <c r="V63" s="70"/>
      <c r="W63" s="70">
        <f t="shared" si="7"/>
        <v>-0.10596153421302379</v>
      </c>
    </row>
    <row r="64" spans="1:23" x14ac:dyDescent="0.2">
      <c r="A64" s="41">
        <v>2007</v>
      </c>
      <c r="D64" s="6"/>
      <c r="H64" s="26">
        <f>H44/H43</f>
        <v>0.99886795796625372</v>
      </c>
      <c r="I64" s="26">
        <f t="shared" si="6"/>
        <v>1.1407510825246368</v>
      </c>
      <c r="J64" s="26">
        <f t="shared" si="6"/>
        <v>1.0100510979298896</v>
      </c>
      <c r="K64" s="26">
        <f t="shared" si="6"/>
        <v>0.86575646505510229</v>
      </c>
      <c r="L64" s="26">
        <f t="shared" si="6"/>
        <v>0.82626288689057115</v>
      </c>
      <c r="M64" s="26">
        <f t="shared" si="6"/>
        <v>1.0434782608695652</v>
      </c>
      <c r="O64" s="70"/>
      <c r="P64" s="70"/>
      <c r="Q64" s="70"/>
      <c r="R64" s="70"/>
      <c r="S64" s="70"/>
      <c r="T64" s="70"/>
      <c r="U64" s="70"/>
      <c r="V64" s="70"/>
      <c r="W64" s="70">
        <f t="shared" si="7"/>
        <v>-0.11483224876398079</v>
      </c>
    </row>
    <row r="65" spans="1:23" x14ac:dyDescent="0.2">
      <c r="A65" s="41">
        <v>2008</v>
      </c>
      <c r="D65" s="6"/>
      <c r="H65" s="26">
        <f>H45/H44</f>
        <v>0.95974497317960494</v>
      </c>
      <c r="I65" s="26">
        <f t="shared" si="6"/>
        <v>0.99480989178588797</v>
      </c>
      <c r="J65" s="26">
        <f t="shared" si="6"/>
        <v>0.94650752373341862</v>
      </c>
      <c r="K65" s="26">
        <f t="shared" si="6"/>
        <v>1.055219768029158</v>
      </c>
      <c r="L65" s="26">
        <f t="shared" si="6"/>
        <v>0.69262414817195783</v>
      </c>
      <c r="M65" s="26">
        <f t="shared" si="6"/>
        <v>1.0135431446907184</v>
      </c>
      <c r="O65" s="70"/>
      <c r="P65" s="70"/>
      <c r="Q65" s="70"/>
      <c r="R65" s="70"/>
      <c r="S65" s="70"/>
      <c r="T65" s="70"/>
      <c r="U65" s="70"/>
      <c r="V65" s="70"/>
      <c r="W65" s="70">
        <f t="shared" si="7"/>
        <v>-0.33755055040925441</v>
      </c>
    </row>
    <row r="66" spans="1:23" x14ac:dyDescent="0.2">
      <c r="A66" s="41">
        <v>2009</v>
      </c>
      <c r="D66" s="6"/>
      <c r="H66" s="26">
        <f t="shared" ref="H66:M66" si="8">H46/H45</f>
        <v>0.9932332304661633</v>
      </c>
      <c r="I66" s="26">
        <f t="shared" si="8"/>
        <v>0.95739165120937431</v>
      </c>
      <c r="J66" s="26">
        <f t="shared" si="8"/>
        <v>0.95188531497803652</v>
      </c>
      <c r="K66" s="26">
        <f t="shared" si="8"/>
        <v>1.0250928404780635</v>
      </c>
      <c r="L66" s="26">
        <f t="shared" si="8"/>
        <v>0</v>
      </c>
      <c r="M66" s="26">
        <f t="shared" si="8"/>
        <v>0.93189073740288253</v>
      </c>
      <c r="O66" s="70"/>
      <c r="P66" s="70"/>
      <c r="Q66" s="70"/>
      <c r="R66" s="70"/>
      <c r="S66" s="70"/>
      <c r="T66" s="70"/>
      <c r="U66" s="70"/>
      <c r="V66" s="70"/>
      <c r="W66" s="70">
        <f>SUM(H66:M66)-5</f>
        <v>-0.14050622546547942</v>
      </c>
    </row>
    <row r="67" spans="1:23" x14ac:dyDescent="0.2">
      <c r="A67" s="41">
        <v>2010</v>
      </c>
      <c r="D67" s="6"/>
      <c r="H67" s="26">
        <f t="shared" ref="H67:M68" si="9">H47/H46</f>
        <v>1.0412884974677798</v>
      </c>
      <c r="I67" s="26">
        <f t="shared" si="9"/>
        <v>0.99626926269987048</v>
      </c>
      <c r="J67" s="26">
        <f t="shared" si="9"/>
        <v>1.028337006247098</v>
      </c>
      <c r="K67" s="26">
        <f t="shared" si="9"/>
        <v>0.97988649119528859</v>
      </c>
      <c r="L67" s="26"/>
      <c r="M67" s="26">
        <f t="shared" si="9"/>
        <v>1.2159746317062949</v>
      </c>
      <c r="O67" s="70"/>
      <c r="P67" s="70"/>
      <c r="Q67" s="70"/>
      <c r="R67" s="70"/>
      <c r="S67" s="70"/>
      <c r="T67" s="70"/>
      <c r="U67" s="70"/>
      <c r="V67" s="70"/>
      <c r="W67" s="70">
        <f t="shared" ref="W67:W69" si="10">SUM(H67:M67)-5</f>
        <v>0.26175588931633165</v>
      </c>
    </row>
    <row r="68" spans="1:23" x14ac:dyDescent="0.2">
      <c r="A68" s="41">
        <v>2011</v>
      </c>
      <c r="D68" s="6"/>
      <c r="H68" s="26">
        <f t="shared" si="9"/>
        <v>1.00214724813057</v>
      </c>
      <c r="I68" s="26">
        <f t="shared" si="9"/>
        <v>1.0063440094625971</v>
      </c>
      <c r="J68" s="26">
        <f t="shared" si="9"/>
        <v>1.0758935826670855</v>
      </c>
      <c r="K68" s="26">
        <f t="shared" si="9"/>
        <v>1.0024695807900053</v>
      </c>
      <c r="L68" s="26"/>
      <c r="M68" s="26">
        <f t="shared" si="9"/>
        <v>0.99159101626679613</v>
      </c>
      <c r="O68" s="70"/>
      <c r="P68" s="70"/>
      <c r="Q68" s="70"/>
      <c r="R68" s="70"/>
      <c r="S68" s="70"/>
      <c r="T68" s="70"/>
      <c r="U68" s="70"/>
      <c r="V68" s="70"/>
      <c r="W68" s="70">
        <f t="shared" si="10"/>
        <v>7.8445437317054001E-2</v>
      </c>
    </row>
    <row r="69" spans="1:23" x14ac:dyDescent="0.2">
      <c r="A69" s="41">
        <v>2012</v>
      </c>
      <c r="B69" s="168"/>
      <c r="C69" s="168"/>
      <c r="D69" s="6"/>
      <c r="E69" s="168"/>
      <c r="F69" s="168"/>
      <c r="H69" s="26">
        <f>H49/H48</f>
        <v>0.9715711722536573</v>
      </c>
      <c r="I69" s="26">
        <f>I49/I48</f>
        <v>1.0344366005196919</v>
      </c>
      <c r="J69" s="26">
        <f>J49/J48</f>
        <v>0.99278480983692385</v>
      </c>
      <c r="K69" s="26">
        <f>K49/K48</f>
        <v>1.0068075239402083</v>
      </c>
      <c r="L69" s="26"/>
      <c r="M69" s="26">
        <f>M49/M48</f>
        <v>0.99290080119252588</v>
      </c>
      <c r="O69" s="70"/>
      <c r="P69" s="70"/>
      <c r="Q69" s="70"/>
      <c r="R69" s="70"/>
      <c r="S69" s="70"/>
      <c r="T69" s="70"/>
      <c r="U69" s="70"/>
      <c r="V69" s="70"/>
      <c r="W69" s="70">
        <f t="shared" si="10"/>
        <v>-1.499092256992185E-3</v>
      </c>
    </row>
    <row r="70" spans="1:23" x14ac:dyDescent="0.2">
      <c r="A70" s="3"/>
      <c r="D70" s="6"/>
      <c r="E70" s="6"/>
      <c r="F70" s="6"/>
    </row>
    <row r="71" spans="1:23" x14ac:dyDescent="0.2">
      <c r="A71" t="s">
        <v>17</v>
      </c>
      <c r="D71" s="6"/>
      <c r="H71" s="210">
        <f>H73</f>
        <v>0.9929109176982277</v>
      </c>
      <c r="I71" s="210">
        <f>I73</f>
        <v>0.99977391109495128</v>
      </c>
      <c r="J71" s="210">
        <f>J73</f>
        <v>0.98980709250014376</v>
      </c>
      <c r="K71" s="210">
        <f>K73</f>
        <v>1.0079626129683743</v>
      </c>
      <c r="L71" s="210"/>
      <c r="M71" s="210">
        <f>M73</f>
        <v>1.0185532371487285</v>
      </c>
    </row>
    <row r="72" spans="1:23" x14ac:dyDescent="0.2">
      <c r="A72" s="3"/>
      <c r="D72" s="6"/>
      <c r="H72" s="13"/>
      <c r="I72" s="13"/>
      <c r="K72" s="11"/>
      <c r="L72" s="11"/>
      <c r="M72" s="11"/>
    </row>
    <row r="73" spans="1:23" x14ac:dyDescent="0.2">
      <c r="A73" t="s">
        <v>14</v>
      </c>
      <c r="D73" s="6"/>
      <c r="H73" s="26">
        <f>GEOMEAN(H61:H69)</f>
        <v>0.9929109176982277</v>
      </c>
      <c r="I73" s="26">
        <f t="shared" ref="I73:K73" si="11">GEOMEAN(I61:I69)</f>
        <v>0.99977391109495128</v>
      </c>
      <c r="J73" s="26">
        <f t="shared" si="11"/>
        <v>0.98980709250014376</v>
      </c>
      <c r="K73" s="26">
        <f t="shared" si="11"/>
        <v>1.0079626129683743</v>
      </c>
      <c r="L73" s="26"/>
      <c r="M73" s="26">
        <f>GEOMEAN(M61:M69)</f>
        <v>1.0185532371487285</v>
      </c>
      <c r="O73" s="70"/>
      <c r="P73" s="70"/>
      <c r="Q73" s="70"/>
      <c r="R73" s="70"/>
      <c r="S73" s="70"/>
      <c r="T73" s="70"/>
      <c r="U73" s="70"/>
      <c r="V73" s="70"/>
      <c r="W73" s="70">
        <f t="shared" ref="W73" si="12">SUM(H73:M73)-5</f>
        <v>9.0077714104257467E-3</v>
      </c>
    </row>
    <row r="74" spans="1:23" x14ac:dyDescent="0.2">
      <c r="D74" s="6"/>
      <c r="H74" s="26"/>
      <c r="I74" s="26"/>
      <c r="J74" s="26"/>
      <c r="K74" s="26"/>
      <c r="L74" s="26"/>
      <c r="M74" s="26"/>
    </row>
    <row r="75" spans="1:23" x14ac:dyDescent="0.2">
      <c r="A75" s="20" t="s">
        <v>44</v>
      </c>
    </row>
    <row r="76" spans="1:23" x14ac:dyDescent="0.2">
      <c r="A76">
        <v>2013</v>
      </c>
      <c r="B76"/>
      <c r="C76"/>
      <c r="D76"/>
      <c r="G76" s="40">
        <f>SUM(H76:M76)</f>
        <v>185789601.58725438</v>
      </c>
      <c r="H76" s="40">
        <f>H50*'Rate Class Customer Model'!B20</f>
        <v>68149274.171685174</v>
      </c>
      <c r="I76" s="40">
        <f>I50*'Rate Class Customer Model'!C20</f>
        <v>35607664.530967675</v>
      </c>
      <c r="J76" s="40">
        <f>J50*'Rate Class Customer Model'!D20</f>
        <v>80589441.562272295</v>
      </c>
      <c r="K76" s="40">
        <f>K50*'Rate Class Customer Model'!G20</f>
        <v>1205214.7617062805</v>
      </c>
      <c r="L76" s="40"/>
      <c r="M76" s="40">
        <f>M50*'Rate Class Customer Model'!I20</f>
        <v>238006.56062295177</v>
      </c>
    </row>
    <row r="77" spans="1:23" x14ac:dyDescent="0.2">
      <c r="A77">
        <v>2014</v>
      </c>
      <c r="B77" s="168"/>
      <c r="C77" s="168"/>
      <c r="D77" s="168"/>
      <c r="E77" s="168"/>
      <c r="F77" s="168"/>
      <c r="G77" s="40">
        <f>SUM(H77:M77)</f>
        <v>188246744.09110054</v>
      </c>
      <c r="H77" s="40">
        <f>H51*'Rate Class Customer Model'!B21</f>
        <v>69126682.170419186</v>
      </c>
      <c r="I77" s="40">
        <f>I51*'Rate Class Customer Model'!C21</f>
        <v>35651204.416060172</v>
      </c>
      <c r="J77" s="40">
        <f>J51*'Rate Class Customer Model'!D21</f>
        <v>81980071.607462585</v>
      </c>
      <c r="K77" s="40">
        <f>K51*'Rate Class Customer Model'!G21</f>
        <v>1248463.7443313473</v>
      </c>
      <c r="L77" s="40"/>
      <c r="M77" s="40">
        <f>M51*'Rate Class Customer Model'!I21</f>
        <v>240322.1528272265</v>
      </c>
    </row>
    <row r="78" spans="1:23" x14ac:dyDescent="0.2">
      <c r="G78" s="40"/>
      <c r="H78" s="40"/>
      <c r="I78" s="40"/>
      <c r="J78" s="40"/>
      <c r="K78" s="40"/>
      <c r="L78" s="40"/>
      <c r="M78" s="40"/>
    </row>
    <row r="79" spans="1:23" x14ac:dyDescent="0.2">
      <c r="A79" s="20" t="s">
        <v>43</v>
      </c>
      <c r="G79" s="40"/>
      <c r="H79" s="40"/>
      <c r="I79" s="40"/>
      <c r="J79" s="40"/>
      <c r="K79" s="40"/>
      <c r="L79" s="40"/>
      <c r="N79" s="40" t="s">
        <v>16</v>
      </c>
    </row>
    <row r="80" spans="1:23" x14ac:dyDescent="0.2">
      <c r="A80">
        <v>2013</v>
      </c>
      <c r="G80" s="57">
        <f>G24</f>
        <v>181448204.70642552</v>
      </c>
      <c r="H80" s="40">
        <f t="shared" ref="H80:M81" si="13">H76+H89+H93</f>
        <v>66370992.168057308</v>
      </c>
      <c r="I80" s="40">
        <f t="shared" si="13"/>
        <v>34202817.728189833</v>
      </c>
      <c r="J80" s="40">
        <f t="shared" si="13"/>
        <v>78696780.987849146</v>
      </c>
      <c r="K80" s="40">
        <f t="shared" si="13"/>
        <v>1205214.7617062805</v>
      </c>
      <c r="L80" s="40"/>
      <c r="M80" s="40">
        <f t="shared" si="13"/>
        <v>238006.56062295177</v>
      </c>
      <c r="N80" s="40">
        <f>SUM(H80:M80)</f>
        <v>180713812.20642555</v>
      </c>
      <c r="O80" s="40">
        <f>N80-G80</f>
        <v>-734392.4999999702</v>
      </c>
      <c r="P80" s="602">
        <f>O80-G93</f>
        <v>2.9802322387695313E-8</v>
      </c>
    </row>
    <row r="81" spans="1:18" x14ac:dyDescent="0.2">
      <c r="A81">
        <v>2014</v>
      </c>
      <c r="B81" s="168"/>
      <c r="C81" s="168"/>
      <c r="D81" s="168"/>
      <c r="E81" s="168"/>
      <c r="F81" s="168"/>
      <c r="G81" s="57">
        <f>G25</f>
        <v>185400655.99100351</v>
      </c>
      <c r="H81" s="40">
        <f t="shared" si="13"/>
        <v>67875318.610012323</v>
      </c>
      <c r="I81" s="530">
        <f>I77+I90+I94+I100</f>
        <v>37894181.682895608</v>
      </c>
      <c r="J81" s="530">
        <f>J77+J90+J94+J100</f>
        <v>80718463.986403674</v>
      </c>
      <c r="K81" s="40">
        <f t="shared" si="13"/>
        <v>1248463.7443313473</v>
      </c>
      <c r="L81" s="40"/>
      <c r="M81" s="40">
        <f t="shared" si="13"/>
        <v>240322.1528272265</v>
      </c>
      <c r="N81" s="40">
        <f>SUM(H81:M81)</f>
        <v>187976750.17647019</v>
      </c>
      <c r="O81" s="40">
        <f>N81-G81</f>
        <v>2576094.185466677</v>
      </c>
      <c r="P81" s="602">
        <f>O81-G94-G100</f>
        <v>1.1175870895385742E-8</v>
      </c>
    </row>
    <row r="82" spans="1:18" x14ac:dyDescent="0.2">
      <c r="B82" s="168"/>
      <c r="C82" s="168"/>
      <c r="D82" s="168"/>
      <c r="E82" s="168"/>
      <c r="F82" s="168"/>
      <c r="G82" s="57"/>
      <c r="H82" s="40"/>
      <c r="I82" s="40"/>
      <c r="J82" s="40"/>
      <c r="K82" s="40"/>
      <c r="L82" s="40"/>
      <c r="M82" s="40"/>
      <c r="N82" s="40"/>
      <c r="O82" s="40"/>
    </row>
    <row r="83" spans="1:18" ht="15" x14ac:dyDescent="0.2">
      <c r="G83" s="40"/>
      <c r="H83" s="671" t="s">
        <v>338</v>
      </c>
      <c r="I83" s="672"/>
      <c r="J83" s="672"/>
      <c r="K83" s="672"/>
      <c r="L83" s="672"/>
      <c r="M83" s="673"/>
      <c r="N83" s="40"/>
    </row>
    <row r="84" spans="1:18" ht="15" x14ac:dyDescent="0.25">
      <c r="A84" s="52" t="s">
        <v>45</v>
      </c>
      <c r="G84" s="40"/>
      <c r="H84" s="441">
        <f>(100%+J84)/2</f>
        <v>0.88178909296841312</v>
      </c>
      <c r="I84" s="441">
        <f>H84</f>
        <v>0.88178909296841312</v>
      </c>
      <c r="J84" s="440">
        <f>[8]ALL!$H$2</f>
        <v>0.76357818593682636</v>
      </c>
      <c r="K84" s="58"/>
      <c r="L84" s="58"/>
      <c r="M84" s="58"/>
      <c r="N84" s="40" t="s">
        <v>16</v>
      </c>
    </row>
    <row r="85" spans="1:18" x14ac:dyDescent="0.2">
      <c r="A85">
        <v>2013</v>
      </c>
      <c r="G85" s="40">
        <f>G80-G76</f>
        <v>-4341396.8808288574</v>
      </c>
      <c r="H85" s="40">
        <f t="shared" ref="H85:M85" si="14">H76*H84</f>
        <v>60093286.658305973</v>
      </c>
      <c r="I85" s="40">
        <f t="shared" si="14"/>
        <v>31398450.209485523</v>
      </c>
      <c r="J85" s="40">
        <f t="shared" si="14"/>
        <v>61536339.593781754</v>
      </c>
      <c r="K85" s="40">
        <f t="shared" si="14"/>
        <v>0</v>
      </c>
      <c r="L85" s="40"/>
      <c r="M85" s="40">
        <f t="shared" si="14"/>
        <v>0</v>
      </c>
      <c r="N85" s="40">
        <f>SUM(H85:M85)</f>
        <v>153028076.46157324</v>
      </c>
    </row>
    <row r="86" spans="1:18" x14ac:dyDescent="0.2">
      <c r="A86">
        <v>2014</v>
      </c>
      <c r="B86" s="168"/>
      <c r="C86" s="168"/>
      <c r="D86" s="168"/>
      <c r="E86" s="168"/>
      <c r="F86" s="168"/>
      <c r="G86" s="40">
        <f>G81-G77</f>
        <v>-2846088.1000970304</v>
      </c>
      <c r="H86" s="40">
        <f>H77*H84</f>
        <v>60955154.370969713</v>
      </c>
      <c r="I86" s="40">
        <f>I77*I84</f>
        <v>31436843.205269184</v>
      </c>
      <c r="J86" s="40">
        <f>J77*J84</f>
        <v>62598194.360997409</v>
      </c>
      <c r="K86" s="40">
        <f>K77*K84</f>
        <v>0</v>
      </c>
      <c r="L86" s="40"/>
      <c r="M86" s="40">
        <f>M77*M84</f>
        <v>0</v>
      </c>
      <c r="N86" s="40">
        <f>SUM(H86:M86)</f>
        <v>154990191.93723631</v>
      </c>
    </row>
    <row r="87" spans="1:18" ht="12" customHeight="1" x14ac:dyDescent="0.2">
      <c r="G87" s="40"/>
      <c r="H87" s="40"/>
      <c r="I87" s="40"/>
      <c r="J87" s="40"/>
      <c r="K87" s="40"/>
      <c r="L87" s="40"/>
      <c r="N87" s="40"/>
    </row>
    <row r="88" spans="1:18" x14ac:dyDescent="0.2">
      <c r="A88" t="s">
        <v>46</v>
      </c>
      <c r="G88" s="40"/>
      <c r="H88" s="40"/>
      <c r="I88" s="40"/>
      <c r="J88" s="40"/>
      <c r="K88" s="40"/>
      <c r="L88" s="40"/>
      <c r="N88" s="40"/>
    </row>
    <row r="89" spans="1:18" x14ac:dyDescent="0.2">
      <c r="A89">
        <v>2013</v>
      </c>
      <c r="B89"/>
      <c r="C89"/>
      <c r="D89"/>
      <c r="E89"/>
      <c r="H89" s="40">
        <f t="shared" ref="H89:M89" si="15">H85/$N$85*$G$85</f>
        <v>-1704842.7536278646</v>
      </c>
      <c r="I89" s="40">
        <f t="shared" si="15"/>
        <v>-890772.05277784506</v>
      </c>
      <c r="J89" s="40">
        <f t="shared" si="15"/>
        <v>-1745782.0744231478</v>
      </c>
      <c r="K89" s="40">
        <f t="shared" si="15"/>
        <v>0</v>
      </c>
      <c r="L89" s="40"/>
      <c r="M89" s="40">
        <f t="shared" si="15"/>
        <v>0</v>
      </c>
      <c r="N89" s="40">
        <f>SUM(H89:M89)</f>
        <v>-4341396.8808288574</v>
      </c>
    </row>
    <row r="90" spans="1:18" x14ac:dyDescent="0.2">
      <c r="A90">
        <v>2014</v>
      </c>
      <c r="B90" s="168"/>
      <c r="C90" s="168"/>
      <c r="D90" s="168"/>
      <c r="E90" s="168"/>
      <c r="F90" s="168"/>
      <c r="H90" s="40">
        <f t="shared" ref="H90:M90" si="16">H86/$N$86*$G$86</f>
        <v>-1119320.760406872</v>
      </c>
      <c r="I90" s="40">
        <f t="shared" si="16"/>
        <v>-577275.40196456271</v>
      </c>
      <c r="J90" s="40">
        <f t="shared" si="16"/>
        <v>-1149491.9377255957</v>
      </c>
      <c r="K90" s="40">
        <f t="shared" si="16"/>
        <v>0</v>
      </c>
      <c r="L90" s="40"/>
      <c r="M90" s="40">
        <f t="shared" si="16"/>
        <v>0</v>
      </c>
      <c r="N90" s="40">
        <f>SUM(H90:M90)</f>
        <v>-2846088.1000970304</v>
      </c>
    </row>
    <row r="91" spans="1:18" ht="13.5" thickBot="1" x14ac:dyDescent="0.25"/>
    <row r="92" spans="1:18" ht="13.5" thickBot="1" x14ac:dyDescent="0.25">
      <c r="A92" t="s">
        <v>104</v>
      </c>
      <c r="D92" s="524" t="s">
        <v>373</v>
      </c>
      <c r="E92" s="524" t="s">
        <v>374</v>
      </c>
      <c r="G92" s="668" t="s">
        <v>372</v>
      </c>
      <c r="H92" s="669"/>
      <c r="I92" s="669"/>
      <c r="J92" s="669"/>
      <c r="K92" s="669"/>
      <c r="L92" s="669"/>
      <c r="M92" s="669"/>
      <c r="N92" s="670"/>
      <c r="R92"/>
    </row>
    <row r="93" spans="1:18" ht="15" x14ac:dyDescent="0.25">
      <c r="A93">
        <v>2013</v>
      </c>
      <c r="D93" s="527"/>
      <c r="E93" s="343">
        <f>-'DATA-CDM'!S43</f>
        <v>-734392.5</v>
      </c>
      <c r="F93" s="40"/>
      <c r="G93" s="526">
        <f>E93</f>
        <v>-734392.5</v>
      </c>
      <c r="H93" s="40">
        <f>$G93*H96</f>
        <v>-73439.25</v>
      </c>
      <c r="I93" s="40">
        <f t="shared" ref="I93:M93" si="17">$G93*I96</f>
        <v>-514074.74999999994</v>
      </c>
      <c r="J93" s="40">
        <f t="shared" si="17"/>
        <v>-146878.5</v>
      </c>
      <c r="K93" s="40">
        <f t="shared" si="17"/>
        <v>0</v>
      </c>
      <c r="L93" s="40">
        <f t="shared" si="17"/>
        <v>0</v>
      </c>
      <c r="M93" s="40">
        <f t="shared" si="17"/>
        <v>0</v>
      </c>
      <c r="N93" s="40">
        <f>SUM(H93:M93)</f>
        <v>-734392.5</v>
      </c>
      <c r="R93"/>
    </row>
    <row r="94" spans="1:18" ht="15" x14ac:dyDescent="0.25">
      <c r="A94">
        <v>2014</v>
      </c>
      <c r="D94" s="527"/>
      <c r="E94" s="343">
        <f>-'DATA-CDM'!T43</f>
        <v>-1320428</v>
      </c>
      <c r="G94" s="526">
        <f>E94</f>
        <v>-1320428</v>
      </c>
      <c r="H94" s="40">
        <f>$G94*H96</f>
        <v>-132042.80000000002</v>
      </c>
      <c r="I94" s="40">
        <f t="shared" ref="I94:M94" si="18">$G94*I96</f>
        <v>-924299.6</v>
      </c>
      <c r="J94" s="40">
        <f t="shared" si="18"/>
        <v>-264085.60000000003</v>
      </c>
      <c r="K94" s="40">
        <f t="shared" si="18"/>
        <v>0</v>
      </c>
      <c r="L94" s="40">
        <f t="shared" si="18"/>
        <v>0</v>
      </c>
      <c r="M94" s="40">
        <f t="shared" si="18"/>
        <v>0</v>
      </c>
      <c r="N94" s="40">
        <f>SUM(H94:M94)</f>
        <v>-1320428</v>
      </c>
      <c r="R94"/>
    </row>
    <row r="96" spans="1:18" ht="15" x14ac:dyDescent="0.25">
      <c r="G96" s="478" t="s">
        <v>362</v>
      </c>
      <c r="H96" s="440">
        <v>0.1</v>
      </c>
      <c r="I96" s="440">
        <v>0.7</v>
      </c>
      <c r="J96" s="440">
        <v>0.2</v>
      </c>
      <c r="K96" s="398"/>
      <c r="L96" s="398"/>
      <c r="M96" s="398"/>
      <c r="N96" s="477">
        <f>SUM(H96:M96)</f>
        <v>1</v>
      </c>
    </row>
    <row r="98" spans="1:14" ht="13.5" thickBot="1" x14ac:dyDescent="0.25">
      <c r="E98" s="571" t="s">
        <v>205</v>
      </c>
    </row>
    <row r="99" spans="1:14" ht="13.5" thickBot="1" x14ac:dyDescent="0.25">
      <c r="A99" s="528" t="s">
        <v>379</v>
      </c>
      <c r="G99" s="668" t="s">
        <v>376</v>
      </c>
      <c r="H99" s="669"/>
      <c r="I99" s="669"/>
      <c r="J99" s="669"/>
      <c r="K99" s="669"/>
      <c r="L99" s="669"/>
      <c r="M99" s="669"/>
      <c r="N99" s="670"/>
    </row>
    <row r="100" spans="1:14" ht="15" x14ac:dyDescent="0.25">
      <c r="A100">
        <v>2014</v>
      </c>
      <c r="F100" s="529" t="s">
        <v>140</v>
      </c>
      <c r="G100" s="526">
        <f>SUM('DATA-New Outlet Mall 2014'!B19:C19)</f>
        <v>3896522.1854666658</v>
      </c>
      <c r="H100" s="398"/>
      <c r="I100" s="530">
        <f>'DATA-New Outlet Mall 2014'!B19</f>
        <v>3744552.2687999993</v>
      </c>
      <c r="J100" s="530">
        <f>'DATA-New Outlet Mall 2014'!C19</f>
        <v>151969.91666666672</v>
      </c>
      <c r="K100" s="398"/>
      <c r="L100" s="398"/>
      <c r="M100" s="398"/>
      <c r="N100" s="40">
        <f>SUM(H100:M100)</f>
        <v>3896522.1854666658</v>
      </c>
    </row>
  </sheetData>
  <mergeCells count="4">
    <mergeCell ref="H6:M6"/>
    <mergeCell ref="G92:N92"/>
    <mergeCell ref="H83:M83"/>
    <mergeCell ref="G99:N99"/>
  </mergeCells>
  <phoneticPr fontId="0" type="noConversion"/>
  <printOptions headings="1" gridLines="1"/>
  <pageMargins left="0.38" right="0.75" top="0.73" bottom="0.74" header="0.5" footer="0.5"/>
  <pageSetup scale="37" orientation="landscape" r:id="rId1"/>
  <headerFooter alignWithMargins="0">
    <oddHeader>&amp;L&amp;Z&amp;F&amp;A</oddHeader>
    <oddFooter>&amp;L&amp;D&amp;T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98"/>
  <sheetViews>
    <sheetView zoomScale="75" zoomScaleNormal="75" workbookViewId="0">
      <selection activeCell="I56" sqref="I56"/>
    </sheetView>
  </sheetViews>
  <sheetFormatPr defaultRowHeight="12.75" x14ac:dyDescent="0.2"/>
  <cols>
    <col min="1" max="1" width="33.5703125" bestFit="1" customWidth="1"/>
    <col min="2" max="2" width="15" style="6" customWidth="1"/>
    <col min="3" max="4" width="14.140625" style="6" bestFit="1" customWidth="1"/>
    <col min="5" max="6" width="14.140625" style="6" hidden="1" customWidth="1"/>
    <col min="7" max="7" width="17.5703125" style="6" customWidth="1"/>
    <col min="8" max="9" width="12.5703125" style="6" customWidth="1"/>
    <col min="10" max="11" width="12.7109375" style="6" bestFit="1" customWidth="1"/>
    <col min="12" max="12" width="10.140625" style="6" bestFit="1" customWidth="1"/>
    <col min="13" max="15" width="11.7109375" style="6" customWidth="1"/>
    <col min="16" max="17" width="11.7109375" customWidth="1"/>
    <col min="18" max="18" width="11.7109375" bestFit="1" customWidth="1"/>
  </cols>
  <sheetData>
    <row r="1" spans="1:26" ht="13.5" thickBot="1" x14ac:dyDescent="0.25">
      <c r="B1" s="665" t="s">
        <v>300</v>
      </c>
      <c r="C1" s="666"/>
      <c r="D1" s="666"/>
      <c r="E1" s="666"/>
      <c r="F1" s="666"/>
      <c r="G1" s="666"/>
      <c r="H1" s="666"/>
      <c r="I1" s="666"/>
      <c r="J1" s="667"/>
    </row>
    <row r="2" spans="1:26" ht="42" customHeight="1" x14ac:dyDescent="0.2">
      <c r="B2" s="9" t="str">
        <f>'Rate Class Energy Model'!H2</f>
        <v xml:space="preserve">Residential </v>
      </c>
      <c r="C2" s="9" t="str">
        <f>'Rate Class Energy Model'!I2</f>
        <v>General Service
&lt; 50 kW</v>
      </c>
      <c r="D2" s="9" t="str">
        <f>'Rate Class Energy Model'!J2</f>
        <v>General Service
&gt; 50 kW</v>
      </c>
      <c r="E2" s="9" t="e">
        <f>'Rate Class Energy Model'!#REF!</f>
        <v>#REF!</v>
      </c>
      <c r="F2" s="9" t="e">
        <f>'Rate Class Energy Model'!#REF!</f>
        <v>#REF!</v>
      </c>
      <c r="G2" s="9" t="str">
        <f>'Rate Class Energy Model'!K2</f>
        <v xml:space="preserve">Streetlights </v>
      </c>
      <c r="H2" s="9" t="str">
        <f>'Rate Class Energy Model'!L2</f>
        <v>Sentinel Lights</v>
      </c>
      <c r="I2" s="9" t="str">
        <f>'Rate Class Energy Model'!M2</f>
        <v xml:space="preserve">Unmetered Loads </v>
      </c>
      <c r="J2" s="6" t="s">
        <v>9</v>
      </c>
      <c r="L2" s="362"/>
      <c r="M2" s="363" t="s">
        <v>94</v>
      </c>
      <c r="N2" s="363" t="s">
        <v>95</v>
      </c>
      <c r="O2" s="363" t="s">
        <v>96</v>
      </c>
      <c r="P2" s="364" t="s">
        <v>97</v>
      </c>
      <c r="Q2" s="365" t="s">
        <v>99</v>
      </c>
    </row>
    <row r="3" spans="1:26" x14ac:dyDescent="0.2">
      <c r="A3" s="4">
        <v>1996</v>
      </c>
      <c r="B3" s="344"/>
      <c r="C3" s="344"/>
      <c r="D3" s="344"/>
      <c r="E3" s="344"/>
      <c r="F3" s="344"/>
      <c r="G3" s="344"/>
      <c r="H3" s="344"/>
      <c r="I3" s="344"/>
      <c r="J3" s="345"/>
      <c r="L3" s="362"/>
      <c r="M3" s="362"/>
      <c r="N3" s="362"/>
      <c r="O3" s="362"/>
      <c r="P3" s="366"/>
      <c r="Q3" s="366"/>
    </row>
    <row r="4" spans="1:26" x14ac:dyDescent="0.2">
      <c r="A4" s="4">
        <v>1997</v>
      </c>
      <c r="B4" s="344"/>
      <c r="C4" s="344"/>
      <c r="D4" s="344"/>
      <c r="E4" s="344"/>
      <c r="F4" s="344"/>
      <c r="G4" s="344"/>
      <c r="H4" s="344"/>
      <c r="I4" s="344"/>
      <c r="J4" s="345"/>
      <c r="L4" s="362"/>
      <c r="M4" s="362"/>
      <c r="N4" s="362"/>
      <c r="O4" s="362"/>
      <c r="P4" s="366"/>
      <c r="Q4" s="366"/>
    </row>
    <row r="5" spans="1:26" x14ac:dyDescent="0.2">
      <c r="A5" s="4">
        <v>1998</v>
      </c>
      <c r="B5" s="344"/>
      <c r="C5" s="344"/>
      <c r="D5" s="349" t="s">
        <v>290</v>
      </c>
      <c r="E5" s="344"/>
      <c r="F5" s="344"/>
      <c r="G5" s="344"/>
      <c r="H5" s="344"/>
      <c r="I5" s="344"/>
      <c r="J5" s="345"/>
      <c r="L5" s="362"/>
      <c r="M5" s="362"/>
      <c r="N5" s="362"/>
      <c r="O5" s="362"/>
      <c r="P5" s="366"/>
      <c r="Q5" s="366"/>
    </row>
    <row r="6" spans="1:26" x14ac:dyDescent="0.2">
      <c r="A6" s="4">
        <v>1999</v>
      </c>
      <c r="B6" s="344"/>
      <c r="C6" s="344"/>
      <c r="D6" s="344"/>
      <c r="E6" s="344"/>
      <c r="F6" s="344"/>
      <c r="G6" s="344"/>
      <c r="H6" s="344"/>
      <c r="I6" s="344"/>
      <c r="J6" s="345"/>
      <c r="L6" s="362"/>
      <c r="M6" s="362"/>
      <c r="N6" s="362"/>
      <c r="O6" s="362"/>
      <c r="P6" s="366"/>
      <c r="Q6" s="366"/>
    </row>
    <row r="7" spans="1:26" x14ac:dyDescent="0.2">
      <c r="A7" s="4">
        <v>2000</v>
      </c>
      <c r="B7" s="345"/>
      <c r="C7" s="345"/>
      <c r="D7" s="345"/>
      <c r="E7" s="345"/>
      <c r="F7" s="345"/>
      <c r="G7" s="345"/>
      <c r="H7" s="345"/>
      <c r="I7" s="345"/>
      <c r="J7" s="345"/>
      <c r="L7" s="362"/>
      <c r="M7" s="362"/>
      <c r="N7" s="362"/>
      <c r="O7" s="362"/>
      <c r="P7" s="366"/>
      <c r="Q7" s="366"/>
    </row>
    <row r="8" spans="1:26" x14ac:dyDescent="0.2">
      <c r="A8" s="4">
        <v>2001</v>
      </c>
      <c r="B8" s="344"/>
      <c r="C8" s="344"/>
      <c r="D8" s="344"/>
      <c r="E8" s="344"/>
      <c r="F8" s="344"/>
      <c r="G8" s="344"/>
      <c r="H8" s="344"/>
      <c r="I8" s="344"/>
      <c r="J8" s="345"/>
      <c r="L8" s="362"/>
      <c r="M8" s="367" t="s">
        <v>289</v>
      </c>
      <c r="N8" s="362"/>
      <c r="O8" s="362"/>
      <c r="P8" s="366"/>
      <c r="Q8" s="366"/>
    </row>
    <row r="9" spans="1:26" ht="15" x14ac:dyDescent="0.25">
      <c r="A9" s="4">
        <v>2002</v>
      </c>
      <c r="B9" s="311">
        <f>'DATA-Customers'!L58</f>
        <v>5507</v>
      </c>
      <c r="C9" s="311">
        <f>'DATA-Customers'!L78</f>
        <v>1234</v>
      </c>
      <c r="D9" s="311">
        <f>'DATA-Customers'!L98</f>
        <v>89</v>
      </c>
      <c r="E9" s="344"/>
      <c r="F9" s="344"/>
      <c r="G9" s="311">
        <f>'DATA-Customers'!L219</f>
        <v>1483</v>
      </c>
      <c r="H9" s="311">
        <f>'DATA-Customers'!L$239</f>
        <v>110</v>
      </c>
      <c r="I9" s="311">
        <f>'DATA-Customers'!L199</f>
        <v>24</v>
      </c>
      <c r="J9" s="42">
        <f t="shared" ref="J9:J21" si="0">SUM(B9:I9)</f>
        <v>8447</v>
      </c>
      <c r="L9" s="368">
        <v>2002</v>
      </c>
      <c r="M9" s="362">
        <v>5507</v>
      </c>
      <c r="N9" s="362">
        <v>1234</v>
      </c>
      <c r="O9" s="362">
        <v>89</v>
      </c>
      <c r="P9" s="366">
        <v>1483</v>
      </c>
      <c r="Q9" s="366">
        <v>24</v>
      </c>
    </row>
    <row r="10" spans="1:26" ht="15" x14ac:dyDescent="0.25">
      <c r="A10" s="4">
        <v>2003</v>
      </c>
      <c r="B10" s="311">
        <f>'DATA-Customers'!M58</f>
        <v>5661</v>
      </c>
      <c r="C10" s="311">
        <f>'DATA-Customers'!M78</f>
        <v>1230</v>
      </c>
      <c r="D10" s="311">
        <f>'DATA-Customers'!M98</f>
        <v>95</v>
      </c>
      <c r="E10" s="344"/>
      <c r="F10" s="344"/>
      <c r="G10" s="311">
        <f>'DATA-Customers'!M219</f>
        <v>1591</v>
      </c>
      <c r="H10" s="311">
        <f>'DATA-Customers'!M$239</f>
        <v>108</v>
      </c>
      <c r="I10" s="311">
        <f>'DATA-Customers'!M199</f>
        <v>24</v>
      </c>
      <c r="J10" s="42">
        <f t="shared" si="0"/>
        <v>8709</v>
      </c>
      <c r="L10" s="368">
        <v>2003</v>
      </c>
      <c r="M10" s="362">
        <v>5661</v>
      </c>
      <c r="N10" s="362">
        <v>1230</v>
      </c>
      <c r="O10" s="362">
        <v>95</v>
      </c>
      <c r="P10" s="366">
        <v>1591</v>
      </c>
      <c r="Q10" s="366">
        <v>24</v>
      </c>
    </row>
    <row r="11" spans="1:26" ht="15" x14ac:dyDescent="0.25">
      <c r="A11" s="4">
        <v>2004</v>
      </c>
      <c r="B11" s="311">
        <f>'DATA-Customers'!N58</f>
        <v>5902</v>
      </c>
      <c r="C11" s="311">
        <f>'DATA-Customers'!N78</f>
        <v>1227</v>
      </c>
      <c r="D11" s="311">
        <f>'DATA-Customers'!N98</f>
        <v>98</v>
      </c>
      <c r="E11" s="344"/>
      <c r="F11" s="344"/>
      <c r="G11" s="311">
        <f>'DATA-Customers'!N219</f>
        <v>1611</v>
      </c>
      <c r="H11" s="311">
        <f>'DATA-Customers'!N$239</f>
        <v>105</v>
      </c>
      <c r="I11" s="311">
        <f>'DATA-Customers'!N199</f>
        <v>24</v>
      </c>
      <c r="J11" s="42">
        <f t="shared" si="0"/>
        <v>8967</v>
      </c>
      <c r="L11" s="368">
        <v>2004</v>
      </c>
      <c r="M11" s="362">
        <v>5902</v>
      </c>
      <c r="N11" s="362">
        <v>1227</v>
      </c>
      <c r="O11" s="362">
        <v>98</v>
      </c>
      <c r="P11" s="366">
        <v>1611</v>
      </c>
      <c r="Q11" s="366">
        <v>24</v>
      </c>
    </row>
    <row r="12" spans="1:26" ht="15" x14ac:dyDescent="0.25">
      <c r="A12" s="4">
        <v>2005</v>
      </c>
      <c r="B12" s="311">
        <f>'DATA-Customers'!O58</f>
        <v>6124</v>
      </c>
      <c r="C12" s="311">
        <f>'DATA-Customers'!O78</f>
        <v>1210</v>
      </c>
      <c r="D12" s="311">
        <f>'DATA-Customers'!O98</f>
        <v>108</v>
      </c>
      <c r="E12" s="344"/>
      <c r="F12" s="344"/>
      <c r="G12" s="311">
        <f>'DATA-Customers'!O219</f>
        <v>1658</v>
      </c>
      <c r="H12" s="311">
        <f>'DATA-Customers'!O$239</f>
        <v>80</v>
      </c>
      <c r="I12" s="311">
        <f>'DATA-Customers'!O199</f>
        <v>24</v>
      </c>
      <c r="J12" s="42">
        <f t="shared" si="0"/>
        <v>9204</v>
      </c>
      <c r="L12" s="368">
        <v>2005</v>
      </c>
      <c r="M12" s="362">
        <v>6124</v>
      </c>
      <c r="N12" s="362">
        <v>1210</v>
      </c>
      <c r="O12" s="362">
        <v>108</v>
      </c>
      <c r="P12" s="366">
        <v>1658</v>
      </c>
      <c r="Q12" s="366">
        <v>24</v>
      </c>
      <c r="X12" s="674" t="s">
        <v>467</v>
      </c>
      <c r="Y12" s="674" t="s">
        <v>469</v>
      </c>
      <c r="Z12" s="674" t="s">
        <v>468</v>
      </c>
    </row>
    <row r="13" spans="1:26" ht="15" customHeight="1" x14ac:dyDescent="0.25">
      <c r="A13" s="4">
        <v>2006</v>
      </c>
      <c r="B13" s="311">
        <f>'DATA-Customers'!P58</f>
        <v>6276</v>
      </c>
      <c r="C13" s="311">
        <f>'DATA-Customers'!P78</f>
        <v>1209</v>
      </c>
      <c r="D13" s="311">
        <f>'DATA-Customers'!P98</f>
        <v>117</v>
      </c>
      <c r="E13" s="344"/>
      <c r="F13" s="344"/>
      <c r="G13" s="311">
        <f>'DATA-Customers'!P219</f>
        <v>1736</v>
      </c>
      <c r="H13" s="311">
        <f>'DATA-Customers'!P$239</f>
        <v>77</v>
      </c>
      <c r="I13" s="311">
        <f>'DATA-Customers'!P199</f>
        <v>24</v>
      </c>
      <c r="J13" s="42">
        <f t="shared" si="0"/>
        <v>9439</v>
      </c>
      <c r="L13" s="368">
        <v>2006</v>
      </c>
      <c r="M13" s="362">
        <v>6276</v>
      </c>
      <c r="N13" s="362">
        <v>1209</v>
      </c>
      <c r="O13" s="362">
        <v>117</v>
      </c>
      <c r="P13" s="366">
        <v>1736</v>
      </c>
      <c r="Q13" s="366">
        <v>24</v>
      </c>
      <c r="R13" s="538" t="s">
        <v>386</v>
      </c>
      <c r="X13" s="674"/>
      <c r="Y13" s="674"/>
      <c r="Z13" s="674"/>
    </row>
    <row r="14" spans="1:26" ht="15" customHeight="1" x14ac:dyDescent="0.25">
      <c r="A14" s="4">
        <v>2007</v>
      </c>
      <c r="B14" s="311">
        <f>'DATA-Customers'!Q58</f>
        <v>6424</v>
      </c>
      <c r="C14" s="311">
        <f>'DATA-Customers'!Q78</f>
        <v>1216</v>
      </c>
      <c r="D14" s="311">
        <f>'DATA-Customers'!Q98</f>
        <v>115</v>
      </c>
      <c r="E14" s="344"/>
      <c r="F14" s="344"/>
      <c r="G14" s="311">
        <f>'DATA-Customers'!Q219</f>
        <v>1796</v>
      </c>
      <c r="H14" s="311">
        <f>'DATA-Customers'!Q$239</f>
        <v>76</v>
      </c>
      <c r="I14" s="311">
        <f>'DATA-Customers'!Q199</f>
        <v>23</v>
      </c>
      <c r="J14" s="42">
        <f t="shared" si="0"/>
        <v>9650</v>
      </c>
      <c r="K14"/>
      <c r="L14" s="368">
        <v>2007</v>
      </c>
      <c r="M14" s="362">
        <v>6424</v>
      </c>
      <c r="N14" s="362">
        <v>1216</v>
      </c>
      <c r="O14" s="362">
        <v>115</v>
      </c>
      <c r="P14" s="366">
        <v>1796</v>
      </c>
      <c r="Q14" s="366">
        <v>23</v>
      </c>
      <c r="R14" s="550" t="s">
        <v>363</v>
      </c>
      <c r="S14" s="550" t="s">
        <v>152</v>
      </c>
      <c r="T14" s="550" t="s">
        <v>153</v>
      </c>
      <c r="U14" s="550" t="s">
        <v>364</v>
      </c>
      <c r="V14" s="550" t="s">
        <v>155</v>
      </c>
      <c r="W14" s="550" t="s">
        <v>9</v>
      </c>
      <c r="X14" s="674"/>
      <c r="Y14" s="674"/>
      <c r="Z14" s="674"/>
    </row>
    <row r="15" spans="1:26" ht="15" x14ac:dyDescent="0.25">
      <c r="A15" s="4">
        <v>2008</v>
      </c>
      <c r="B15" s="311">
        <f>'DATA-Customers'!R58</f>
        <v>6436</v>
      </c>
      <c r="C15" s="311">
        <f>'DATA-Customers'!R78</f>
        <v>1225</v>
      </c>
      <c r="D15" s="311">
        <f>'DATA-Customers'!R98</f>
        <v>115</v>
      </c>
      <c r="E15" s="344"/>
      <c r="F15" s="344"/>
      <c r="G15" s="311">
        <f>'DATA-Customers'!R219</f>
        <v>1904</v>
      </c>
      <c r="H15" s="311">
        <f>'DATA-Customers'!R$239</f>
        <v>71</v>
      </c>
      <c r="I15" s="311">
        <f>'DATA-Customers'!R199</f>
        <v>22</v>
      </c>
      <c r="J15" s="42">
        <f t="shared" si="0"/>
        <v>9773</v>
      </c>
      <c r="K15"/>
      <c r="L15" s="368" t="s">
        <v>204</v>
      </c>
      <c r="M15" s="362">
        <f>SUM(M9:M14)-SUM(B9:B14)</f>
        <v>0</v>
      </c>
      <c r="N15" s="362">
        <f>SUM(N9:N14)-SUM(C9:C14)</f>
        <v>0</v>
      </c>
      <c r="O15" s="362">
        <f>SUM(O9:O14)-SUM(D9:D14)</f>
        <v>0</v>
      </c>
      <c r="P15" s="362">
        <f>SUM(P9:P14)-SUM(G9:G14)</f>
        <v>0</v>
      </c>
      <c r="Q15" s="362">
        <f>SUM(Q9:Q14)-SUM(I9:I14)</f>
        <v>0</v>
      </c>
      <c r="R15" s="641">
        <f>Summary!$J$12</f>
        <v>6436</v>
      </c>
      <c r="S15" s="641">
        <f>Summary!$J$16</f>
        <v>1225</v>
      </c>
      <c r="T15" s="641">
        <f>Summary!$J$20</f>
        <v>115</v>
      </c>
      <c r="U15" s="641">
        <v>5</v>
      </c>
      <c r="V15" s="641">
        <f>Summary!$J$45</f>
        <v>22</v>
      </c>
      <c r="W15" s="641">
        <f>SUM(R15:V15)</f>
        <v>7803</v>
      </c>
      <c r="X15" s="551"/>
      <c r="Y15" s="641">
        <f>SUM(R15:T15)</f>
        <v>7776</v>
      </c>
    </row>
    <row r="16" spans="1:26" ht="15" x14ac:dyDescent="0.25">
      <c r="A16" s="4">
        <v>2009</v>
      </c>
      <c r="B16" s="311">
        <f>'DATA-Customers'!S58</f>
        <v>6507</v>
      </c>
      <c r="C16" s="311">
        <f>'DATA-Customers'!S78</f>
        <v>1230</v>
      </c>
      <c r="D16" s="311">
        <f>'DATA-Customers'!S98</f>
        <v>121</v>
      </c>
      <c r="E16" s="345"/>
      <c r="F16" s="345"/>
      <c r="G16" s="311">
        <f>'DATA-Customers'!S219</f>
        <v>1915</v>
      </c>
      <c r="H16" s="311">
        <f>'DATA-Customers'!S$239</f>
        <v>0</v>
      </c>
      <c r="I16" s="311">
        <f>'DATA-Customers'!S199</f>
        <v>22</v>
      </c>
      <c r="J16" s="42">
        <f t="shared" si="0"/>
        <v>9795</v>
      </c>
      <c r="K16"/>
      <c r="L16"/>
      <c r="M16"/>
      <c r="N16"/>
      <c r="O16"/>
      <c r="Q16" s="4">
        <v>2009</v>
      </c>
      <c r="R16" s="641">
        <f>Summary!$K$12</f>
        <v>6507</v>
      </c>
      <c r="S16" s="641">
        <f>Summary!$K$16</f>
        <v>1230</v>
      </c>
      <c r="T16" s="641">
        <f>Summary!$K$20</f>
        <v>121</v>
      </c>
      <c r="U16" s="641">
        <v>5</v>
      </c>
      <c r="V16" s="641">
        <f>Summary!$K$45</f>
        <v>22</v>
      </c>
      <c r="W16" s="641">
        <f t="shared" ref="W16:W21" si="1">SUM(R16:V16)</f>
        <v>7885</v>
      </c>
      <c r="X16" s="642">
        <f>(W16+W15)/2</f>
        <v>7844</v>
      </c>
      <c r="Y16" s="641">
        <f t="shared" ref="Y16:Y21" si="2">SUM(R16:T16)</f>
        <v>7858</v>
      </c>
      <c r="Z16" s="642">
        <f>(Y16+Y15)/2</f>
        <v>7817</v>
      </c>
    </row>
    <row r="17" spans="1:26" ht="15" x14ac:dyDescent="0.25">
      <c r="A17" s="4">
        <v>2010</v>
      </c>
      <c r="B17" s="311">
        <f>'DATA-Customers'!T58</f>
        <v>6537</v>
      </c>
      <c r="C17" s="311">
        <f>'DATA-Customers'!T78</f>
        <v>1225</v>
      </c>
      <c r="D17" s="311">
        <f>'DATA-Customers'!T98</f>
        <v>121</v>
      </c>
      <c r="E17" s="344"/>
      <c r="F17" s="344"/>
      <c r="G17" s="311">
        <f>'DATA-Customers'!T219</f>
        <v>1920</v>
      </c>
      <c r="H17" s="344"/>
      <c r="I17" s="311">
        <f>'DATA-Customers'!T199</f>
        <v>20</v>
      </c>
      <c r="J17" s="42">
        <f t="shared" si="0"/>
        <v>9823</v>
      </c>
      <c r="K17"/>
      <c r="L17"/>
      <c r="M17"/>
      <c r="N17"/>
      <c r="O17"/>
      <c r="Q17" s="4">
        <v>2010</v>
      </c>
      <c r="R17" s="641">
        <f>Summary!$L$12</f>
        <v>6537</v>
      </c>
      <c r="S17" s="641">
        <f>Summary!$L$16</f>
        <v>1225</v>
      </c>
      <c r="T17" s="641">
        <f>Summary!$L$20</f>
        <v>121</v>
      </c>
      <c r="U17" s="641">
        <v>5</v>
      </c>
      <c r="V17" s="641">
        <f>Summary!$L$45</f>
        <v>20</v>
      </c>
      <c r="W17" s="641">
        <f t="shared" si="1"/>
        <v>7908</v>
      </c>
      <c r="X17" s="642">
        <f t="shared" ref="X17:Z21" si="3">(W17+W16)/2</f>
        <v>7896.5</v>
      </c>
      <c r="Y17" s="641">
        <f t="shared" si="2"/>
        <v>7883</v>
      </c>
      <c r="Z17" s="642">
        <f t="shared" si="3"/>
        <v>7870.5</v>
      </c>
    </row>
    <row r="18" spans="1:26" ht="15" x14ac:dyDescent="0.25">
      <c r="A18" s="4">
        <v>2011</v>
      </c>
      <c r="B18" s="311">
        <f>'DATA-Customers'!U58</f>
        <v>6666</v>
      </c>
      <c r="C18" s="311">
        <f>'DATA-Customers'!U78</f>
        <v>1253</v>
      </c>
      <c r="D18" s="311">
        <f>'DATA-Customers'!U98</f>
        <v>118</v>
      </c>
      <c r="E18" s="344"/>
      <c r="F18" s="344"/>
      <c r="G18" s="311">
        <f>'DATA-Customers'!U219</f>
        <v>1946</v>
      </c>
      <c r="H18" s="344"/>
      <c r="I18" s="311">
        <f>'DATA-Customers'!U199</f>
        <v>22</v>
      </c>
      <c r="J18" s="42">
        <f t="shared" si="0"/>
        <v>10005</v>
      </c>
      <c r="K18"/>
      <c r="L18"/>
      <c r="M18"/>
      <c r="N18"/>
      <c r="O18"/>
      <c r="Q18" s="4">
        <v>2011</v>
      </c>
      <c r="R18" s="641">
        <f>Summary!$M$12</f>
        <v>6666</v>
      </c>
      <c r="S18" s="641">
        <f>Summary!$M$16</f>
        <v>1253</v>
      </c>
      <c r="T18" s="641">
        <f>Summary!$M$20</f>
        <v>118</v>
      </c>
      <c r="U18" s="641">
        <v>5</v>
      </c>
      <c r="V18" s="641">
        <f>Summary!$M$45</f>
        <v>22</v>
      </c>
      <c r="W18" s="641">
        <f t="shared" si="1"/>
        <v>8064</v>
      </c>
      <c r="X18" s="642">
        <f t="shared" si="3"/>
        <v>7986</v>
      </c>
      <c r="Y18" s="641">
        <f t="shared" si="2"/>
        <v>8037</v>
      </c>
      <c r="Z18" s="642">
        <f t="shared" si="3"/>
        <v>7960</v>
      </c>
    </row>
    <row r="19" spans="1:26" ht="15" x14ac:dyDescent="0.25">
      <c r="A19" s="4">
        <v>2012</v>
      </c>
      <c r="B19" s="311">
        <f>'DATA-Customers'!V58</f>
        <v>6818</v>
      </c>
      <c r="C19" s="311">
        <f>'DATA-Customers'!V78</f>
        <v>1252</v>
      </c>
      <c r="D19" s="311">
        <f>'DATA-Customers'!V98</f>
        <v>117</v>
      </c>
      <c r="E19" s="345"/>
      <c r="F19" s="345"/>
      <c r="G19" s="311">
        <f>'DATA-Customers'!V219</f>
        <v>1949</v>
      </c>
      <c r="H19" s="344"/>
      <c r="I19" s="311">
        <f>'DATA-Customers'!V199</f>
        <v>22</v>
      </c>
      <c r="J19" s="209">
        <f t="shared" si="0"/>
        <v>10158</v>
      </c>
      <c r="K19"/>
      <c r="L19"/>
      <c r="M19"/>
      <c r="N19"/>
      <c r="O19"/>
      <c r="Q19" s="4">
        <v>2012</v>
      </c>
      <c r="R19" s="641">
        <f>Summary!$N$12</f>
        <v>6818</v>
      </c>
      <c r="S19" s="641">
        <f>Summary!$N$16</f>
        <v>1252</v>
      </c>
      <c r="T19" s="641">
        <f>Summary!$N$20</f>
        <v>117</v>
      </c>
      <c r="U19" s="641">
        <v>5</v>
      </c>
      <c r="V19" s="641">
        <f>Summary!$N$45</f>
        <v>22</v>
      </c>
      <c r="W19" s="641">
        <f t="shared" si="1"/>
        <v>8214</v>
      </c>
      <c r="X19" s="642">
        <f t="shared" si="3"/>
        <v>8139</v>
      </c>
      <c r="Y19" s="641">
        <f t="shared" si="2"/>
        <v>8187</v>
      </c>
      <c r="Z19" s="642">
        <f t="shared" si="3"/>
        <v>8112</v>
      </c>
    </row>
    <row r="20" spans="1:26" ht="15" x14ac:dyDescent="0.25">
      <c r="A20" s="4">
        <v>2013</v>
      </c>
      <c r="B20" s="22">
        <f>B19*B41</f>
        <v>6965.1614702650531</v>
      </c>
      <c r="C20" s="22">
        <f>C19*C41</f>
        <v>1253.8143780836497</v>
      </c>
      <c r="D20" s="22">
        <f t="shared" ref="D20:I20" si="4">D19*D41</f>
        <v>120.24456269672531</v>
      </c>
      <c r="E20" s="345"/>
      <c r="F20" s="345"/>
      <c r="G20" s="22">
        <f t="shared" si="4"/>
        <v>2002.9905850782741</v>
      </c>
      <c r="H20" s="345"/>
      <c r="I20" s="22">
        <f t="shared" si="4"/>
        <v>21.809405368179451</v>
      </c>
      <c r="J20" s="22">
        <f t="shared" si="0"/>
        <v>10364.020401491882</v>
      </c>
      <c r="K20"/>
      <c r="L20"/>
      <c r="M20"/>
      <c r="N20"/>
      <c r="O20"/>
      <c r="Q20" s="4">
        <v>2013</v>
      </c>
      <c r="R20" s="641">
        <f>Summary!$O$12</f>
        <v>6965.1614702650531</v>
      </c>
      <c r="S20" s="641">
        <f>Summary!$O$16</f>
        <v>1257.8143780836497</v>
      </c>
      <c r="T20" s="641">
        <f>Summary!$O$20</f>
        <v>120.24456269672531</v>
      </c>
      <c r="U20" s="641">
        <v>5</v>
      </c>
      <c r="V20" s="641">
        <f>Summary!$O$45</f>
        <v>21.809405368179451</v>
      </c>
      <c r="W20" s="641">
        <f t="shared" si="1"/>
        <v>8370.0298164136075</v>
      </c>
      <c r="X20" s="642">
        <f t="shared" si="3"/>
        <v>8292.0149082068037</v>
      </c>
      <c r="Y20" s="641">
        <f t="shared" si="2"/>
        <v>8343.2204110454277</v>
      </c>
      <c r="Z20" s="642">
        <f t="shared" si="3"/>
        <v>8265.1102055227129</v>
      </c>
    </row>
    <row r="21" spans="1:26" ht="15" x14ac:dyDescent="0.25">
      <c r="A21" s="4">
        <v>2014</v>
      </c>
      <c r="B21" s="22">
        <f>B20*B41</f>
        <v>7115.4993116551541</v>
      </c>
      <c r="C21" s="22">
        <f t="shared" ref="C21:I21" si="5">C20*C41</f>
        <v>1255.6313855345761</v>
      </c>
      <c r="D21" s="22">
        <f t="shared" si="5"/>
        <v>123.5791013515103</v>
      </c>
      <c r="E21" s="345"/>
      <c r="F21" s="345"/>
      <c r="G21" s="22">
        <f t="shared" si="5"/>
        <v>2058.4768003654217</v>
      </c>
      <c r="H21" s="345"/>
      <c r="I21" s="22">
        <f t="shared" si="5"/>
        <v>21.620461932435212</v>
      </c>
      <c r="J21" s="22">
        <f t="shared" si="0"/>
        <v>10574.807060839095</v>
      </c>
      <c r="K21"/>
      <c r="L21"/>
      <c r="M21"/>
      <c r="N21"/>
      <c r="O21"/>
      <c r="Q21" s="4">
        <v>2014</v>
      </c>
      <c r="R21" s="641">
        <f>Summary!$P$12</f>
        <v>7115.4993116551541</v>
      </c>
      <c r="S21" s="641">
        <f>Summary!$P$16</f>
        <v>1350.6313855345761</v>
      </c>
      <c r="T21" s="641">
        <f>Summary!$P$20</f>
        <v>125.5791013515103</v>
      </c>
      <c r="U21" s="641">
        <v>5</v>
      </c>
      <c r="V21" s="641">
        <f>Summary!$P$45</f>
        <v>21.620461932435212</v>
      </c>
      <c r="W21" s="641">
        <f t="shared" si="1"/>
        <v>8618.3302604736746</v>
      </c>
      <c r="X21" s="642">
        <f t="shared" si="3"/>
        <v>8494.180038443641</v>
      </c>
      <c r="Y21" s="641">
        <f t="shared" si="2"/>
        <v>8591.7097985412402</v>
      </c>
      <c r="Z21" s="642">
        <f t="shared" si="3"/>
        <v>8467.465104793333</v>
      </c>
    </row>
    <row r="22" spans="1:26" x14ac:dyDescent="0.2">
      <c r="A22" s="21"/>
      <c r="B22" s="344"/>
      <c r="C22" s="344"/>
      <c r="D22" s="344"/>
      <c r="E22" s="345"/>
      <c r="F22" s="345"/>
      <c r="G22" s="344"/>
      <c r="H22" s="344"/>
      <c r="I22" s="344"/>
      <c r="J22" s="344"/>
      <c r="M22"/>
      <c r="N22"/>
      <c r="O22"/>
    </row>
    <row r="23" spans="1:26" x14ac:dyDescent="0.2">
      <c r="A23" s="20" t="s">
        <v>41</v>
      </c>
      <c r="B23" s="5"/>
      <c r="C23" s="5"/>
      <c r="D23" s="344"/>
      <c r="E23" s="346"/>
      <c r="F23" s="346"/>
      <c r="G23" s="5"/>
      <c r="H23" s="5"/>
      <c r="I23" s="5"/>
      <c r="M23"/>
      <c r="N23"/>
      <c r="O23"/>
    </row>
    <row r="24" spans="1:26" x14ac:dyDescent="0.2">
      <c r="A24" s="4">
        <v>1997</v>
      </c>
      <c r="B24" s="347"/>
      <c r="C24" s="347"/>
      <c r="D24" s="347"/>
      <c r="E24" s="347"/>
      <c r="F24" s="347"/>
      <c r="G24" s="347"/>
      <c r="H24" s="347"/>
      <c r="I24" s="346"/>
      <c r="M24"/>
      <c r="N24"/>
      <c r="O24"/>
    </row>
    <row r="25" spans="1:26" x14ac:dyDescent="0.2">
      <c r="A25" s="4">
        <v>1998</v>
      </c>
      <c r="B25" s="347"/>
      <c r="C25" s="347"/>
      <c r="D25" s="347"/>
      <c r="E25" s="347"/>
      <c r="F25" s="347"/>
      <c r="G25" s="347"/>
      <c r="H25" s="347"/>
      <c r="I25" s="346"/>
      <c r="M25"/>
      <c r="N25"/>
      <c r="O25"/>
    </row>
    <row r="26" spans="1:26" x14ac:dyDescent="0.2">
      <c r="A26" s="4">
        <v>1999</v>
      </c>
      <c r="B26" s="347"/>
      <c r="C26" s="347"/>
      <c r="D26" s="347"/>
      <c r="E26" s="347"/>
      <c r="F26" s="347"/>
      <c r="G26" s="347"/>
      <c r="H26" s="347"/>
      <c r="I26" s="347"/>
      <c r="M26"/>
      <c r="N26"/>
      <c r="O26"/>
    </row>
    <row r="27" spans="1:26" x14ac:dyDescent="0.2">
      <c r="A27" s="4">
        <v>2000</v>
      </c>
      <c r="B27" s="347"/>
      <c r="C27" s="347"/>
      <c r="D27" s="347"/>
      <c r="E27" s="347"/>
      <c r="F27" s="347"/>
      <c r="G27" s="347"/>
      <c r="H27" s="347"/>
      <c r="I27" s="347"/>
      <c r="M27"/>
      <c r="N27"/>
      <c r="O27"/>
    </row>
    <row r="28" spans="1:26" x14ac:dyDescent="0.2">
      <c r="A28" s="4">
        <v>2001</v>
      </c>
      <c r="B28" s="347"/>
      <c r="C28" s="347"/>
      <c r="D28" s="347"/>
      <c r="E28" s="347"/>
      <c r="F28" s="347"/>
      <c r="G28" s="347"/>
      <c r="H28" s="347"/>
      <c r="I28" s="347"/>
      <c r="K28" s="70"/>
      <c r="L28" s="70"/>
      <c r="M28"/>
      <c r="N28"/>
      <c r="O28"/>
      <c r="Q28" s="70"/>
      <c r="R28" s="70"/>
    </row>
    <row r="29" spans="1:26" x14ac:dyDescent="0.2">
      <c r="A29" s="4">
        <v>2002</v>
      </c>
      <c r="B29" s="347"/>
      <c r="C29" s="347"/>
      <c r="D29" s="347"/>
      <c r="E29" s="347"/>
      <c r="F29" s="347"/>
      <c r="G29" s="347"/>
      <c r="H29" s="347"/>
      <c r="I29" s="347"/>
      <c r="K29" s="70"/>
      <c r="L29" s="70"/>
      <c r="M29"/>
      <c r="N29"/>
      <c r="O29"/>
      <c r="Q29" s="70"/>
      <c r="R29" s="70"/>
    </row>
    <row r="30" spans="1:26" x14ac:dyDescent="0.2">
      <c r="A30" s="4">
        <v>2003</v>
      </c>
      <c r="B30" s="25">
        <f t="shared" ref="B30:G30" si="6">B10/B9</f>
        <v>1.0279644089340838</v>
      </c>
      <c r="C30" s="25">
        <f t="shared" si="6"/>
        <v>0.99675850891410045</v>
      </c>
      <c r="D30" s="25">
        <f t="shared" si="6"/>
        <v>1.0674157303370786</v>
      </c>
      <c r="E30" s="347"/>
      <c r="F30" s="347"/>
      <c r="G30" s="25">
        <f t="shared" si="6"/>
        <v>1.0728253540121375</v>
      </c>
      <c r="H30" s="347"/>
      <c r="I30" s="25">
        <f t="shared" ref="I30:I38" si="7">I10/I9</f>
        <v>1</v>
      </c>
      <c r="K30" s="70"/>
      <c r="L30" s="70"/>
      <c r="M30"/>
      <c r="N30"/>
      <c r="O30"/>
      <c r="Q30" s="70"/>
      <c r="R30" s="70"/>
    </row>
    <row r="31" spans="1:26" x14ac:dyDescent="0.2">
      <c r="A31" s="4">
        <v>2004</v>
      </c>
      <c r="B31" s="25">
        <f t="shared" ref="B31:B39" si="8">B11/B10</f>
        <v>1.0425719837484544</v>
      </c>
      <c r="C31" s="25">
        <f>C11/C10</f>
        <v>0.9975609756097561</v>
      </c>
      <c r="D31" s="25">
        <f>D11/D10</f>
        <v>1.0315789473684212</v>
      </c>
      <c r="E31" s="347"/>
      <c r="F31" s="347"/>
      <c r="G31" s="25">
        <f>G11/G10</f>
        <v>1.0125707102451289</v>
      </c>
      <c r="H31" s="347"/>
      <c r="I31" s="25">
        <f t="shared" si="7"/>
        <v>1</v>
      </c>
      <c r="K31" s="70"/>
      <c r="L31" s="70"/>
      <c r="M31" s="70"/>
      <c r="N31" s="70"/>
      <c r="O31" s="70"/>
      <c r="P31" s="70"/>
      <c r="Q31" s="70"/>
      <c r="R31" s="70"/>
    </row>
    <row r="32" spans="1:26" x14ac:dyDescent="0.2">
      <c r="A32" s="4">
        <v>2005</v>
      </c>
      <c r="B32" s="25">
        <f t="shared" si="8"/>
        <v>1.0376143680108438</v>
      </c>
      <c r="C32" s="25">
        <f t="shared" ref="C32:G38" si="9">C12/C11</f>
        <v>0.98614506927465362</v>
      </c>
      <c r="D32" s="25">
        <f t="shared" si="9"/>
        <v>1.1020408163265305</v>
      </c>
      <c r="E32" s="347"/>
      <c r="F32" s="347"/>
      <c r="G32" s="25">
        <f t="shared" si="9"/>
        <v>1.0291744258224704</v>
      </c>
      <c r="H32" s="347"/>
      <c r="I32" s="25">
        <f t="shared" si="7"/>
        <v>1</v>
      </c>
      <c r="K32" s="70"/>
      <c r="L32" s="70"/>
      <c r="M32" s="70"/>
      <c r="N32" s="70"/>
      <c r="O32" s="70"/>
      <c r="P32" s="70"/>
      <c r="Q32" s="70"/>
      <c r="R32" s="70"/>
    </row>
    <row r="33" spans="1:18" x14ac:dyDescent="0.2">
      <c r="A33" s="4">
        <v>2006</v>
      </c>
      <c r="B33" s="25">
        <f t="shared" si="8"/>
        <v>1.0248203788373611</v>
      </c>
      <c r="C33" s="25">
        <f t="shared" si="9"/>
        <v>0.99917355371900829</v>
      </c>
      <c r="D33" s="25">
        <f t="shared" si="9"/>
        <v>1.0833333333333333</v>
      </c>
      <c r="E33" s="347"/>
      <c r="F33" s="347"/>
      <c r="G33" s="25">
        <f t="shared" si="9"/>
        <v>1.0470446320868516</v>
      </c>
      <c r="H33" s="347"/>
      <c r="I33" s="25">
        <f t="shared" si="7"/>
        <v>1</v>
      </c>
      <c r="K33" s="70"/>
      <c r="L33" s="70"/>
      <c r="M33" s="70"/>
      <c r="N33" s="70"/>
      <c r="O33" s="70"/>
      <c r="P33" s="70"/>
      <c r="Q33" s="70"/>
      <c r="R33" s="70"/>
    </row>
    <row r="34" spans="1:18" x14ac:dyDescent="0.2">
      <c r="A34" s="4">
        <v>2007</v>
      </c>
      <c r="B34" s="25">
        <f t="shared" si="8"/>
        <v>1.0235818992989165</v>
      </c>
      <c r="C34" s="25">
        <f t="shared" si="9"/>
        <v>1.0057899090157154</v>
      </c>
      <c r="D34" s="25">
        <f t="shared" si="9"/>
        <v>0.98290598290598286</v>
      </c>
      <c r="E34" s="347"/>
      <c r="F34" s="347"/>
      <c r="G34" s="25">
        <f t="shared" si="9"/>
        <v>1.0345622119815667</v>
      </c>
      <c r="H34" s="347"/>
      <c r="I34" s="25">
        <f t="shared" si="7"/>
        <v>0.95833333333333337</v>
      </c>
      <c r="K34" s="70"/>
      <c r="L34" s="70"/>
      <c r="M34" s="70"/>
      <c r="N34" s="70"/>
      <c r="O34" s="70"/>
      <c r="P34" s="70"/>
      <c r="Q34" s="70"/>
      <c r="R34" s="70"/>
    </row>
    <row r="35" spans="1:18" x14ac:dyDescent="0.2">
      <c r="A35" s="4">
        <v>2008</v>
      </c>
      <c r="B35" s="25">
        <f t="shared" si="8"/>
        <v>1.00186799501868</v>
      </c>
      <c r="C35" s="25">
        <f t="shared" si="9"/>
        <v>1.0074013157894737</v>
      </c>
      <c r="D35" s="25">
        <f t="shared" si="9"/>
        <v>1</v>
      </c>
      <c r="E35" s="347"/>
      <c r="F35" s="347"/>
      <c r="G35" s="25">
        <f t="shared" si="9"/>
        <v>1.0601336302895323</v>
      </c>
      <c r="H35" s="347"/>
      <c r="I35" s="25">
        <f t="shared" si="7"/>
        <v>0.95652173913043481</v>
      </c>
      <c r="K35" s="70"/>
      <c r="L35" s="70"/>
      <c r="M35" s="70"/>
      <c r="N35" s="70"/>
      <c r="O35" s="70"/>
      <c r="P35" s="70"/>
      <c r="Q35" s="70"/>
      <c r="R35" s="70"/>
    </row>
    <row r="36" spans="1:18" x14ac:dyDescent="0.2">
      <c r="A36" s="4">
        <v>2009</v>
      </c>
      <c r="B36" s="25">
        <f t="shared" si="8"/>
        <v>1.0110316967060287</v>
      </c>
      <c r="C36" s="25">
        <f t="shared" si="9"/>
        <v>1.0040816326530613</v>
      </c>
      <c r="D36" s="25">
        <f t="shared" si="9"/>
        <v>1.0521739130434782</v>
      </c>
      <c r="E36" s="347"/>
      <c r="F36" s="347"/>
      <c r="G36" s="25">
        <f t="shared" si="9"/>
        <v>1.0057773109243697</v>
      </c>
      <c r="H36" s="347"/>
      <c r="I36" s="25">
        <f t="shared" si="7"/>
        <v>1</v>
      </c>
      <c r="K36" s="70"/>
      <c r="L36" s="70"/>
      <c r="M36" s="70"/>
      <c r="N36" s="70"/>
      <c r="O36" s="70"/>
      <c r="P36" s="70"/>
      <c r="Q36" s="70"/>
      <c r="R36" s="70"/>
    </row>
    <row r="37" spans="1:18" x14ac:dyDescent="0.2">
      <c r="A37" s="4">
        <v>2010</v>
      </c>
      <c r="B37" s="25">
        <f t="shared" si="8"/>
        <v>1.0046104195481789</v>
      </c>
      <c r="C37" s="25">
        <f t="shared" si="9"/>
        <v>0.99593495934959353</v>
      </c>
      <c r="D37" s="25">
        <f t="shared" si="9"/>
        <v>1</v>
      </c>
      <c r="E37" s="347"/>
      <c r="F37" s="347"/>
      <c r="G37" s="25">
        <f t="shared" si="9"/>
        <v>1.0026109660574412</v>
      </c>
      <c r="H37" s="347"/>
      <c r="I37" s="25">
        <f t="shared" si="7"/>
        <v>0.90909090909090906</v>
      </c>
      <c r="K37" s="70"/>
      <c r="L37" s="70"/>
      <c r="M37" s="70"/>
      <c r="N37" s="70"/>
      <c r="O37" s="70"/>
      <c r="P37" s="70"/>
      <c r="Q37" s="70"/>
      <c r="R37" s="70"/>
    </row>
    <row r="38" spans="1:18" x14ac:dyDescent="0.2">
      <c r="A38" s="4">
        <v>2011</v>
      </c>
      <c r="B38" s="25">
        <f t="shared" si="8"/>
        <v>1.0197338228545205</v>
      </c>
      <c r="C38" s="25">
        <f t="shared" si="9"/>
        <v>1.0228571428571429</v>
      </c>
      <c r="D38" s="25">
        <f t="shared" si="9"/>
        <v>0.97520661157024791</v>
      </c>
      <c r="E38" s="347"/>
      <c r="F38" s="347"/>
      <c r="G38" s="25">
        <f t="shared" si="9"/>
        <v>1.0135416666666666</v>
      </c>
      <c r="H38" s="347"/>
      <c r="I38" s="25">
        <f t="shared" si="7"/>
        <v>1.1000000000000001</v>
      </c>
      <c r="K38" s="70"/>
      <c r="L38" s="70"/>
      <c r="M38" s="70"/>
      <c r="N38" s="70"/>
      <c r="O38" s="70"/>
      <c r="P38" s="70"/>
      <c r="Q38" s="70"/>
      <c r="R38" s="70"/>
    </row>
    <row r="39" spans="1:18" x14ac:dyDescent="0.2">
      <c r="A39" s="4">
        <v>2012</v>
      </c>
      <c r="B39" s="25">
        <f t="shared" si="8"/>
        <v>1.0228022802280228</v>
      </c>
      <c r="C39" s="25">
        <f t="shared" ref="C39:I39" si="10">C19/C18</f>
        <v>0.99920191540303271</v>
      </c>
      <c r="D39" s="25">
        <f t="shared" si="10"/>
        <v>0.99152542372881358</v>
      </c>
      <c r="E39" s="347"/>
      <c r="F39" s="347"/>
      <c r="G39" s="25">
        <f t="shared" si="10"/>
        <v>1.0015416238437822</v>
      </c>
      <c r="H39" s="347"/>
      <c r="I39" s="25">
        <f t="shared" si="10"/>
        <v>1</v>
      </c>
      <c r="K39" s="70"/>
      <c r="L39" s="70"/>
      <c r="M39" s="70"/>
      <c r="N39" s="70"/>
      <c r="O39" s="70"/>
      <c r="P39" s="70"/>
      <c r="Q39" s="70"/>
      <c r="R39" s="70"/>
    </row>
    <row r="40" spans="1:18" x14ac:dyDescent="0.2">
      <c r="E40" s="345"/>
      <c r="F40" s="345"/>
      <c r="H40" s="345"/>
    </row>
    <row r="41" spans="1:18" x14ac:dyDescent="0.2">
      <c r="A41" t="s">
        <v>64</v>
      </c>
      <c r="B41" s="210">
        <f t="shared" ref="B41:G41" si="11">B43</f>
        <v>1.0215842578857515</v>
      </c>
      <c r="C41" s="210">
        <f t="shared" si="11"/>
        <v>1.0014491837728832</v>
      </c>
      <c r="D41" s="210">
        <f t="shared" si="11"/>
        <v>1.0277313051002164</v>
      </c>
      <c r="E41" s="348"/>
      <c r="F41" s="348"/>
      <c r="G41" s="210">
        <f t="shared" si="11"/>
        <v>1.0277016855198944</v>
      </c>
      <c r="H41" s="348"/>
      <c r="I41" s="210">
        <f>I43</f>
        <v>0.99133660764452058</v>
      </c>
    </row>
    <row r="42" spans="1:18" x14ac:dyDescent="0.2">
      <c r="B42" s="26"/>
      <c r="C42" s="26"/>
      <c r="D42" s="26"/>
      <c r="E42" s="348"/>
      <c r="F42" s="348"/>
      <c r="G42" s="26"/>
      <c r="H42" s="348"/>
      <c r="I42" s="26"/>
    </row>
    <row r="43" spans="1:18" x14ac:dyDescent="0.2">
      <c r="A43" t="s">
        <v>14</v>
      </c>
      <c r="B43" s="26">
        <f>GEOMEAN(B24:B39)</f>
        <v>1.0215842578857515</v>
      </c>
      <c r="C43" s="26">
        <f t="shared" ref="C43:I43" si="12">GEOMEAN(C24:C39)</f>
        <v>1.0014491837728832</v>
      </c>
      <c r="D43" s="26">
        <f t="shared" si="12"/>
        <v>1.0277313051002164</v>
      </c>
      <c r="E43" s="348"/>
      <c r="F43" s="348"/>
      <c r="G43" s="26">
        <f t="shared" si="12"/>
        <v>1.0277016855198944</v>
      </c>
      <c r="H43" s="348"/>
      <c r="I43" s="26">
        <f t="shared" si="12"/>
        <v>0.99133660764452058</v>
      </c>
    </row>
    <row r="44" spans="1:18" x14ac:dyDescent="0.2">
      <c r="A44" s="4"/>
      <c r="B44" s="26"/>
      <c r="C44" s="26"/>
      <c r="D44" s="26"/>
      <c r="E44" s="26"/>
      <c r="F44" s="26"/>
      <c r="G44" s="26"/>
      <c r="H44" s="26"/>
      <c r="I44" s="26"/>
    </row>
    <row r="45" spans="1:18" x14ac:dyDescent="0.2">
      <c r="A45" s="4"/>
      <c r="B45" s="26"/>
      <c r="C45" s="26"/>
      <c r="D45" s="26"/>
      <c r="E45" s="26"/>
      <c r="F45" s="26"/>
      <c r="G45" s="26"/>
      <c r="H45" s="26"/>
      <c r="I45" s="26"/>
    </row>
    <row r="46" spans="1:18" x14ac:dyDescent="0.2">
      <c r="A46" s="4"/>
      <c r="B46" s="26"/>
      <c r="C46" s="26"/>
      <c r="D46" s="26"/>
      <c r="E46" s="26"/>
      <c r="F46" s="26"/>
      <c r="G46" s="26"/>
      <c r="H46" s="26"/>
      <c r="I46" s="26"/>
    </row>
    <row r="47" spans="1:18" x14ac:dyDescent="0.2">
      <c r="A47" s="4"/>
      <c r="B47" s="26"/>
      <c r="C47" s="26"/>
      <c r="D47" s="26"/>
      <c r="E47" s="26"/>
      <c r="F47" s="26"/>
      <c r="G47" s="26"/>
      <c r="H47" s="26"/>
      <c r="I47" s="26"/>
    </row>
    <row r="48" spans="1:18" x14ac:dyDescent="0.2">
      <c r="A48" s="4"/>
      <c r="B48" s="26"/>
      <c r="C48" s="26"/>
      <c r="D48" s="26"/>
      <c r="E48" s="26"/>
      <c r="F48" s="26"/>
      <c r="G48" s="26"/>
      <c r="H48" s="26"/>
      <c r="I48" s="26"/>
    </row>
    <row r="49" spans="1:9" x14ac:dyDescent="0.2">
      <c r="A49" s="4"/>
      <c r="B49" s="26"/>
      <c r="C49" s="26"/>
      <c r="D49" s="26"/>
      <c r="E49" s="26"/>
      <c r="F49" s="26"/>
      <c r="G49" s="26"/>
      <c r="H49" s="26"/>
      <c r="I49" s="26"/>
    </row>
    <row r="50" spans="1:9" x14ac:dyDescent="0.2">
      <c r="A50" s="4"/>
      <c r="B50" s="26"/>
      <c r="C50" s="26"/>
      <c r="D50" s="26"/>
      <c r="E50" s="26"/>
      <c r="F50" s="26"/>
      <c r="G50" s="26"/>
      <c r="H50" s="26"/>
      <c r="I50" s="26"/>
    </row>
    <row r="51" spans="1:9" x14ac:dyDescent="0.2">
      <c r="A51" s="4"/>
      <c r="B51" s="26"/>
      <c r="C51" s="26"/>
      <c r="D51" s="26"/>
      <c r="E51" s="26"/>
      <c r="F51" s="26"/>
      <c r="G51" s="26"/>
      <c r="H51" s="26"/>
      <c r="I51" s="26"/>
    </row>
    <row r="52" spans="1:9" x14ac:dyDescent="0.2">
      <c r="B52" s="26"/>
      <c r="C52" s="26"/>
      <c r="D52" s="26"/>
      <c r="E52" s="26"/>
      <c r="F52" s="26"/>
      <c r="G52" s="26"/>
      <c r="H52" s="26"/>
      <c r="I52" s="26"/>
    </row>
    <row r="53" spans="1:9" x14ac:dyDescent="0.2">
      <c r="B53" s="26"/>
      <c r="C53" s="26"/>
      <c r="D53" s="26"/>
      <c r="E53" s="26"/>
      <c r="F53" s="26"/>
      <c r="G53" s="26"/>
      <c r="H53" s="26"/>
      <c r="I53" s="26"/>
    </row>
    <row r="54" spans="1:9" x14ac:dyDescent="0.2">
      <c r="B54" s="26"/>
      <c r="C54" s="26"/>
      <c r="D54" s="26"/>
      <c r="E54" s="26"/>
      <c r="F54" s="26"/>
      <c r="G54" s="26"/>
      <c r="H54" s="26"/>
      <c r="I54" s="26"/>
    </row>
    <row r="55" spans="1:9" x14ac:dyDescent="0.2">
      <c r="B55" s="26"/>
      <c r="C55" s="26"/>
      <c r="D55" s="26"/>
      <c r="E55" s="26"/>
      <c r="F55" s="26"/>
      <c r="G55" s="26"/>
      <c r="H55" s="26"/>
      <c r="I55" s="26"/>
    </row>
    <row r="56" spans="1:9" x14ac:dyDescent="0.2">
      <c r="B56" s="26"/>
      <c r="C56" s="26"/>
      <c r="D56" s="26"/>
      <c r="E56" s="26"/>
      <c r="F56" s="26"/>
      <c r="G56" s="26"/>
      <c r="H56" s="26"/>
      <c r="I56" s="26"/>
    </row>
    <row r="57" spans="1:9" x14ac:dyDescent="0.2">
      <c r="B57" s="26"/>
      <c r="C57" s="26"/>
      <c r="D57" s="26"/>
      <c r="E57" s="26"/>
      <c r="F57" s="26"/>
      <c r="G57" s="26"/>
      <c r="H57" s="26"/>
      <c r="I57" s="26"/>
    </row>
    <row r="58" spans="1:9" x14ac:dyDescent="0.2">
      <c r="B58" s="26"/>
      <c r="C58" s="26"/>
      <c r="D58" s="26"/>
      <c r="E58" s="26"/>
      <c r="F58" s="26"/>
      <c r="G58" s="26"/>
      <c r="H58" s="26"/>
      <c r="I58" s="26"/>
    </row>
    <row r="59" spans="1:9" x14ac:dyDescent="0.2">
      <c r="B59" s="26"/>
      <c r="C59" s="26"/>
      <c r="D59" s="26"/>
      <c r="E59" s="26"/>
      <c r="F59" s="26"/>
      <c r="G59" s="26"/>
      <c r="H59" s="26"/>
      <c r="I59" s="26"/>
    </row>
    <row r="60" spans="1:9" x14ac:dyDescent="0.2">
      <c r="B60" s="26"/>
      <c r="C60" s="26"/>
      <c r="D60" s="26"/>
      <c r="E60" s="26"/>
      <c r="F60" s="26"/>
      <c r="G60" s="26"/>
      <c r="H60" s="26"/>
      <c r="I60" s="26"/>
    </row>
    <row r="61" spans="1:9" x14ac:dyDescent="0.2">
      <c r="B61" s="26"/>
      <c r="C61" s="26"/>
      <c r="D61" s="26"/>
      <c r="E61" s="26"/>
      <c r="F61" s="26"/>
      <c r="G61" s="26"/>
      <c r="H61" s="26"/>
      <c r="I61" s="26"/>
    </row>
    <row r="62" spans="1:9" x14ac:dyDescent="0.2">
      <c r="B62" s="26"/>
      <c r="C62" s="26"/>
      <c r="D62" s="26"/>
      <c r="E62" s="26"/>
      <c r="F62" s="26"/>
      <c r="G62" s="26"/>
      <c r="H62" s="26"/>
      <c r="I62" s="26"/>
    </row>
    <row r="63" spans="1:9" x14ac:dyDescent="0.2">
      <c r="B63" s="26"/>
      <c r="C63" s="26"/>
      <c r="D63" s="26"/>
      <c r="E63" s="26"/>
      <c r="F63" s="26"/>
      <c r="G63" s="26"/>
      <c r="H63" s="26"/>
      <c r="I63" s="26"/>
    </row>
    <row r="64" spans="1:9" x14ac:dyDescent="0.2">
      <c r="B64" s="26"/>
      <c r="C64" s="26"/>
      <c r="D64" s="26"/>
      <c r="E64" s="26"/>
      <c r="F64" s="26"/>
      <c r="G64" s="26"/>
      <c r="H64" s="26"/>
      <c r="I64" s="26"/>
    </row>
    <row r="65" spans="2:9" x14ac:dyDescent="0.2">
      <c r="B65" s="26"/>
      <c r="C65" s="26"/>
      <c r="D65" s="26"/>
      <c r="E65" s="26"/>
      <c r="F65" s="26"/>
      <c r="G65" s="26"/>
      <c r="H65" s="26"/>
      <c r="I65" s="26"/>
    </row>
    <row r="66" spans="2:9" x14ac:dyDescent="0.2">
      <c r="B66" s="26"/>
      <c r="C66" s="26"/>
      <c r="D66" s="26"/>
      <c r="E66" s="26"/>
      <c r="F66" s="26"/>
      <c r="G66" s="26"/>
      <c r="H66" s="26"/>
      <c r="I66" s="26"/>
    </row>
    <row r="67" spans="2:9" x14ac:dyDescent="0.2">
      <c r="B67" s="26"/>
      <c r="C67" s="26"/>
      <c r="D67" s="26"/>
      <c r="E67" s="26"/>
      <c r="F67" s="26"/>
      <c r="G67" s="26"/>
      <c r="H67" s="26"/>
      <c r="I67" s="26"/>
    </row>
    <row r="68" spans="2:9" x14ac:dyDescent="0.2">
      <c r="B68" s="26"/>
      <c r="C68" s="26"/>
      <c r="D68" s="26"/>
      <c r="E68" s="26"/>
      <c r="F68" s="26"/>
      <c r="G68" s="26"/>
      <c r="H68" s="26"/>
      <c r="I68" s="26"/>
    </row>
    <row r="69" spans="2:9" x14ac:dyDescent="0.2">
      <c r="B69" s="26"/>
      <c r="C69" s="26"/>
      <c r="D69" s="26"/>
      <c r="E69" s="26"/>
      <c r="F69" s="26"/>
      <c r="G69" s="26"/>
      <c r="H69" s="26"/>
      <c r="I69" s="26"/>
    </row>
    <row r="70" spans="2:9" x14ac:dyDescent="0.2">
      <c r="B70" s="26"/>
      <c r="C70" s="26"/>
      <c r="G70" s="26"/>
      <c r="H70" s="26"/>
      <c r="I70" s="26"/>
    </row>
    <row r="76" spans="2:9" x14ac:dyDescent="0.2">
      <c r="D76" s="27"/>
      <c r="E76" s="27"/>
      <c r="F76" s="27"/>
    </row>
    <row r="77" spans="2:9" x14ac:dyDescent="0.2">
      <c r="B77" s="27"/>
      <c r="C77" s="27"/>
      <c r="D77" s="27"/>
      <c r="E77" s="27"/>
      <c r="F77" s="27"/>
      <c r="G77" s="27"/>
      <c r="H77" s="27"/>
      <c r="I77" s="27"/>
    </row>
    <row r="78" spans="2:9" x14ac:dyDescent="0.2">
      <c r="B78" s="27"/>
      <c r="C78" s="27"/>
      <c r="G78" s="27"/>
      <c r="H78" s="27"/>
      <c r="I78" s="27"/>
    </row>
    <row r="96" spans="4:6" x14ac:dyDescent="0.2">
      <c r="D96" s="16"/>
      <c r="E96" s="16"/>
      <c r="F96" s="16"/>
    </row>
    <row r="97" spans="2:9" x14ac:dyDescent="0.2">
      <c r="B97" s="16"/>
      <c r="C97" s="16"/>
      <c r="D97" s="16"/>
      <c r="E97" s="16"/>
      <c r="F97" s="16"/>
      <c r="G97" s="16"/>
      <c r="H97" s="16"/>
      <c r="I97" s="16"/>
    </row>
    <row r="98" spans="2:9" x14ac:dyDescent="0.2">
      <c r="B98" s="16"/>
      <c r="C98" s="16"/>
      <c r="G98" s="16"/>
      <c r="H98" s="16"/>
      <c r="I98" s="16"/>
    </row>
  </sheetData>
  <mergeCells count="4">
    <mergeCell ref="B1:J1"/>
    <mergeCell ref="Y12:Y14"/>
    <mergeCell ref="X12:X14"/>
    <mergeCell ref="Z12:Z14"/>
  </mergeCells>
  <phoneticPr fontId="0" type="noConversion"/>
  <pageMargins left="0.38" right="0.75" top="0.73" bottom="0.74" header="0.5" footer="0.5"/>
  <pageSetup scale="4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K62"/>
  <sheetViews>
    <sheetView workbookViewId="0">
      <selection activeCell="B34" sqref="B34"/>
    </sheetView>
  </sheetViews>
  <sheetFormatPr defaultRowHeight="12.75" x14ac:dyDescent="0.2"/>
  <cols>
    <col min="1" max="1" width="11" customWidth="1"/>
    <col min="2" max="2" width="14.140625" style="6" bestFit="1" customWidth="1"/>
    <col min="3" max="4" width="17.7109375" style="6" customWidth="1"/>
    <col min="5" max="6" width="12.7109375" style="6" bestFit="1" customWidth="1"/>
    <col min="7" max="7" width="11.7109375" bestFit="1" customWidth="1"/>
    <col min="8" max="8" width="3.28515625" customWidth="1"/>
    <col min="11" max="11" width="10.42578125" bestFit="1" customWidth="1"/>
  </cols>
  <sheetData>
    <row r="1" spans="1:11" ht="30" customHeight="1" thickBot="1" x14ac:dyDescent="0.25">
      <c r="B1" s="684" t="s">
        <v>185</v>
      </c>
      <c r="C1" s="685"/>
      <c r="D1" s="685"/>
      <c r="E1" s="686"/>
    </row>
    <row r="2" spans="1:11" ht="42" customHeight="1" x14ac:dyDescent="0.2">
      <c r="B2" s="8" t="str">
        <f>'Rate Class Customer Model'!D2</f>
        <v>General Service
&gt; 50 kW</v>
      </c>
      <c r="C2" s="8" t="str">
        <f>'Rate Class Customer Model'!G2</f>
        <v xml:space="preserve">Streetlights </v>
      </c>
      <c r="D2" s="8" t="str">
        <f>'Rate Class Customer Model'!H2</f>
        <v>Sentinel Lights</v>
      </c>
      <c r="E2" s="6" t="s">
        <v>9</v>
      </c>
      <c r="J2" s="389" t="s">
        <v>312</v>
      </c>
      <c r="K2" s="393" t="s">
        <v>314</v>
      </c>
    </row>
    <row r="3" spans="1:11" x14ac:dyDescent="0.2">
      <c r="A3" s="378">
        <v>2000</v>
      </c>
      <c r="B3" s="380"/>
      <c r="C3" s="381"/>
      <c r="D3" s="382"/>
      <c r="E3" s="6">
        <f t="shared" ref="E3:E17" si="0">SUM(B3:D3)</f>
        <v>0</v>
      </c>
      <c r="I3" s="378">
        <v>2000</v>
      </c>
      <c r="J3" s="390"/>
      <c r="K3" s="390"/>
    </row>
    <row r="4" spans="1:11" x14ac:dyDescent="0.2">
      <c r="A4" s="378">
        <v>2001</v>
      </c>
      <c r="B4" s="383"/>
      <c r="C4" s="388"/>
      <c r="D4" s="384"/>
      <c r="E4" s="6">
        <f t="shared" si="0"/>
        <v>0</v>
      </c>
      <c r="I4" s="378">
        <v>2001</v>
      </c>
      <c r="J4" s="391"/>
      <c r="K4" s="391"/>
    </row>
    <row r="5" spans="1:11" x14ac:dyDescent="0.2">
      <c r="A5" s="378">
        <v>2002</v>
      </c>
      <c r="B5" s="385"/>
      <c r="C5" s="386"/>
      <c r="D5" s="387"/>
      <c r="E5" s="6">
        <f t="shared" si="0"/>
        <v>0</v>
      </c>
      <c r="I5" s="378">
        <v>2002</v>
      </c>
      <c r="J5" s="392"/>
      <c r="K5" s="392"/>
    </row>
    <row r="6" spans="1:11" ht="15" x14ac:dyDescent="0.25">
      <c r="A6" s="31">
        <v>2003</v>
      </c>
      <c r="B6" s="377">
        <f>K6-J6</f>
        <v>177667.12</v>
      </c>
      <c r="C6" s="377">
        <f>'DATA-kW'!M45</f>
        <v>2379.9104000000002</v>
      </c>
      <c r="D6" s="379">
        <f>'DATA-kW'!M65</f>
        <v>422.24788414519463</v>
      </c>
      <c r="E6" s="6">
        <f t="shared" si="0"/>
        <v>180469.27828414517</v>
      </c>
      <c r="F6" s="688" t="s">
        <v>311</v>
      </c>
      <c r="G6" s="688"/>
      <c r="I6" s="31">
        <v>2003</v>
      </c>
      <c r="J6" s="377">
        <v>12757</v>
      </c>
      <c r="K6" s="377">
        <f>'DATA-kW'!M25</f>
        <v>190424.12</v>
      </c>
    </row>
    <row r="7" spans="1:11" ht="26.25" customHeight="1" x14ac:dyDescent="0.25">
      <c r="A7" s="31">
        <v>2004</v>
      </c>
      <c r="B7" s="377">
        <f t="shared" ref="B7:B15" si="1">K7-J7</f>
        <v>184830.88</v>
      </c>
      <c r="C7" s="377">
        <f>'DATA-kW'!N45</f>
        <v>2576.6799999999998</v>
      </c>
      <c r="D7" s="377">
        <f>'DATA-kW'!N65</f>
        <v>401.14632311453829</v>
      </c>
      <c r="E7" s="6">
        <f t="shared" si="0"/>
        <v>187808.70632311454</v>
      </c>
      <c r="F7" s="687" t="s">
        <v>313</v>
      </c>
      <c r="G7" s="687"/>
      <c r="I7" s="31">
        <v>2004</v>
      </c>
      <c r="J7" s="377">
        <v>15001</v>
      </c>
      <c r="K7" s="377">
        <f>'DATA-kW'!N25</f>
        <v>199831.88</v>
      </c>
    </row>
    <row r="8" spans="1:11" ht="15" x14ac:dyDescent="0.25">
      <c r="A8" s="31">
        <v>2005</v>
      </c>
      <c r="B8" s="377">
        <f t="shared" si="1"/>
        <v>167126</v>
      </c>
      <c r="C8" s="377">
        <f>'DATA-kW'!O45</f>
        <v>2626</v>
      </c>
      <c r="D8" s="377">
        <f>'DATA-kW'!O65</f>
        <v>337</v>
      </c>
      <c r="E8" s="6">
        <f t="shared" si="0"/>
        <v>170089</v>
      </c>
      <c r="F8" s="687"/>
      <c r="G8" s="687"/>
      <c r="I8" s="31">
        <v>2005</v>
      </c>
      <c r="J8" s="377">
        <v>16309</v>
      </c>
      <c r="K8" s="377">
        <f>'DATA-kW'!O25</f>
        <v>183435</v>
      </c>
    </row>
    <row r="9" spans="1:11" ht="15" x14ac:dyDescent="0.25">
      <c r="A9" s="31">
        <v>2006</v>
      </c>
      <c r="B9" s="377">
        <f t="shared" si="1"/>
        <v>186383</v>
      </c>
      <c r="C9" s="377">
        <f>'DATA-kW'!P45</f>
        <v>2644</v>
      </c>
      <c r="D9" s="377">
        <f>'DATA-kW'!P65</f>
        <v>251</v>
      </c>
      <c r="E9" s="6">
        <f t="shared" si="0"/>
        <v>189278</v>
      </c>
      <c r="F9" s="687"/>
      <c r="G9" s="687"/>
      <c r="I9" s="31">
        <v>2006</v>
      </c>
      <c r="J9" s="377">
        <v>14721</v>
      </c>
      <c r="K9" s="377">
        <f>'DATA-kW'!P25</f>
        <v>201104</v>
      </c>
    </row>
    <row r="10" spans="1:11" ht="15" x14ac:dyDescent="0.25">
      <c r="A10" s="31">
        <v>2007</v>
      </c>
      <c r="B10" s="377">
        <f t="shared" si="1"/>
        <v>188388</v>
      </c>
      <c r="C10" s="377">
        <f>'DATA-kW'!Q45</f>
        <v>2899</v>
      </c>
      <c r="D10" s="377">
        <f>'DATA-kW'!Q65</f>
        <v>257</v>
      </c>
      <c r="E10" s="6">
        <f t="shared" si="0"/>
        <v>191544</v>
      </c>
      <c r="F10" s="687"/>
      <c r="G10" s="687"/>
      <c r="I10" s="31">
        <v>2007</v>
      </c>
      <c r="J10" s="377">
        <v>15007</v>
      </c>
      <c r="K10" s="377">
        <f>'DATA-kW'!Q25</f>
        <v>203395</v>
      </c>
    </row>
    <row r="11" spans="1:11" ht="15" x14ac:dyDescent="0.25">
      <c r="A11" s="31">
        <v>2008</v>
      </c>
      <c r="B11" s="377">
        <f t="shared" si="1"/>
        <v>191442.06025278466</v>
      </c>
      <c r="C11" s="377">
        <f>'DATA-kW'!R45</f>
        <v>3094.7685294731714</v>
      </c>
      <c r="D11" s="377">
        <f>'DATA-kW'!R65</f>
        <v>244.58537744657013</v>
      </c>
      <c r="E11" s="6">
        <f t="shared" si="0"/>
        <v>194781.41415970441</v>
      </c>
      <c r="F11" s="678" t="s">
        <v>315</v>
      </c>
      <c r="G11" s="679"/>
      <c r="I11" s="31">
        <v>2008</v>
      </c>
      <c r="J11" s="377">
        <v>7822</v>
      </c>
      <c r="K11" s="377">
        <f>'DATA-kW'!R25</f>
        <v>199264.06025278466</v>
      </c>
    </row>
    <row r="12" spans="1:11" ht="15" x14ac:dyDescent="0.25">
      <c r="A12" s="31">
        <v>2009</v>
      </c>
      <c r="B12" s="377">
        <f t="shared" si="1"/>
        <v>192430.14550135657</v>
      </c>
      <c r="C12" s="377">
        <f>'DATA-kW'!S45</f>
        <v>2883.032223061407</v>
      </c>
      <c r="D12" s="377">
        <f>'DATA-kW'!S65</f>
        <v>102.41462255342987</v>
      </c>
      <c r="E12" s="6">
        <f t="shared" si="0"/>
        <v>195415.59234697139</v>
      </c>
      <c r="F12" s="680"/>
      <c r="G12" s="681"/>
      <c r="I12" s="31">
        <v>2009</v>
      </c>
      <c r="J12" s="377">
        <v>525</v>
      </c>
      <c r="K12" s="377">
        <f>'DATA-kW'!S25</f>
        <v>192955.14550135657</v>
      </c>
    </row>
    <row r="13" spans="1:11" ht="15" x14ac:dyDescent="0.25">
      <c r="A13" s="31">
        <v>2010</v>
      </c>
      <c r="B13" s="377">
        <f t="shared" si="1"/>
        <v>197719.76424585879</v>
      </c>
      <c r="C13" s="377">
        <f>'DATA-kW'!T45</f>
        <v>3197.9392474654219</v>
      </c>
      <c r="D13" s="675"/>
      <c r="E13" s="6">
        <f t="shared" si="0"/>
        <v>200917.70349332422</v>
      </c>
      <c r="F13" s="680"/>
      <c r="G13" s="681"/>
      <c r="I13" s="31">
        <v>2010</v>
      </c>
      <c r="J13" s="394">
        <v>0</v>
      </c>
      <c r="K13" s="377">
        <f>'DATA-kW'!T25</f>
        <v>197719.76424585879</v>
      </c>
    </row>
    <row r="14" spans="1:11" ht="15" x14ac:dyDescent="0.25">
      <c r="A14" s="31">
        <v>2011</v>
      </c>
      <c r="B14" s="377">
        <f t="shared" si="1"/>
        <v>200689.96</v>
      </c>
      <c r="C14" s="377">
        <f>'DATA-kW'!U45</f>
        <v>3221.49</v>
      </c>
      <c r="D14" s="676"/>
      <c r="E14" s="6">
        <f t="shared" si="0"/>
        <v>203911.44999999998</v>
      </c>
      <c r="F14" s="680"/>
      <c r="G14" s="681"/>
      <c r="I14" s="31">
        <v>2011</v>
      </c>
      <c r="J14" s="394">
        <v>0</v>
      </c>
      <c r="K14" s="377">
        <f>'DATA-kW'!U25</f>
        <v>200689.96</v>
      </c>
    </row>
    <row r="15" spans="1:11" ht="15" x14ac:dyDescent="0.25">
      <c r="A15" s="31">
        <v>2012</v>
      </c>
      <c r="B15" s="377">
        <f t="shared" si="1"/>
        <v>202737.31</v>
      </c>
      <c r="C15" s="377">
        <f>'DATA-kW'!V45</f>
        <v>3238</v>
      </c>
      <c r="D15" s="677"/>
      <c r="E15" s="6">
        <f t="shared" si="0"/>
        <v>205975.31</v>
      </c>
      <c r="F15" s="682"/>
      <c r="G15" s="683"/>
      <c r="I15" s="31">
        <v>2012</v>
      </c>
      <c r="J15" s="394">
        <v>0</v>
      </c>
      <c r="K15" s="377">
        <f>'DATA-kW'!V25</f>
        <v>202737.31</v>
      </c>
    </row>
    <row r="16" spans="1:11" x14ac:dyDescent="0.2">
      <c r="A16" s="31">
        <v>2013</v>
      </c>
      <c r="B16" s="32">
        <f>'Rate Class Energy Model'!J80*$B$34</f>
        <v>194683.45387833432</v>
      </c>
      <c r="C16" s="32">
        <f>'Rate Class Energy Model'!K80*C34</f>
        <v>3259.7560076882087</v>
      </c>
      <c r="D16" s="421"/>
      <c r="E16" s="6">
        <f t="shared" si="0"/>
        <v>197943.20988602252</v>
      </c>
    </row>
    <row r="17" spans="1:11" x14ac:dyDescent="0.2">
      <c r="A17" s="31">
        <v>2014</v>
      </c>
      <c r="B17" s="547">
        <f>('Rate Class Energy Model'!J81-'Rate Class Energy Model'!J100)*B34+'DATA-New Outlet Mall 2014'!C20</f>
        <v>199308.82985908294</v>
      </c>
      <c r="C17" s="32">
        <f>'Rate Class Energy Model'!K81*C34</f>
        <v>3376.7319487552354</v>
      </c>
      <c r="D17" s="421"/>
      <c r="E17" s="6">
        <f t="shared" si="0"/>
        <v>202685.56180783818</v>
      </c>
    </row>
    <row r="18" spans="1:11" x14ac:dyDescent="0.2">
      <c r="A18" s="21"/>
    </row>
    <row r="19" spans="1:11" x14ac:dyDescent="0.2">
      <c r="A19" s="20" t="s">
        <v>65</v>
      </c>
      <c r="B19" s="5"/>
      <c r="C19" s="5"/>
      <c r="D19" s="5"/>
    </row>
    <row r="20" spans="1:11" ht="15" x14ac:dyDescent="0.25">
      <c r="A20" s="4">
        <v>2000</v>
      </c>
      <c r="B20" s="275"/>
      <c r="C20" s="275"/>
      <c r="D20" s="275"/>
      <c r="K20" s="377"/>
    </row>
    <row r="21" spans="1:11" x14ac:dyDescent="0.2">
      <c r="A21" s="4">
        <v>2001</v>
      </c>
      <c r="B21" s="275"/>
      <c r="C21" s="275"/>
      <c r="D21" s="275"/>
    </row>
    <row r="22" spans="1:11" x14ac:dyDescent="0.2">
      <c r="A22" s="4">
        <v>2002</v>
      </c>
      <c r="B22" s="275"/>
      <c r="C22" s="275"/>
      <c r="D22" s="275"/>
    </row>
    <row r="23" spans="1:11" x14ac:dyDescent="0.2">
      <c r="A23" s="4">
        <v>2003</v>
      </c>
      <c r="B23" s="29">
        <f>B6/'Rate Class Energy Model'!J14</f>
        <v>2.5186995955980575E-3</v>
      </c>
      <c r="C23" s="29">
        <f>C6/'Rate Class Energy Model'!K14</f>
        <v>2.691219554338372E-3</v>
      </c>
      <c r="D23" s="29">
        <f>D6/'Rate Class Energy Model'!L14</f>
        <v>2.9065619735478792E-3</v>
      </c>
    </row>
    <row r="24" spans="1:11" x14ac:dyDescent="0.2">
      <c r="A24" s="4">
        <v>2004</v>
      </c>
      <c r="B24" s="29">
        <f>B7/'Rate Class Energy Model'!J15</f>
        <v>2.498844139682059E-3</v>
      </c>
      <c r="C24" s="29">
        <f>C7/'Rate Class Energy Model'!K15</f>
        <v>2.8170227467032255E-3</v>
      </c>
      <c r="D24" s="29">
        <f>D7/'Rate Class Energy Model'!L15</f>
        <v>2.0313880466012652E-3</v>
      </c>
    </row>
    <row r="25" spans="1:11" ht="15" x14ac:dyDescent="0.25">
      <c r="A25" s="4">
        <v>2005</v>
      </c>
      <c r="B25" s="29">
        <f>B8/'Rate Class Energy Model'!J16</f>
        <v>2.1943004278600921E-3</v>
      </c>
      <c r="C25" s="29">
        <f>C8/'Rate Class Energy Model'!K16</f>
        <v>2.6373458618978848E-3</v>
      </c>
      <c r="D25" s="29">
        <f>D8/'Rate Class Energy Model'!L16</f>
        <v>2.7667627234140373E-3</v>
      </c>
      <c r="G25" s="377"/>
    </row>
    <row r="26" spans="1:11" x14ac:dyDescent="0.2">
      <c r="A26" s="4">
        <v>2006</v>
      </c>
      <c r="B26" s="29">
        <f>B9/'Rate Class Energy Model'!J17</f>
        <v>2.3516367926037607E-3</v>
      </c>
      <c r="C26" s="29">
        <f>C9/'Rate Class Energy Model'!K17</f>
        <v>2.3630118928136376E-3</v>
      </c>
      <c r="D26" s="29">
        <f>D9/'Rate Class Energy Model'!L17</f>
        <v>2.027240499653445E-3</v>
      </c>
    </row>
    <row r="27" spans="1:11" x14ac:dyDescent="0.2">
      <c r="A27" s="4">
        <v>2007</v>
      </c>
      <c r="B27" s="29">
        <f>B10/'Rate Class Energy Model'!J18</f>
        <v>2.3942079049071884E-3</v>
      </c>
      <c r="C27" s="29">
        <f>C10/'Rate Class Energy Model'!K18</f>
        <v>2.8926794953027636E-3</v>
      </c>
      <c r="D27" s="29">
        <f>D10/'Rate Class Energy Model'!L18</f>
        <v>2.5452096579317448E-3</v>
      </c>
    </row>
    <row r="28" spans="1:11" x14ac:dyDescent="0.2">
      <c r="A28" s="4">
        <v>2008</v>
      </c>
      <c r="B28" s="29">
        <f>B11/'Rate Class Energy Model'!J19</f>
        <v>2.570525483893425E-3</v>
      </c>
      <c r="C28" s="29">
        <f>C11/'Rate Class Energy Model'!K19</f>
        <v>2.7604300306274254E-3</v>
      </c>
      <c r="D28" s="29">
        <f>D11/'Rate Class Energy Model'!L19</f>
        <v>3.7435060802706306E-3</v>
      </c>
    </row>
    <row r="29" spans="1:11" x14ac:dyDescent="0.2">
      <c r="A29" s="4">
        <v>2009</v>
      </c>
      <c r="B29" s="29">
        <f>B12/'Rate Class Energy Model'!J20</f>
        <v>2.5797968359201309E-3</v>
      </c>
      <c r="C29" s="29">
        <f>C12/'Rate Class Energy Model'!K20</f>
        <v>2.4942100994623023E-3</v>
      </c>
      <c r="D29" s="29">
        <f>D12/'Rate Class Energy Model'!L20</f>
        <v>1.8732902829360167E-2</v>
      </c>
    </row>
    <row r="30" spans="1:11" x14ac:dyDescent="0.2">
      <c r="A30" s="4">
        <v>2010</v>
      </c>
      <c r="B30" s="29">
        <f>B13/'Rate Class Energy Model'!J21</f>
        <v>2.577668216939691E-3</v>
      </c>
      <c r="C30" s="29">
        <f>C13/'Rate Class Energy Model'!K21</f>
        <v>2.816083481518294E-3</v>
      </c>
      <c r="D30" s="422"/>
    </row>
    <row r="31" spans="1:11" x14ac:dyDescent="0.2">
      <c r="A31" s="4">
        <v>2011</v>
      </c>
      <c r="B31" s="29">
        <f>B14/'Rate Class Energy Model'!J22</f>
        <v>2.4936564747594027E-3</v>
      </c>
      <c r="C31" s="29">
        <f>C14/'Rate Class Energy Model'!K22</f>
        <v>2.792024939728605E-3</v>
      </c>
      <c r="D31" s="422"/>
    </row>
    <row r="32" spans="1:11" x14ac:dyDescent="0.2">
      <c r="A32" s="4">
        <v>2012</v>
      </c>
      <c r="B32" s="29">
        <f>B15/'Rate Class Energy Model'!J23</f>
        <v>2.5590907107981647E-3</v>
      </c>
      <c r="C32" s="29">
        <f>C15/'Rate Class Energy Model'!K23</f>
        <v>2.7830684920203807E-3</v>
      </c>
      <c r="D32" s="422"/>
    </row>
    <row r="33" spans="1:4" x14ac:dyDescent="0.2">
      <c r="D33" s="398"/>
    </row>
    <row r="34" spans="1:4" x14ac:dyDescent="0.2">
      <c r="A34" t="s">
        <v>13</v>
      </c>
      <c r="B34" s="29">
        <f>AVERAGE(B20:B32)</f>
        <v>2.4738426582961966E-3</v>
      </c>
      <c r="C34" s="29">
        <f>AVERAGE(C20:C32)</f>
        <v>2.7047096594412894E-3</v>
      </c>
      <c r="D34" s="422"/>
    </row>
    <row r="41" spans="1:4" x14ac:dyDescent="0.2">
      <c r="B41" s="27"/>
      <c r="C41" s="27"/>
      <c r="D41" s="27"/>
    </row>
    <row r="42" spans="1:4" x14ac:dyDescent="0.2">
      <c r="B42" s="27"/>
      <c r="C42" s="27"/>
      <c r="D42" s="27"/>
    </row>
    <row r="61" spans="2:4" x14ac:dyDescent="0.2">
      <c r="B61" s="16"/>
      <c r="C61" s="16"/>
      <c r="D61" s="16"/>
    </row>
    <row r="62" spans="2:4" x14ac:dyDescent="0.2">
      <c r="B62" s="16"/>
      <c r="C62" s="16"/>
      <c r="D62" s="16"/>
    </row>
  </sheetData>
  <mergeCells count="5">
    <mergeCell ref="D13:D15"/>
    <mergeCell ref="F11:G15"/>
    <mergeCell ref="B1:E1"/>
    <mergeCell ref="F7:G10"/>
    <mergeCell ref="F6:G6"/>
  </mergeCells>
  <phoneticPr fontId="0" type="noConversion"/>
  <pageMargins left="0.38" right="0.75" top="0.73" bottom="0.74" header="0.5" footer="0.5"/>
  <pageSetup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K93"/>
  <sheetViews>
    <sheetView workbookViewId="0">
      <selection activeCell="G3" sqref="G3"/>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24.285156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433</v>
      </c>
      <c r="B1" s="208" t="s">
        <v>140</v>
      </c>
      <c r="C1" s="208" t="s">
        <v>170</v>
      </c>
      <c r="D1" s="208" t="s">
        <v>186</v>
      </c>
    </row>
    <row r="2" spans="1:11" ht="15" x14ac:dyDescent="0.25">
      <c r="A2" s="69" t="str">
        <f>'Rate Class Energy Model'!H2</f>
        <v xml:space="preserve">Residential </v>
      </c>
      <c r="B2" s="197">
        <f>Summary!O13</f>
        <v>66370992.168057308</v>
      </c>
      <c r="C2" s="196"/>
      <c r="D2" s="656">
        <f>[9]Sheet1!$B$21</f>
        <v>0.96538068898838592</v>
      </c>
    </row>
    <row r="3" spans="1:11" ht="15" x14ac:dyDescent="0.25">
      <c r="A3" s="69" t="str">
        <f>'Rate Class Energy Model'!I2</f>
        <v>General Service
&lt; 50 kW</v>
      </c>
      <c r="B3" s="197">
        <f>Summary!O17</f>
        <v>34202817.728189833</v>
      </c>
      <c r="C3" s="196"/>
      <c r="D3" s="656">
        <f>[9]Sheet1!$C$21</f>
        <v>0.91421284566311478</v>
      </c>
    </row>
    <row r="4" spans="1:11" ht="15" x14ac:dyDescent="0.25">
      <c r="A4" s="69" t="str">
        <f>'Rate Class Energy Model'!J2</f>
        <v>General Service
&gt; 50 kW</v>
      </c>
      <c r="B4" s="197">
        <f>Summary!O21</f>
        <v>78696780.987849146</v>
      </c>
      <c r="C4" s="207">
        <f>Summary!O22</f>
        <v>194683.45387833432</v>
      </c>
      <c r="D4" s="656">
        <f>[9]Sheet1!$D$21</f>
        <v>6.9246055159486467E-2</v>
      </c>
    </row>
    <row r="5" spans="1:11" hidden="1" x14ac:dyDescent="0.2">
      <c r="A5" s="416"/>
      <c r="B5" s="408"/>
      <c r="C5" s="409"/>
      <c r="D5" s="657"/>
      <c r="K5" s="163"/>
    </row>
    <row r="6" spans="1:11" hidden="1" x14ac:dyDescent="0.2">
      <c r="A6" s="416"/>
      <c r="B6" s="408"/>
      <c r="C6" s="409"/>
      <c r="D6" s="657"/>
    </row>
    <row r="7" spans="1:11" ht="15" x14ac:dyDescent="0.25">
      <c r="A7" s="69" t="str">
        <f>'Rate Class Customer Model'!G2</f>
        <v xml:space="preserve">Streetlights </v>
      </c>
      <c r="B7" s="197">
        <f>Summary!O36</f>
        <v>1205214.7617062805</v>
      </c>
      <c r="C7" s="207">
        <f>Summary!O37</f>
        <v>3259.7560076882087</v>
      </c>
      <c r="D7" s="656">
        <f>[9]Sheet1!$E$21</f>
        <v>8.7395914269801214E-2</v>
      </c>
    </row>
    <row r="8" spans="1:11" hidden="1" x14ac:dyDescent="0.2">
      <c r="A8" s="415" t="str">
        <f>'Rate Class Customer Model'!H2</f>
        <v>Sentinel Lights</v>
      </c>
      <c r="B8" s="408"/>
      <c r="C8" s="409"/>
      <c r="D8" s="657"/>
    </row>
    <row r="9" spans="1:11" ht="15" x14ac:dyDescent="0.25">
      <c r="A9" s="69" t="str">
        <f>'Rate Class Customer Model'!I2</f>
        <v xml:space="preserve">Unmetered Loads </v>
      </c>
      <c r="B9" s="197">
        <f>Summary!O46</f>
        <v>238006.56062295177</v>
      </c>
      <c r="C9" s="196"/>
      <c r="D9" s="656">
        <f>[9]Sheet1!$F$21</f>
        <v>1</v>
      </c>
    </row>
    <row r="10" spans="1:11" x14ac:dyDescent="0.2">
      <c r="A10" s="181" t="s">
        <v>161</v>
      </c>
      <c r="B10" s="170">
        <f>SUM(B2:B9)</f>
        <v>180713812.20642555</v>
      </c>
      <c r="C10" s="170">
        <f>SUM(C2:C9)</f>
        <v>197943.20988602252</v>
      </c>
      <c r="D10" s="170"/>
    </row>
    <row r="11" spans="1:11" x14ac:dyDescent="0.2">
      <c r="B11" s="66"/>
      <c r="C11" s="66"/>
    </row>
    <row r="13" spans="1:11" x14ac:dyDescent="0.2">
      <c r="A13" s="201" t="s">
        <v>177</v>
      </c>
      <c r="B13" s="696" t="s">
        <v>178</v>
      </c>
      <c r="C13" s="698" t="s">
        <v>179</v>
      </c>
      <c r="D13" s="171"/>
      <c r="E13" s="200"/>
      <c r="F13" s="199"/>
    </row>
    <row r="14" spans="1:11" x14ac:dyDescent="0.2">
      <c r="A14" s="180" t="s">
        <v>176</v>
      </c>
      <c r="B14" s="697"/>
      <c r="C14" s="699"/>
      <c r="D14" s="700">
        <v>2013</v>
      </c>
      <c r="E14" s="701"/>
      <c r="F14" s="702"/>
    </row>
    <row r="15" spans="1:11" ht="15" x14ac:dyDescent="0.25">
      <c r="A15" s="198" t="str">
        <f>A2</f>
        <v xml:space="preserve">Residential </v>
      </c>
      <c r="B15" s="197">
        <f>B2*D2</f>
        <v>64073274.148041926</v>
      </c>
      <c r="C15" s="511">
        <v>1.0463</v>
      </c>
      <c r="D15" s="183">
        <f t="shared" ref="D15:D22" si="0">B15*C15</f>
        <v>67039866.741096266</v>
      </c>
      <c r="E15" s="560">
        <v>8.3949999999999997E-2</v>
      </c>
      <c r="F15" s="182">
        <f t="shared" ref="F15:F22" si="1">D15*E15</f>
        <v>5627996.8129150309</v>
      </c>
    </row>
    <row r="16" spans="1:11" ht="15" x14ac:dyDescent="0.25">
      <c r="A16" s="198" t="str">
        <f t="shared" ref="A16:A22" si="2">A3</f>
        <v>General Service
&lt; 50 kW</v>
      </c>
      <c r="B16" s="197">
        <f t="shared" ref="B16:B22" si="3">B3*D3</f>
        <v>31268655.324985258</v>
      </c>
      <c r="C16" s="511">
        <f>C15</f>
        <v>1.0463</v>
      </c>
      <c r="D16" s="183">
        <f t="shared" si="0"/>
        <v>32716394.066532075</v>
      </c>
      <c r="E16" s="560">
        <v>8.3949999999999997E-2</v>
      </c>
      <c r="F16" s="182">
        <f t="shared" si="1"/>
        <v>2746541.2818853678</v>
      </c>
    </row>
    <row r="17" spans="1:6" ht="15" x14ac:dyDescent="0.25">
      <c r="A17" s="198" t="str">
        <f t="shared" si="2"/>
        <v>General Service
&gt; 50 kW</v>
      </c>
      <c r="B17" s="197">
        <f t="shared" si="3"/>
        <v>5449441.6371586276</v>
      </c>
      <c r="C17" s="511">
        <f>C15</f>
        <v>1.0463</v>
      </c>
      <c r="D17" s="183">
        <f t="shared" si="0"/>
        <v>5701750.7849590722</v>
      </c>
      <c r="E17" s="560">
        <v>8.3949999999999997E-2</v>
      </c>
      <c r="F17" s="182">
        <f t="shared" si="1"/>
        <v>478661.97839731409</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105330.84599078099</v>
      </c>
      <c r="C20" s="511">
        <f>C15</f>
        <v>1.0463</v>
      </c>
      <c r="D20" s="183">
        <f t="shared" si="0"/>
        <v>110207.66416015415</v>
      </c>
      <c r="E20" s="560">
        <v>8.3949999999999997E-2</v>
      </c>
      <c r="F20" s="182">
        <f t="shared" si="1"/>
        <v>9251.9334062449398</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238006.56062295177</v>
      </c>
      <c r="C22" s="511">
        <f>C15</f>
        <v>1.0463</v>
      </c>
      <c r="D22" s="183">
        <f t="shared" si="0"/>
        <v>249026.26437979445</v>
      </c>
      <c r="E22" s="560">
        <v>8.3949999999999997E-2</v>
      </c>
      <c r="F22" s="182">
        <f t="shared" si="1"/>
        <v>20905.754894683741</v>
      </c>
    </row>
    <row r="23" spans="1:6" x14ac:dyDescent="0.2">
      <c r="A23" s="181" t="s">
        <v>161</v>
      </c>
      <c r="B23" s="170">
        <f>SUM(B15:B22)</f>
        <v>101134708.51679954</v>
      </c>
      <c r="C23" s="180"/>
      <c r="D23" s="170">
        <f>SUM(D15:D22)</f>
        <v>105817245.52112736</v>
      </c>
      <c r="E23" s="179"/>
      <c r="F23" s="195">
        <f>SUM(F15:F22)</f>
        <v>8883357.7614986412</v>
      </c>
    </row>
    <row r="24" spans="1:6" x14ac:dyDescent="0.2">
      <c r="A24" s="206"/>
      <c r="B24" s="204"/>
      <c r="C24" s="205"/>
      <c r="D24" s="204"/>
      <c r="E24" s="203"/>
      <c r="F24" s="202"/>
    </row>
    <row r="25" spans="1:6" x14ac:dyDescent="0.2">
      <c r="A25" s="201" t="s">
        <v>175</v>
      </c>
      <c r="B25" s="696" t="s">
        <v>178</v>
      </c>
      <c r="C25" s="698" t="s">
        <v>179</v>
      </c>
      <c r="D25" s="171"/>
      <c r="E25" s="200"/>
      <c r="F25" s="199"/>
    </row>
    <row r="26" spans="1:6" x14ac:dyDescent="0.2">
      <c r="A26" s="180" t="s">
        <v>167</v>
      </c>
      <c r="B26" s="697"/>
      <c r="C26" s="699"/>
      <c r="D26" s="700">
        <v>2013</v>
      </c>
      <c r="E26" s="701"/>
      <c r="F26" s="702"/>
    </row>
    <row r="27" spans="1:6" x14ac:dyDescent="0.2">
      <c r="A27" s="198" t="str">
        <f>A15</f>
        <v xml:space="preserve">Residential </v>
      </c>
      <c r="B27" s="197">
        <f>B2-B15</f>
        <v>2297718.0200153813</v>
      </c>
      <c r="C27" s="196">
        <f>C15</f>
        <v>1.0463</v>
      </c>
      <c r="D27" s="183">
        <f t="shared" ref="D27:D34" si="4">B27*C27</f>
        <v>2404102.3643420935</v>
      </c>
      <c r="E27" s="560">
        <v>8.5449999999999998E-2</v>
      </c>
      <c r="F27" s="182">
        <f t="shared" ref="F27:F34" si="5">D27*E27</f>
        <v>205430.54703303188</v>
      </c>
    </row>
    <row r="28" spans="1:6" x14ac:dyDescent="0.2">
      <c r="A28" s="198" t="str">
        <f t="shared" ref="A28:A34" si="6">A16</f>
        <v>General Service
&lt; 50 kW</v>
      </c>
      <c r="B28" s="197">
        <f t="shared" ref="B28:B34" si="7">B3-B16</f>
        <v>2934162.4032045752</v>
      </c>
      <c r="C28" s="196">
        <f t="shared" ref="C28:C34" si="8">C16</f>
        <v>1.0463</v>
      </c>
      <c r="D28" s="183">
        <f t="shared" si="4"/>
        <v>3070014.122472947</v>
      </c>
      <c r="E28" s="560">
        <v>8.5449999999999998E-2</v>
      </c>
      <c r="F28" s="182">
        <f t="shared" si="5"/>
        <v>262332.70676531334</v>
      </c>
    </row>
    <row r="29" spans="1:6" x14ac:dyDescent="0.2">
      <c r="A29" s="198" t="str">
        <f t="shared" si="6"/>
        <v>General Service
&gt; 50 kW</v>
      </c>
      <c r="B29" s="197">
        <f t="shared" si="7"/>
        <v>73247339.350690514</v>
      </c>
      <c r="C29" s="196">
        <f t="shared" si="8"/>
        <v>1.0463</v>
      </c>
      <c r="D29" s="183">
        <f t="shared" si="4"/>
        <v>76638691.162627488</v>
      </c>
      <c r="E29" s="560">
        <v>8.5449999999999998E-2</v>
      </c>
      <c r="F29" s="182">
        <f t="shared" si="5"/>
        <v>6548776.1598465191</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1099883.9157154995</v>
      </c>
      <c r="C32" s="196">
        <f t="shared" si="8"/>
        <v>1.0463</v>
      </c>
      <c r="D32" s="183">
        <f t="shared" si="4"/>
        <v>1150808.5410131272</v>
      </c>
      <c r="E32" s="560">
        <v>8.5449999999999998E-2</v>
      </c>
      <c r="F32" s="182">
        <f t="shared" si="5"/>
        <v>98336.58982957172</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1.0463</v>
      </c>
      <c r="D34" s="183">
        <f t="shared" si="4"/>
        <v>0</v>
      </c>
      <c r="E34" s="560">
        <v>8.5449999999999998E-2</v>
      </c>
      <c r="F34" s="182">
        <f t="shared" si="5"/>
        <v>0</v>
      </c>
    </row>
    <row r="35" spans="1:8" x14ac:dyDescent="0.2">
      <c r="A35" s="181" t="s">
        <v>161</v>
      </c>
      <c r="B35" s="170">
        <f>SUM(B27:B34)</f>
        <v>79579103.689625964</v>
      </c>
      <c r="C35" s="180"/>
      <c r="D35" s="170">
        <f>SUM(D27:D34)</f>
        <v>83263616.190455645</v>
      </c>
      <c r="E35" s="179"/>
      <c r="F35" s="195">
        <f>SUM(F27:F34)</f>
        <v>7114876.0034744358</v>
      </c>
    </row>
    <row r="37" spans="1:8" x14ac:dyDescent="0.2">
      <c r="A37" s="192" t="s">
        <v>174</v>
      </c>
      <c r="B37" s="188"/>
      <c r="C37" s="194" t="s">
        <v>172</v>
      </c>
      <c r="D37" s="190"/>
      <c r="E37" s="189"/>
      <c r="F37" s="188"/>
    </row>
    <row r="38" spans="1:8" x14ac:dyDescent="0.2">
      <c r="A38" s="180" t="s">
        <v>167</v>
      </c>
      <c r="B38" s="187"/>
      <c r="C38" s="193" t="s">
        <v>171</v>
      </c>
      <c r="D38" s="691">
        <v>2013</v>
      </c>
      <c r="E38" s="692"/>
      <c r="F38" s="693"/>
    </row>
    <row r="39" spans="1:8" x14ac:dyDescent="0.2">
      <c r="A39" s="185" t="str">
        <f>A27</f>
        <v xml:space="preserve">Residential </v>
      </c>
      <c r="B39" s="183"/>
      <c r="C39" s="184" t="s">
        <v>140</v>
      </c>
      <c r="D39" s="183">
        <f>D15+D27</f>
        <v>69443969.105438352</v>
      </c>
      <c r="E39" s="559">
        <v>7.0000000000000001E-3</v>
      </c>
      <c r="F39" s="182">
        <f t="shared" ref="F39:F46" si="9">D39*E39</f>
        <v>486107.78373806848</v>
      </c>
    </row>
    <row r="40" spans="1:8" x14ac:dyDescent="0.2">
      <c r="A40" s="185" t="str">
        <f t="shared" ref="A40:A46" si="10">A28</f>
        <v>General Service
&lt; 50 kW</v>
      </c>
      <c r="B40" s="183"/>
      <c r="C40" s="184" t="s">
        <v>140</v>
      </c>
      <c r="D40" s="183">
        <f>D16+D28</f>
        <v>35786408.189005025</v>
      </c>
      <c r="E40" s="559">
        <v>6.4000000000000003E-3</v>
      </c>
      <c r="F40" s="182">
        <f t="shared" si="9"/>
        <v>229033.01240963218</v>
      </c>
    </row>
    <row r="41" spans="1:8" x14ac:dyDescent="0.2">
      <c r="A41" s="185" t="str">
        <f t="shared" si="10"/>
        <v>General Service
&gt; 50 kW</v>
      </c>
      <c r="B41" s="183"/>
      <c r="C41" s="184" t="s">
        <v>170</v>
      </c>
      <c r="D41" s="183">
        <f>C4</f>
        <v>194683.45387833432</v>
      </c>
      <c r="E41" s="559">
        <v>2.5928</v>
      </c>
      <c r="F41" s="182">
        <f t="shared" si="9"/>
        <v>504775.2592157452</v>
      </c>
    </row>
    <row r="42" spans="1:8" hidden="1" x14ac:dyDescent="0.2">
      <c r="A42" s="416"/>
      <c r="B42" s="408"/>
      <c r="C42" s="410"/>
      <c r="D42" s="408"/>
      <c r="E42" s="411"/>
      <c r="F42" s="412"/>
      <c r="H42" s="34"/>
    </row>
    <row r="43" spans="1:8" hidden="1" x14ac:dyDescent="0.2">
      <c r="A43" s="416"/>
      <c r="B43" s="408"/>
      <c r="C43" s="410"/>
      <c r="D43" s="408"/>
      <c r="E43" s="411"/>
      <c r="F43" s="412"/>
    </row>
    <row r="44" spans="1:8" x14ac:dyDescent="0.2">
      <c r="A44" s="185" t="str">
        <f t="shared" si="10"/>
        <v xml:space="preserve">Streetlights </v>
      </c>
      <c r="B44" s="183"/>
      <c r="C44" s="184" t="s">
        <v>170</v>
      </c>
      <c r="D44" s="183">
        <f>C7</f>
        <v>3259.7560076882087</v>
      </c>
      <c r="E44" s="559">
        <v>1.9552</v>
      </c>
      <c r="F44" s="182">
        <f t="shared" si="9"/>
        <v>6373.474946231986</v>
      </c>
    </row>
    <row r="45" spans="1:8" hidden="1" x14ac:dyDescent="0.2">
      <c r="A45" s="415" t="str">
        <f>A33</f>
        <v>Sentinel Lights</v>
      </c>
      <c r="B45" s="408"/>
      <c r="C45" s="413"/>
      <c r="D45" s="408"/>
      <c r="E45" s="414"/>
      <c r="F45" s="412"/>
    </row>
    <row r="46" spans="1:8" x14ac:dyDescent="0.2">
      <c r="A46" s="185" t="str">
        <f t="shared" si="10"/>
        <v xml:space="preserve">Unmetered Loads </v>
      </c>
      <c r="B46" s="183"/>
      <c r="C46" s="184" t="s">
        <v>140</v>
      </c>
      <c r="D46" s="183">
        <f>D22+D34</f>
        <v>249026.26437979445</v>
      </c>
      <c r="E46" s="559">
        <v>6.4000000000000003E-3</v>
      </c>
      <c r="F46" s="182">
        <f t="shared" si="9"/>
        <v>1593.7680920306846</v>
      </c>
    </row>
    <row r="47" spans="1:8" x14ac:dyDescent="0.2">
      <c r="A47" s="181" t="s">
        <v>161</v>
      </c>
      <c r="B47" s="170"/>
      <c r="C47" s="180"/>
      <c r="D47" s="170"/>
      <c r="E47" s="179"/>
      <c r="F47" s="178">
        <f>SUM(F39:F46)</f>
        <v>1227883.2984017085</v>
      </c>
    </row>
    <row r="49" spans="1:6" x14ac:dyDescent="0.2">
      <c r="A49" s="192" t="s">
        <v>173</v>
      </c>
      <c r="B49" s="188"/>
      <c r="C49" s="191" t="s">
        <v>172</v>
      </c>
      <c r="D49" s="190"/>
      <c r="E49" s="189"/>
      <c r="F49" s="188"/>
    </row>
    <row r="50" spans="1:6" x14ac:dyDescent="0.2">
      <c r="A50" s="180" t="s">
        <v>167</v>
      </c>
      <c r="B50" s="187"/>
      <c r="C50" s="186" t="s">
        <v>171</v>
      </c>
      <c r="D50" s="691">
        <v>2013</v>
      </c>
      <c r="E50" s="692"/>
      <c r="F50" s="693"/>
    </row>
    <row r="51" spans="1:6" x14ac:dyDescent="0.2">
      <c r="A51" s="185" t="str">
        <f>A39</f>
        <v xml:space="preserve">Residential </v>
      </c>
      <c r="B51" s="183"/>
      <c r="C51" s="184" t="str">
        <f>C39</f>
        <v>kWh</v>
      </c>
      <c r="D51" s="183">
        <f>D39</f>
        <v>69443969.105438352</v>
      </c>
      <c r="E51" s="559">
        <v>1.1999999999999999E-3</v>
      </c>
      <c r="F51" s="182">
        <f t="shared" ref="F51:F58" si="11">D51*E51</f>
        <v>83332.762926526018</v>
      </c>
    </row>
    <row r="52" spans="1:6" x14ac:dyDescent="0.2">
      <c r="A52" s="185" t="str">
        <f t="shared" ref="A52:A58" si="12">A40</f>
        <v>General Service
&lt; 50 kW</v>
      </c>
      <c r="B52" s="183"/>
      <c r="C52" s="184" t="str">
        <f t="shared" ref="C52:D58" si="13">C40</f>
        <v>kWh</v>
      </c>
      <c r="D52" s="183">
        <f t="shared" si="13"/>
        <v>35786408.189005025</v>
      </c>
      <c r="E52" s="559">
        <v>1.1999999999999999E-3</v>
      </c>
      <c r="F52" s="182">
        <f t="shared" si="11"/>
        <v>42943.689826806025</v>
      </c>
    </row>
    <row r="53" spans="1:6" x14ac:dyDescent="0.2">
      <c r="A53" s="185" t="str">
        <f t="shared" si="12"/>
        <v>General Service
&gt; 50 kW</v>
      </c>
      <c r="B53" s="183"/>
      <c r="C53" s="184" t="str">
        <f t="shared" si="13"/>
        <v>kW</v>
      </c>
      <c r="D53" s="183">
        <f t="shared" si="13"/>
        <v>194683.45387833432</v>
      </c>
      <c r="E53" s="559">
        <v>0.43149999999999999</v>
      </c>
      <c r="F53" s="182">
        <f t="shared" si="11"/>
        <v>84005.91034850126</v>
      </c>
    </row>
    <row r="54" spans="1:6" hidden="1" x14ac:dyDescent="0.2">
      <c r="A54" s="416"/>
      <c r="B54" s="408"/>
      <c r="C54" s="410"/>
      <c r="D54" s="408"/>
      <c r="E54" s="411"/>
      <c r="F54" s="412"/>
    </row>
    <row r="55" spans="1:6" hidden="1" x14ac:dyDescent="0.2">
      <c r="A55" s="416"/>
      <c r="B55" s="408"/>
      <c r="C55" s="410"/>
      <c r="D55" s="408"/>
      <c r="E55" s="411"/>
      <c r="F55" s="412"/>
    </row>
    <row r="56" spans="1:6" x14ac:dyDescent="0.2">
      <c r="A56" s="185" t="str">
        <f t="shared" si="12"/>
        <v xml:space="preserve">Streetlights </v>
      </c>
      <c r="B56" s="183"/>
      <c r="C56" s="184" t="str">
        <f t="shared" si="13"/>
        <v>kW</v>
      </c>
      <c r="D56" s="183">
        <f t="shared" si="13"/>
        <v>3259.7560076882087</v>
      </c>
      <c r="E56" s="559">
        <v>0.33360000000000001</v>
      </c>
      <c r="F56" s="182">
        <f t="shared" si="11"/>
        <v>1087.4546041647864</v>
      </c>
    </row>
    <row r="57" spans="1:6" hidden="1" x14ac:dyDescent="0.2">
      <c r="A57" s="415" t="str">
        <f t="shared" si="12"/>
        <v>Sentinel Lights</v>
      </c>
      <c r="B57" s="408"/>
      <c r="C57" s="413"/>
      <c r="D57" s="408"/>
      <c r="E57" s="414"/>
      <c r="F57" s="412"/>
    </row>
    <row r="58" spans="1:6" x14ac:dyDescent="0.2">
      <c r="A58" s="185" t="str">
        <f t="shared" si="12"/>
        <v xml:space="preserve">Unmetered Loads </v>
      </c>
      <c r="B58" s="183"/>
      <c r="C58" s="184" t="str">
        <f t="shared" si="13"/>
        <v>kWh</v>
      </c>
      <c r="D58" s="183">
        <f t="shared" si="13"/>
        <v>249026.26437979445</v>
      </c>
      <c r="E58" s="559">
        <v>1.1999999999999999E-3</v>
      </c>
      <c r="F58" s="182">
        <f t="shared" si="11"/>
        <v>298.83151725575328</v>
      </c>
    </row>
    <row r="59" spans="1:6" x14ac:dyDescent="0.2">
      <c r="A59" s="181" t="s">
        <v>161</v>
      </c>
      <c r="B59" s="170"/>
      <c r="C59" s="180"/>
      <c r="D59" s="170"/>
      <c r="E59" s="179"/>
      <c r="F59" s="178">
        <f>SUM(F51:F58)</f>
        <v>211668.64922325383</v>
      </c>
    </row>
    <row r="61" spans="1:6" x14ac:dyDescent="0.2">
      <c r="A61" s="192" t="s">
        <v>169</v>
      </c>
      <c r="B61" s="188"/>
      <c r="C61" s="191" t="s">
        <v>172</v>
      </c>
      <c r="D61" s="190"/>
      <c r="E61" s="189"/>
      <c r="F61" s="188"/>
    </row>
    <row r="62" spans="1:6" x14ac:dyDescent="0.2">
      <c r="A62" s="180" t="s">
        <v>167</v>
      </c>
      <c r="B62" s="187"/>
      <c r="C62" s="186" t="s">
        <v>171</v>
      </c>
      <c r="D62" s="691">
        <v>2013</v>
      </c>
      <c r="E62" s="692"/>
      <c r="F62" s="694"/>
    </row>
    <row r="63" spans="1:6" x14ac:dyDescent="0.2">
      <c r="A63" s="185" t="str">
        <f>A51</f>
        <v xml:space="preserve">Residential </v>
      </c>
      <c r="B63" s="183"/>
      <c r="C63" s="184" t="str">
        <f>C51</f>
        <v>kWh</v>
      </c>
      <c r="D63" s="183">
        <f>D15+D27</f>
        <v>69443969.105438352</v>
      </c>
      <c r="E63" s="559">
        <v>4.4000000000000003E-3</v>
      </c>
      <c r="F63" s="182">
        <f t="shared" ref="F63:F70" si="14">D63*E63</f>
        <v>305553.46406392875</v>
      </c>
    </row>
    <row r="64" spans="1:6" x14ac:dyDescent="0.2">
      <c r="A64" s="185" t="str">
        <f t="shared" ref="A64:A70" si="15">A52</f>
        <v>General Service
&lt; 50 kW</v>
      </c>
      <c r="B64" s="183"/>
      <c r="C64" s="184" t="str">
        <f t="shared" ref="C64" si="16">C52</f>
        <v>kWh</v>
      </c>
      <c r="D64" s="183">
        <f t="shared" ref="D64:D70" si="17">D16+D28</f>
        <v>35786408.189005025</v>
      </c>
      <c r="E64" s="559">
        <f>E63</f>
        <v>4.4000000000000003E-3</v>
      </c>
      <c r="F64" s="182">
        <f t="shared" si="14"/>
        <v>157460.19603162212</v>
      </c>
    </row>
    <row r="65" spans="1:6" x14ac:dyDescent="0.2">
      <c r="A65" s="185" t="str">
        <f t="shared" si="15"/>
        <v>General Service
&gt; 50 kW</v>
      </c>
      <c r="B65" s="183"/>
      <c r="C65" s="184" t="s">
        <v>140</v>
      </c>
      <c r="D65" s="183">
        <f t="shared" si="17"/>
        <v>82340441.947586566</v>
      </c>
      <c r="E65" s="559">
        <f>E63</f>
        <v>4.4000000000000003E-3</v>
      </c>
      <c r="F65" s="182">
        <f t="shared" si="14"/>
        <v>362297.9445693809</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t="s">
        <v>140</v>
      </c>
      <c r="D68" s="183">
        <f t="shared" si="17"/>
        <v>1261016.2051732813</v>
      </c>
      <c r="E68" s="559">
        <f>E63</f>
        <v>4.4000000000000003E-3</v>
      </c>
      <c r="F68" s="182">
        <f t="shared" si="14"/>
        <v>5548.4713027624375</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t="str">
        <f t="shared" ref="C70" si="18">C58</f>
        <v>kWh</v>
      </c>
      <c r="D70" s="183">
        <f t="shared" si="17"/>
        <v>249026.26437979445</v>
      </c>
      <c r="E70" s="559">
        <f>E63</f>
        <v>4.4000000000000003E-3</v>
      </c>
      <c r="F70" s="182">
        <f t="shared" si="14"/>
        <v>1095.7155632710956</v>
      </c>
    </row>
    <row r="71" spans="1:6" x14ac:dyDescent="0.2">
      <c r="A71" s="181" t="s">
        <v>161</v>
      </c>
      <c r="B71" s="170"/>
      <c r="C71" s="180"/>
      <c r="D71" s="170">
        <f>SUM(D63:D70)</f>
        <v>189080861.71158302</v>
      </c>
      <c r="E71" s="179"/>
      <c r="F71" s="178">
        <f>SUM(F63:F70)</f>
        <v>831955.79153096525</v>
      </c>
    </row>
    <row r="73" spans="1:6" x14ac:dyDescent="0.2">
      <c r="A73" s="192" t="s">
        <v>168</v>
      </c>
      <c r="B73" s="188"/>
      <c r="C73" s="191" t="s">
        <v>172</v>
      </c>
      <c r="D73" s="190"/>
      <c r="E73" s="189"/>
      <c r="F73" s="188"/>
    </row>
    <row r="74" spans="1:6" x14ac:dyDescent="0.2">
      <c r="A74" s="180" t="s">
        <v>167</v>
      </c>
      <c r="B74" s="187"/>
      <c r="C74" s="186" t="s">
        <v>171</v>
      </c>
      <c r="D74" s="695">
        <v>2013</v>
      </c>
      <c r="E74" s="692"/>
      <c r="F74" s="693"/>
    </row>
    <row r="75" spans="1:6" x14ac:dyDescent="0.2">
      <c r="A75" s="185" t="str">
        <f>A63</f>
        <v xml:space="preserve">Residential </v>
      </c>
      <c r="B75" s="183"/>
      <c r="C75" s="184" t="str">
        <f>C63</f>
        <v>kWh</v>
      </c>
      <c r="D75" s="183">
        <f>D63</f>
        <v>69443969.105438352</v>
      </c>
      <c r="E75" s="559">
        <v>1.1999999999999999E-3</v>
      </c>
      <c r="F75" s="182">
        <f t="shared" ref="F75:F82" si="19">D75*E75</f>
        <v>83332.762926526018</v>
      </c>
    </row>
    <row r="76" spans="1:6" x14ac:dyDescent="0.2">
      <c r="A76" s="185" t="str">
        <f t="shared" ref="A76:A82" si="20">A64</f>
        <v>General Service
&lt; 50 kW</v>
      </c>
      <c r="B76" s="183"/>
      <c r="C76" s="184" t="str">
        <f t="shared" ref="C76" si="21">C64</f>
        <v>kWh</v>
      </c>
      <c r="D76" s="183">
        <f t="shared" ref="D76:D82" si="22">D64</f>
        <v>35786408.189005025</v>
      </c>
      <c r="E76" s="559">
        <f>E75</f>
        <v>1.1999999999999999E-3</v>
      </c>
      <c r="F76" s="182">
        <f t="shared" si="19"/>
        <v>42943.689826806025</v>
      </c>
    </row>
    <row r="77" spans="1:6" x14ac:dyDescent="0.2">
      <c r="A77" s="185" t="str">
        <f t="shared" si="20"/>
        <v>General Service
&gt; 50 kW</v>
      </c>
      <c r="B77" s="183"/>
      <c r="C77" s="184" t="s">
        <v>140</v>
      </c>
      <c r="D77" s="183">
        <f t="shared" si="22"/>
        <v>82340441.947586566</v>
      </c>
      <c r="E77" s="559">
        <f>E76</f>
        <v>1.1999999999999999E-3</v>
      </c>
      <c r="F77" s="182">
        <f t="shared" si="19"/>
        <v>98808.530337103875</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20"/>
        <v xml:space="preserve">Streetlights </v>
      </c>
      <c r="B80" s="183"/>
      <c r="C80" s="184" t="s">
        <v>140</v>
      </c>
      <c r="D80" s="183">
        <f t="shared" si="22"/>
        <v>1261016.2051732813</v>
      </c>
      <c r="E80" s="559">
        <f>E75</f>
        <v>1.1999999999999999E-3</v>
      </c>
      <c r="F80" s="182">
        <f t="shared" si="19"/>
        <v>1513.2194462079374</v>
      </c>
    </row>
    <row r="81" spans="1:9" hidden="1" x14ac:dyDescent="0.2">
      <c r="A81" s="415" t="str">
        <f t="shared" si="20"/>
        <v>Sentinel Lights</v>
      </c>
      <c r="B81" s="408"/>
      <c r="C81" s="413"/>
      <c r="D81" s="408"/>
      <c r="E81" s="559"/>
      <c r="F81" s="412"/>
    </row>
    <row r="82" spans="1:9" x14ac:dyDescent="0.2">
      <c r="A82" s="185" t="str">
        <f t="shared" si="20"/>
        <v xml:space="preserve">Unmetered Loads </v>
      </c>
      <c r="B82" s="183"/>
      <c r="C82" s="184" t="str">
        <f t="shared" ref="C82" si="23">C70</f>
        <v>kWh</v>
      </c>
      <c r="D82" s="183">
        <f t="shared" si="22"/>
        <v>249026.26437979445</v>
      </c>
      <c r="E82" s="559">
        <f>E75</f>
        <v>1.1999999999999999E-3</v>
      </c>
      <c r="F82" s="182">
        <f t="shared" si="19"/>
        <v>298.83151725575328</v>
      </c>
    </row>
    <row r="83" spans="1:9" x14ac:dyDescent="0.2">
      <c r="A83" s="181" t="s">
        <v>161</v>
      </c>
      <c r="B83" s="170"/>
      <c r="C83" s="180"/>
      <c r="D83" s="170">
        <f>SUM(D75:D82)</f>
        <v>189080861.71158302</v>
      </c>
      <c r="E83" s="179"/>
      <c r="F83" s="178">
        <f>SUM(F75:F82)</f>
        <v>226897.03405389961</v>
      </c>
    </row>
    <row r="85" spans="1:9" x14ac:dyDescent="0.2">
      <c r="A85" s="176"/>
      <c r="B85" s="177">
        <v>2013</v>
      </c>
      <c r="H85" s="689" t="s">
        <v>475</v>
      </c>
      <c r="I85" s="689"/>
    </row>
    <row r="86" spans="1:9" x14ac:dyDescent="0.2">
      <c r="A86" s="176"/>
      <c r="B86" s="175"/>
      <c r="H86" s="690" t="s">
        <v>476</v>
      </c>
      <c r="I86" s="690"/>
    </row>
    <row r="87" spans="1:9" x14ac:dyDescent="0.2">
      <c r="A87" s="172" t="s">
        <v>166</v>
      </c>
      <c r="B87" s="174">
        <f>F23+F35</f>
        <v>15998233.764973078</v>
      </c>
      <c r="H87" s="648" t="s">
        <v>477</v>
      </c>
      <c r="I87" s="649">
        <f>Summary!$M$12</f>
        <v>6666</v>
      </c>
    </row>
    <row r="88" spans="1:9" x14ac:dyDescent="0.2">
      <c r="A88" s="172" t="s">
        <v>165</v>
      </c>
      <c r="B88" s="173">
        <f>F71</f>
        <v>831955.79153096525</v>
      </c>
      <c r="H88" s="648" t="s">
        <v>478</v>
      </c>
      <c r="I88" s="649">
        <f>Summary!$M$16</f>
        <v>1253</v>
      </c>
    </row>
    <row r="89" spans="1:9" x14ac:dyDescent="0.2">
      <c r="A89" s="172" t="s">
        <v>164</v>
      </c>
      <c r="B89" s="173">
        <f>F47</f>
        <v>1227883.2984017085</v>
      </c>
      <c r="H89" s="650" t="s">
        <v>479</v>
      </c>
      <c r="I89" s="651">
        <v>0.79</v>
      </c>
    </row>
    <row r="90" spans="1:9" x14ac:dyDescent="0.2">
      <c r="A90" s="172" t="s">
        <v>163</v>
      </c>
      <c r="B90" s="173">
        <f>F59</f>
        <v>211668.64922325383</v>
      </c>
      <c r="H90" s="648" t="s">
        <v>151</v>
      </c>
      <c r="I90" s="652">
        <f>I89*I87*12</f>
        <v>63193.680000000008</v>
      </c>
    </row>
    <row r="91" spans="1:9" x14ac:dyDescent="0.2">
      <c r="A91" s="172" t="s">
        <v>162</v>
      </c>
      <c r="B91" s="173">
        <f>F83</f>
        <v>226897.03405389961</v>
      </c>
      <c r="H91" s="648" t="s">
        <v>152</v>
      </c>
      <c r="I91" s="652">
        <f>I89*I88*12</f>
        <v>11878.44</v>
      </c>
    </row>
    <row r="92" spans="1:9" ht="13.5" thickBot="1" x14ac:dyDescent="0.25">
      <c r="A92" s="172" t="s">
        <v>474</v>
      </c>
      <c r="B92" s="174">
        <f>'[10]Trial Balance'!$N$447</f>
        <v>75072.12000000001</v>
      </c>
      <c r="H92" s="648" t="s">
        <v>9</v>
      </c>
      <c r="I92" s="653">
        <f>SUM(I90:I91)</f>
        <v>75072.12000000001</v>
      </c>
    </row>
    <row r="93" spans="1:9" ht="13.5" thickTop="1" x14ac:dyDescent="0.2">
      <c r="A93" s="171" t="s">
        <v>161</v>
      </c>
      <c r="B93" s="170">
        <f>SUM(B87:B92)</f>
        <v>18571710.658182908</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fitToPage="1"/>
  </sheetPr>
  <dimension ref="A1:K93"/>
  <sheetViews>
    <sheetView topLeftCell="A16" workbookViewId="0">
      <selection activeCell="H39" sqref="H39"/>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17.425781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444</v>
      </c>
      <c r="B1" s="208" t="s">
        <v>140</v>
      </c>
      <c r="C1" s="208" t="s">
        <v>170</v>
      </c>
      <c r="D1" s="208" t="s">
        <v>186</v>
      </c>
    </row>
    <row r="2" spans="1:11" ht="15" x14ac:dyDescent="0.25">
      <c r="A2" s="69" t="str">
        <f>'Rate Class Energy Model'!H2</f>
        <v xml:space="preserve">Residential </v>
      </c>
      <c r="B2" s="197">
        <f>Summary!P13</f>
        <v>67875318.610012323</v>
      </c>
      <c r="C2" s="196"/>
      <c r="D2" s="656">
        <f>'2013 COP Forecast'!D2</f>
        <v>0.96538068898838592</v>
      </c>
    </row>
    <row r="3" spans="1:11" ht="15" x14ac:dyDescent="0.25">
      <c r="A3" s="69" t="str">
        <f>'Rate Class Energy Model'!I2</f>
        <v>General Service
&lt; 50 kW</v>
      </c>
      <c r="B3" s="197">
        <f>Summary!P17</f>
        <v>37894181.682895608</v>
      </c>
      <c r="C3" s="196"/>
      <c r="D3" s="656">
        <f>'2013 COP Forecast'!D3</f>
        <v>0.91421284566311478</v>
      </c>
    </row>
    <row r="4" spans="1:11" ht="15" x14ac:dyDescent="0.25">
      <c r="A4" s="69" t="str">
        <f>'Rate Class Energy Model'!J2</f>
        <v>General Service
&gt; 50 kW</v>
      </c>
      <c r="B4" s="197">
        <f>Summary!P21</f>
        <v>80718463.986403674</v>
      </c>
      <c r="C4" s="207">
        <f>Summary!P22</f>
        <v>199308.82985908294</v>
      </c>
      <c r="D4" s="656">
        <f>'2013 COP Forecast'!D4</f>
        <v>6.9246055159486467E-2</v>
      </c>
    </row>
    <row r="5" spans="1:11" hidden="1" x14ac:dyDescent="0.2">
      <c r="A5" s="415"/>
      <c r="B5" s="408"/>
      <c r="C5" s="409"/>
      <c r="D5" s="655"/>
      <c r="K5" s="163"/>
    </row>
    <row r="6" spans="1:11" hidden="1" x14ac:dyDescent="0.2">
      <c r="A6" s="415"/>
      <c r="B6" s="408"/>
      <c r="C6" s="409"/>
      <c r="D6" s="655"/>
    </row>
    <row r="7" spans="1:11" ht="15" x14ac:dyDescent="0.25">
      <c r="A7" s="69" t="str">
        <f>'Rate Class Customer Model'!G2</f>
        <v xml:space="preserve">Streetlights </v>
      </c>
      <c r="B7" s="197">
        <f>Summary!P36</f>
        <v>1248463.7443313473</v>
      </c>
      <c r="C7" s="207">
        <f>Summary!P37</f>
        <v>3376.7319487552354</v>
      </c>
      <c r="D7" s="656">
        <f>'2013 COP Forecast'!D7</f>
        <v>8.7395914269801214E-2</v>
      </c>
    </row>
    <row r="8" spans="1:11" hidden="1" x14ac:dyDescent="0.2">
      <c r="A8" s="415" t="str">
        <f>'Rate Class Customer Model'!H2</f>
        <v>Sentinel Lights</v>
      </c>
      <c r="B8" s="408"/>
      <c r="C8" s="409"/>
      <c r="D8" s="655"/>
    </row>
    <row r="9" spans="1:11" ht="15" x14ac:dyDescent="0.25">
      <c r="A9" s="69" t="str">
        <f>'Rate Class Customer Model'!I2</f>
        <v xml:space="preserve">Unmetered Loads </v>
      </c>
      <c r="B9" s="197">
        <f>Summary!P46</f>
        <v>240322.1528272265</v>
      </c>
      <c r="C9" s="196"/>
      <c r="D9" s="656">
        <f>'2013 COP Forecast'!D9</f>
        <v>1</v>
      </c>
    </row>
    <row r="10" spans="1:11" x14ac:dyDescent="0.2">
      <c r="A10" s="181" t="s">
        <v>161</v>
      </c>
      <c r="B10" s="170">
        <f>SUM(B2:B9)</f>
        <v>187976750.17647019</v>
      </c>
      <c r="C10" s="170">
        <f>SUM(C2:C9)</f>
        <v>202685.56180783818</v>
      </c>
      <c r="D10" s="170"/>
    </row>
    <row r="11" spans="1:11" x14ac:dyDescent="0.2">
      <c r="B11" s="66"/>
      <c r="C11" s="66"/>
    </row>
    <row r="13" spans="1:11" x14ac:dyDescent="0.2">
      <c r="A13" s="201" t="s">
        <v>177</v>
      </c>
      <c r="B13" s="696" t="s">
        <v>187</v>
      </c>
      <c r="C13" s="698" t="s">
        <v>188</v>
      </c>
      <c r="D13" s="171"/>
      <c r="E13" s="200"/>
      <c r="F13" s="199"/>
    </row>
    <row r="14" spans="1:11" x14ac:dyDescent="0.2">
      <c r="A14" s="180" t="s">
        <v>176</v>
      </c>
      <c r="B14" s="697"/>
      <c r="C14" s="699"/>
      <c r="D14" s="700">
        <v>2014</v>
      </c>
      <c r="E14" s="701"/>
      <c r="F14" s="702"/>
    </row>
    <row r="15" spans="1:11" ht="15" x14ac:dyDescent="0.25">
      <c r="A15" s="198" t="str">
        <f>A2</f>
        <v xml:space="preserve">Residential </v>
      </c>
      <c r="B15" s="197">
        <f>B2*D2</f>
        <v>65525521.845039912</v>
      </c>
      <c r="C15" s="511">
        <f>[11]Sheet1!$H$29</f>
        <v>1.0379</v>
      </c>
      <c r="D15" s="183">
        <f t="shared" ref="D15:D22" si="0">B15*C15</f>
        <v>68008939.12296693</v>
      </c>
      <c r="E15" s="560">
        <v>8.3949999999999997E-2</v>
      </c>
      <c r="F15" s="182">
        <f t="shared" ref="F15:F22" si="1">D15*E15</f>
        <v>5709350.4393730732</v>
      </c>
    </row>
    <row r="16" spans="1:11" ht="15" x14ac:dyDescent="0.25">
      <c r="A16" s="198" t="str">
        <f t="shared" ref="A16:A22" si="2">A3</f>
        <v>General Service
&lt; 50 kW</v>
      </c>
      <c r="B16" s="197">
        <f t="shared" ref="B16:B22" si="3">B3*D3</f>
        <v>34643347.670395076</v>
      </c>
      <c r="C16" s="511">
        <f>C15</f>
        <v>1.0379</v>
      </c>
      <c r="D16" s="183">
        <f t="shared" si="0"/>
        <v>35956330.547103055</v>
      </c>
      <c r="E16" s="560">
        <v>8.3949999999999997E-2</v>
      </c>
      <c r="F16" s="182">
        <f t="shared" si="1"/>
        <v>3018533.9494293015</v>
      </c>
    </row>
    <row r="17" spans="1:6" ht="15" x14ac:dyDescent="0.25">
      <c r="A17" s="198" t="str">
        <f t="shared" si="2"/>
        <v>General Service
&gt; 50 kW</v>
      </c>
      <c r="B17" s="197">
        <f t="shared" si="3"/>
        <v>5589435.2095915303</v>
      </c>
      <c r="C17" s="511">
        <f>C15</f>
        <v>1.0379</v>
      </c>
      <c r="D17" s="183">
        <f t="shared" si="0"/>
        <v>5801274.8040350499</v>
      </c>
      <c r="E17" s="560">
        <v>8.3949999999999997E-2</v>
      </c>
      <c r="F17" s="182">
        <f t="shared" si="1"/>
        <v>487017.01979874243</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109110.63036853744</v>
      </c>
      <c r="C20" s="511">
        <f>C15</f>
        <v>1.0379</v>
      </c>
      <c r="D20" s="183">
        <f t="shared" si="0"/>
        <v>113245.92325950501</v>
      </c>
      <c r="E20" s="560">
        <v>8.3949999999999997E-2</v>
      </c>
      <c r="F20" s="182">
        <f t="shared" si="1"/>
        <v>9506.9952576354463</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240322.1528272265</v>
      </c>
      <c r="C22" s="511">
        <f>C15</f>
        <v>1.0379</v>
      </c>
      <c r="D22" s="183">
        <f t="shared" si="0"/>
        <v>249430.36241937839</v>
      </c>
      <c r="E22" s="560">
        <v>8.3949999999999997E-2</v>
      </c>
      <c r="F22" s="182">
        <f t="shared" si="1"/>
        <v>20939.678925106815</v>
      </c>
    </row>
    <row r="23" spans="1:6" x14ac:dyDescent="0.2">
      <c r="A23" s="181" t="s">
        <v>161</v>
      </c>
      <c r="B23" s="170">
        <f>SUM(B15:B22)</f>
        <v>106107737.50822228</v>
      </c>
      <c r="C23" s="180"/>
      <c r="D23" s="170">
        <f>SUM(D15:D22)</f>
        <v>110129220.75978394</v>
      </c>
      <c r="E23" s="179"/>
      <c r="F23" s="195">
        <f>SUM(F15:F22)</f>
        <v>9245348.0827838592</v>
      </c>
    </row>
    <row r="24" spans="1:6" x14ac:dyDescent="0.2">
      <c r="A24" s="206"/>
      <c r="B24" s="204"/>
      <c r="C24" s="205"/>
      <c r="D24" s="204"/>
      <c r="E24" s="203"/>
      <c r="F24" s="202"/>
    </row>
    <row r="25" spans="1:6" x14ac:dyDescent="0.2">
      <c r="A25" s="201" t="s">
        <v>175</v>
      </c>
      <c r="B25" s="696" t="s">
        <v>187</v>
      </c>
      <c r="C25" s="698" t="s">
        <v>188</v>
      </c>
      <c r="D25" s="171"/>
      <c r="E25" s="200"/>
      <c r="F25" s="199"/>
    </row>
    <row r="26" spans="1:6" x14ac:dyDescent="0.2">
      <c r="A26" s="180" t="s">
        <v>167</v>
      </c>
      <c r="B26" s="697"/>
      <c r="C26" s="699"/>
      <c r="D26" s="700">
        <v>2014</v>
      </c>
      <c r="E26" s="701"/>
      <c r="F26" s="702"/>
    </row>
    <row r="27" spans="1:6" x14ac:dyDescent="0.2">
      <c r="A27" s="198" t="str">
        <f>A15</f>
        <v xml:space="preserve">Residential </v>
      </c>
      <c r="B27" s="197">
        <f>B2-B15</f>
        <v>2349796.7649724111</v>
      </c>
      <c r="C27" s="196">
        <f>C15</f>
        <v>1.0379</v>
      </c>
      <c r="D27" s="183">
        <f t="shared" ref="D27:D34" si="4">B27*C27</f>
        <v>2438854.0623648656</v>
      </c>
      <c r="E27" s="560">
        <v>8.5449999999999998E-2</v>
      </c>
      <c r="F27" s="182">
        <f t="shared" ref="F27:F34" si="5">D27*E27</f>
        <v>208400.07962907775</v>
      </c>
    </row>
    <row r="28" spans="1:6" x14ac:dyDescent="0.2">
      <c r="A28" s="198" t="str">
        <f t="shared" ref="A28:A34" si="6">A16</f>
        <v>General Service
&lt; 50 kW</v>
      </c>
      <c r="B28" s="197">
        <f t="shared" ref="B28:B34" si="7">B3-B16</f>
        <v>3250834.012500532</v>
      </c>
      <c r="C28" s="196">
        <f t="shared" ref="C28:C34" si="8">C16</f>
        <v>1.0379</v>
      </c>
      <c r="D28" s="183">
        <f t="shared" si="4"/>
        <v>3374040.6215743022</v>
      </c>
      <c r="E28" s="560">
        <v>8.5449999999999998E-2</v>
      </c>
      <c r="F28" s="182">
        <f t="shared" si="5"/>
        <v>288311.7711135241</v>
      </c>
    </row>
    <row r="29" spans="1:6" x14ac:dyDescent="0.2">
      <c r="A29" s="198" t="str">
        <f t="shared" si="6"/>
        <v>General Service
&gt; 50 kW</v>
      </c>
      <c r="B29" s="197">
        <f t="shared" si="7"/>
        <v>75129028.776812136</v>
      </c>
      <c r="C29" s="196">
        <f t="shared" si="8"/>
        <v>1.0379</v>
      </c>
      <c r="D29" s="183">
        <f t="shared" si="4"/>
        <v>77976418.967453316</v>
      </c>
      <c r="E29" s="560">
        <v>8.5449999999999998E-2</v>
      </c>
      <c r="F29" s="182">
        <f t="shared" si="5"/>
        <v>6663085.0007688859</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1139353.1139628098</v>
      </c>
      <c r="C32" s="196">
        <f t="shared" si="8"/>
        <v>1.0379</v>
      </c>
      <c r="D32" s="183">
        <f t="shared" si="4"/>
        <v>1182534.5969820004</v>
      </c>
      <c r="E32" s="560">
        <v>8.5449999999999998E-2</v>
      </c>
      <c r="F32" s="182">
        <f t="shared" si="5"/>
        <v>101047.58131211193</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1.0379</v>
      </c>
      <c r="D34" s="183">
        <f t="shared" si="4"/>
        <v>0</v>
      </c>
      <c r="E34" s="560">
        <v>8.5449999999999998E-2</v>
      </c>
      <c r="F34" s="182">
        <f t="shared" si="5"/>
        <v>0</v>
      </c>
    </row>
    <row r="35" spans="1:8" x14ac:dyDescent="0.2">
      <c r="A35" s="181" t="s">
        <v>161</v>
      </c>
      <c r="B35" s="170">
        <f>SUM(B27:B34)</f>
        <v>81869012.668247893</v>
      </c>
      <c r="C35" s="180"/>
      <c r="D35" s="170">
        <f>SUM(D27:D34)</f>
        <v>84971848.248374492</v>
      </c>
      <c r="E35" s="179"/>
      <c r="F35" s="195">
        <f>SUM(F27:F34)</f>
        <v>7260844.4328235993</v>
      </c>
    </row>
    <row r="37" spans="1:8" x14ac:dyDescent="0.2">
      <c r="A37" s="192" t="s">
        <v>174</v>
      </c>
      <c r="B37" s="188"/>
      <c r="C37" s="194" t="s">
        <v>172</v>
      </c>
      <c r="D37" s="190"/>
      <c r="E37" s="189"/>
      <c r="F37" s="188"/>
    </row>
    <row r="38" spans="1:8" x14ac:dyDescent="0.2">
      <c r="A38" s="180" t="s">
        <v>167</v>
      </c>
      <c r="B38" s="187"/>
      <c r="C38" s="193" t="s">
        <v>171</v>
      </c>
      <c r="D38" s="703">
        <v>2014</v>
      </c>
      <c r="E38" s="704"/>
      <c r="F38" s="705"/>
    </row>
    <row r="39" spans="1:8" x14ac:dyDescent="0.2">
      <c r="A39" s="185" t="str">
        <f>A27</f>
        <v xml:space="preserve">Residential </v>
      </c>
      <c r="B39" s="183"/>
      <c r="C39" s="184" t="s">
        <v>140</v>
      </c>
      <c r="D39" s="197">
        <f>D15+D27</f>
        <v>70447793.185331792</v>
      </c>
      <c r="E39" s="559">
        <f>'[12]13. Final 2014 RTS Rates'!$F$26</f>
        <v>6.8890159101076508E-3</v>
      </c>
      <c r="F39" s="658">
        <f t="shared" ref="F39:F46" si="9">D39*E39</f>
        <v>485315.96808572405</v>
      </c>
    </row>
    <row r="40" spans="1:8" x14ac:dyDescent="0.2">
      <c r="A40" s="185" t="str">
        <f t="shared" ref="A40:A46" si="10">A28</f>
        <v>General Service
&lt; 50 kW</v>
      </c>
      <c r="B40" s="183"/>
      <c r="C40" s="184" t="s">
        <v>140</v>
      </c>
      <c r="D40" s="197">
        <f>D16+D28</f>
        <v>39330371.16867736</v>
      </c>
      <c r="E40" s="559">
        <f>'[12]13. Final 2014 RTS Rates'!$F$27</f>
        <v>6.2985288320984243E-3</v>
      </c>
      <c r="F40" s="658">
        <f t="shared" si="9"/>
        <v>247723.47678304696</v>
      </c>
    </row>
    <row r="41" spans="1:8" x14ac:dyDescent="0.2">
      <c r="A41" s="185" t="str">
        <f t="shared" si="10"/>
        <v>General Service
&gt; 50 kW</v>
      </c>
      <c r="B41" s="183"/>
      <c r="C41" s="184" t="s">
        <v>170</v>
      </c>
      <c r="D41" s="197">
        <f>C4</f>
        <v>199308.82985908294</v>
      </c>
      <c r="E41" s="559">
        <f>'[12]13. Final 2014 RTS Rates'!$F$28</f>
        <v>2.5516914931038737</v>
      </c>
      <c r="F41" s="658">
        <f t="shared" si="9"/>
        <v>508574.64565190923</v>
      </c>
    </row>
    <row r="42" spans="1:8" hidden="1" x14ac:dyDescent="0.2">
      <c r="A42" s="416"/>
      <c r="B42" s="408"/>
      <c r="C42" s="410"/>
      <c r="D42" s="197"/>
      <c r="E42" s="560"/>
      <c r="F42" s="658"/>
      <c r="H42" s="34"/>
    </row>
    <row r="43" spans="1:8" hidden="1" x14ac:dyDescent="0.2">
      <c r="A43" s="416"/>
      <c r="B43" s="408"/>
      <c r="C43" s="410"/>
      <c r="D43" s="197"/>
      <c r="E43" s="560"/>
      <c r="F43" s="658"/>
    </row>
    <row r="44" spans="1:8" x14ac:dyDescent="0.2">
      <c r="A44" s="185" t="str">
        <f t="shared" si="10"/>
        <v xml:space="preserve">Streetlights </v>
      </c>
      <c r="B44" s="183"/>
      <c r="C44" s="184" t="s">
        <v>170</v>
      </c>
      <c r="D44" s="197">
        <f>C7</f>
        <v>3376.7319487552354</v>
      </c>
      <c r="E44" s="559">
        <f>'[12]13. Final 2014 RTS Rates'!$F$31</f>
        <v>1.9242005582060684</v>
      </c>
      <c r="F44" s="658">
        <f t="shared" si="9"/>
        <v>6497.5095007070895</v>
      </c>
    </row>
    <row r="45" spans="1:8" hidden="1" x14ac:dyDescent="0.2">
      <c r="A45" s="415" t="str">
        <f>A33</f>
        <v>Sentinel Lights</v>
      </c>
      <c r="B45" s="408"/>
      <c r="C45" s="413"/>
      <c r="D45" s="197"/>
      <c r="E45" s="559"/>
      <c r="F45" s="658"/>
    </row>
    <row r="46" spans="1:8" x14ac:dyDescent="0.2">
      <c r="A46" s="185" t="str">
        <f t="shared" si="10"/>
        <v xml:space="preserve">Unmetered Loads </v>
      </c>
      <c r="B46" s="183"/>
      <c r="C46" s="184" t="s">
        <v>140</v>
      </c>
      <c r="D46" s="197">
        <f>D22+D34</f>
        <v>249430.36241937839</v>
      </c>
      <c r="E46" s="559">
        <f>'[12]13. Final 2014 RTS Rates'!$F$30</f>
        <v>6.2985288320984226E-3</v>
      </c>
      <c r="F46" s="658">
        <f t="shared" si="9"/>
        <v>1571.0443292992136</v>
      </c>
    </row>
    <row r="47" spans="1:8" x14ac:dyDescent="0.2">
      <c r="A47" s="181" t="s">
        <v>161</v>
      </c>
      <c r="B47" s="170"/>
      <c r="C47" s="180"/>
      <c r="D47" s="170"/>
      <c r="E47" s="179"/>
      <c r="F47" s="178">
        <f>SUM(F39:F46)</f>
        <v>1249682.6443506863</v>
      </c>
    </row>
    <row r="49" spans="1:6" x14ac:dyDescent="0.2">
      <c r="A49" s="192" t="s">
        <v>173</v>
      </c>
      <c r="B49" s="188"/>
      <c r="C49" s="191" t="s">
        <v>172</v>
      </c>
      <c r="D49" s="190"/>
      <c r="E49" s="189"/>
      <c r="F49" s="188"/>
    </row>
    <row r="50" spans="1:6" x14ac:dyDescent="0.2">
      <c r="A50" s="180" t="s">
        <v>167</v>
      </c>
      <c r="B50" s="187"/>
      <c r="C50" s="186" t="s">
        <v>171</v>
      </c>
      <c r="D50" s="691">
        <v>2014</v>
      </c>
      <c r="E50" s="692"/>
      <c r="F50" s="693"/>
    </row>
    <row r="51" spans="1:6" x14ac:dyDescent="0.2">
      <c r="A51" s="185" t="str">
        <f>A39</f>
        <v xml:space="preserve">Residential </v>
      </c>
      <c r="B51" s="183"/>
      <c r="C51" s="184" t="str">
        <f>C39</f>
        <v>kWh</v>
      </c>
      <c r="D51" s="183">
        <f>D39</f>
        <v>70447793.185331792</v>
      </c>
      <c r="E51" s="559">
        <f>'[12]13. Final 2014 RTS Rates'!$H$26</f>
        <v>1.1704667495285024E-3</v>
      </c>
      <c r="F51" s="182">
        <f t="shared" ref="F51:F58" si="11">D51*E51</f>
        <v>82456.799501091489</v>
      </c>
    </row>
    <row r="52" spans="1:6" x14ac:dyDescent="0.2">
      <c r="A52" s="185" t="str">
        <f t="shared" ref="A52:A58" si="12">A40</f>
        <v>General Service
&lt; 50 kW</v>
      </c>
      <c r="B52" s="183"/>
      <c r="C52" s="184" t="str">
        <f t="shared" ref="C52:D58" si="13">C40</f>
        <v>kWh</v>
      </c>
      <c r="D52" s="183">
        <f t="shared" si="13"/>
        <v>39330371.16867736</v>
      </c>
      <c r="E52" s="559">
        <f>'[12]13. Final 2014 RTS Rates'!$H$27</f>
        <v>1.1704667495285024E-3</v>
      </c>
      <c r="F52" s="182">
        <f t="shared" si="11"/>
        <v>46034.891699551314</v>
      </c>
    </row>
    <row r="53" spans="1:6" x14ac:dyDescent="0.2">
      <c r="A53" s="185" t="str">
        <f t="shared" si="12"/>
        <v>General Service
&gt; 50 kW</v>
      </c>
      <c r="B53" s="183"/>
      <c r="C53" s="184" t="str">
        <f t="shared" si="13"/>
        <v>kW</v>
      </c>
      <c r="D53" s="183">
        <f t="shared" si="13"/>
        <v>199308.82985908294</v>
      </c>
      <c r="E53" s="559">
        <f>'[12]13. Final 2014 RTS Rates'!$H$28</f>
        <v>0.42088033535129077</v>
      </c>
      <c r="F53" s="182">
        <f t="shared" si="11"/>
        <v>83885.167149564179</v>
      </c>
    </row>
    <row r="54" spans="1:6" hidden="1" x14ac:dyDescent="0.2">
      <c r="A54" s="416"/>
      <c r="B54" s="408"/>
      <c r="C54" s="410"/>
      <c r="D54" s="408"/>
      <c r="E54" s="560"/>
      <c r="F54" s="412"/>
    </row>
    <row r="55" spans="1:6" hidden="1" x14ac:dyDescent="0.2">
      <c r="A55" s="416"/>
      <c r="B55" s="408"/>
      <c r="C55" s="410"/>
      <c r="D55" s="408"/>
      <c r="E55" s="560"/>
      <c r="F55" s="412"/>
    </row>
    <row r="56" spans="1:6" x14ac:dyDescent="0.2">
      <c r="A56" s="185" t="str">
        <f t="shared" si="12"/>
        <v xml:space="preserve">Streetlights </v>
      </c>
      <c r="B56" s="183"/>
      <c r="C56" s="184" t="str">
        <f t="shared" si="13"/>
        <v>kW</v>
      </c>
      <c r="D56" s="183">
        <f t="shared" si="13"/>
        <v>3376.7319487552354</v>
      </c>
      <c r="E56" s="559">
        <f>'[12]13. Final 2014 RTS Rates'!$H$31</f>
        <v>0.3253897563689237</v>
      </c>
      <c r="F56" s="182">
        <f t="shared" si="11"/>
        <v>1098.753986128627</v>
      </c>
    </row>
    <row r="57" spans="1:6" hidden="1" x14ac:dyDescent="0.2">
      <c r="A57" s="415" t="str">
        <f t="shared" si="12"/>
        <v>Sentinel Lights</v>
      </c>
      <c r="B57" s="408"/>
      <c r="C57" s="413"/>
      <c r="D57" s="408"/>
      <c r="E57" s="559"/>
      <c r="F57" s="412"/>
    </row>
    <row r="58" spans="1:6" x14ac:dyDescent="0.2">
      <c r="A58" s="185" t="str">
        <f t="shared" si="12"/>
        <v xml:space="preserve">Unmetered Loads </v>
      </c>
      <c r="B58" s="183"/>
      <c r="C58" s="184" t="str">
        <f t="shared" si="13"/>
        <v>kWh</v>
      </c>
      <c r="D58" s="183">
        <f t="shared" si="13"/>
        <v>249430.36241937839</v>
      </c>
      <c r="E58" s="559">
        <f>'[12]13. Final 2014 RTS Rates'!$H$30</f>
        <v>1.1704667495285026E-3</v>
      </c>
      <c r="F58" s="182">
        <f t="shared" si="11"/>
        <v>291.94994553472623</v>
      </c>
    </row>
    <row r="59" spans="1:6" x14ac:dyDescent="0.2">
      <c r="A59" s="181" t="s">
        <v>161</v>
      </c>
      <c r="B59" s="170"/>
      <c r="C59" s="180"/>
      <c r="D59" s="170"/>
      <c r="E59" s="179"/>
      <c r="F59" s="178">
        <f>SUM(F51:F58)</f>
        <v>213767.56228187034</v>
      </c>
    </row>
    <row r="61" spans="1:6" x14ac:dyDescent="0.2">
      <c r="A61" s="192" t="s">
        <v>169</v>
      </c>
      <c r="B61" s="188"/>
      <c r="C61" s="191"/>
      <c r="D61" s="190"/>
      <c r="E61" s="189"/>
      <c r="F61" s="188"/>
    </row>
    <row r="62" spans="1:6" x14ac:dyDescent="0.2">
      <c r="A62" s="180" t="s">
        <v>167</v>
      </c>
      <c r="B62" s="187"/>
      <c r="C62" s="186"/>
      <c r="D62" s="691">
        <v>2014</v>
      </c>
      <c r="E62" s="692"/>
      <c r="F62" s="694"/>
    </row>
    <row r="63" spans="1:6" x14ac:dyDescent="0.2">
      <c r="A63" s="185" t="str">
        <f>A51</f>
        <v xml:space="preserve">Residential </v>
      </c>
      <c r="B63" s="183"/>
      <c r="C63" s="184"/>
      <c r="D63" s="183">
        <f>D15+D27</f>
        <v>70447793.185331792</v>
      </c>
      <c r="E63" s="559">
        <v>4.4000000000000003E-3</v>
      </c>
      <c r="F63" s="182">
        <f t="shared" ref="F63:F70" si="14">D63*E63</f>
        <v>309970.29001545988</v>
      </c>
    </row>
    <row r="64" spans="1:6" x14ac:dyDescent="0.2">
      <c r="A64" s="185" t="str">
        <f t="shared" ref="A64:A70" si="15">A52</f>
        <v>General Service
&lt; 50 kW</v>
      </c>
      <c r="B64" s="183"/>
      <c r="C64" s="184"/>
      <c r="D64" s="183">
        <f t="shared" ref="D64:D70" si="16">D16+D28</f>
        <v>39330371.16867736</v>
      </c>
      <c r="E64" s="559">
        <f>E63</f>
        <v>4.4000000000000003E-3</v>
      </c>
      <c r="F64" s="182">
        <f t="shared" si="14"/>
        <v>173053.63314218039</v>
      </c>
    </row>
    <row r="65" spans="1:6" x14ac:dyDescent="0.2">
      <c r="A65" s="185" t="str">
        <f t="shared" si="15"/>
        <v>General Service
&gt; 50 kW</v>
      </c>
      <c r="B65" s="183"/>
      <c r="C65" s="184"/>
      <c r="D65" s="183">
        <f t="shared" si="16"/>
        <v>83777693.771488369</v>
      </c>
      <c r="E65" s="559">
        <f>E63</f>
        <v>4.4000000000000003E-3</v>
      </c>
      <c r="F65" s="182">
        <f t="shared" si="14"/>
        <v>368621.85259454884</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c r="D68" s="183">
        <f t="shared" si="16"/>
        <v>1295780.5202415055</v>
      </c>
      <c r="E68" s="559">
        <f>E63</f>
        <v>4.4000000000000003E-3</v>
      </c>
      <c r="F68" s="182">
        <f t="shared" si="14"/>
        <v>5701.434289062624</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c r="D70" s="183">
        <f t="shared" si="16"/>
        <v>249430.36241937839</v>
      </c>
      <c r="E70" s="559">
        <f>E63</f>
        <v>4.4000000000000003E-3</v>
      </c>
      <c r="F70" s="182">
        <f t="shared" si="14"/>
        <v>1097.4935946452649</v>
      </c>
    </row>
    <row r="71" spans="1:6" x14ac:dyDescent="0.2">
      <c r="A71" s="181" t="s">
        <v>161</v>
      </c>
      <c r="B71" s="170"/>
      <c r="C71" s="180"/>
      <c r="D71" s="170">
        <f>SUM(D63:D70)</f>
        <v>195101069.00815839</v>
      </c>
      <c r="E71" s="179"/>
      <c r="F71" s="178">
        <f>SUM(F63:F70)</f>
        <v>858444.70363589702</v>
      </c>
    </row>
    <row r="73" spans="1:6" x14ac:dyDescent="0.2">
      <c r="A73" s="192" t="s">
        <v>168</v>
      </c>
      <c r="B73" s="188"/>
      <c r="C73" s="191"/>
      <c r="D73" s="190"/>
      <c r="E73" s="189"/>
      <c r="F73" s="188"/>
    </row>
    <row r="74" spans="1:6" x14ac:dyDescent="0.2">
      <c r="A74" s="180" t="s">
        <v>167</v>
      </c>
      <c r="B74" s="187"/>
      <c r="C74" s="186"/>
      <c r="D74" s="695">
        <v>2014</v>
      </c>
      <c r="E74" s="692"/>
      <c r="F74" s="693"/>
    </row>
    <row r="75" spans="1:6" x14ac:dyDescent="0.2">
      <c r="A75" s="185" t="str">
        <f>A63</f>
        <v xml:space="preserve">Residential </v>
      </c>
      <c r="B75" s="183"/>
      <c r="C75" s="184"/>
      <c r="D75" s="183">
        <f>D63</f>
        <v>70447793.185331792</v>
      </c>
      <c r="E75" s="559">
        <v>1.1999999999999999E-3</v>
      </c>
      <c r="F75" s="182">
        <f t="shared" ref="F75:F82" si="17">D75*E75</f>
        <v>84537.351822398137</v>
      </c>
    </row>
    <row r="76" spans="1:6" x14ac:dyDescent="0.2">
      <c r="A76" s="185" t="str">
        <f t="shared" ref="A76:A82" si="18">A64</f>
        <v>General Service
&lt; 50 kW</v>
      </c>
      <c r="B76" s="183"/>
      <c r="C76" s="184"/>
      <c r="D76" s="183">
        <f t="shared" ref="D76:D82" si="19">D64</f>
        <v>39330371.16867736</v>
      </c>
      <c r="E76" s="559">
        <f>E75</f>
        <v>1.1999999999999999E-3</v>
      </c>
      <c r="F76" s="182">
        <f t="shared" si="17"/>
        <v>47196.445402412828</v>
      </c>
    </row>
    <row r="77" spans="1:6" x14ac:dyDescent="0.2">
      <c r="A77" s="185" t="str">
        <f t="shared" si="18"/>
        <v>General Service
&gt; 50 kW</v>
      </c>
      <c r="B77" s="183"/>
      <c r="C77" s="184"/>
      <c r="D77" s="183">
        <f t="shared" si="19"/>
        <v>83777693.771488369</v>
      </c>
      <c r="E77" s="559">
        <f>E76</f>
        <v>1.1999999999999999E-3</v>
      </c>
      <c r="F77" s="182">
        <f t="shared" si="17"/>
        <v>100533.23252578604</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18"/>
        <v xml:space="preserve">Streetlights </v>
      </c>
      <c r="B80" s="183"/>
      <c r="C80" s="184"/>
      <c r="D80" s="183">
        <f t="shared" si="19"/>
        <v>1295780.5202415055</v>
      </c>
      <c r="E80" s="559">
        <f>E75</f>
        <v>1.1999999999999999E-3</v>
      </c>
      <c r="F80" s="182">
        <f t="shared" si="17"/>
        <v>1554.9366242898063</v>
      </c>
    </row>
    <row r="81" spans="1:9" hidden="1" x14ac:dyDescent="0.2">
      <c r="A81" s="415" t="str">
        <f t="shared" si="18"/>
        <v>Sentinel Lights</v>
      </c>
      <c r="B81" s="408"/>
      <c r="C81" s="413"/>
      <c r="D81" s="408"/>
      <c r="E81" s="559"/>
      <c r="F81" s="412"/>
    </row>
    <row r="82" spans="1:9" x14ac:dyDescent="0.2">
      <c r="A82" s="185" t="str">
        <f t="shared" si="18"/>
        <v xml:space="preserve">Unmetered Loads </v>
      </c>
      <c r="B82" s="183"/>
      <c r="C82" s="184"/>
      <c r="D82" s="183">
        <f t="shared" si="19"/>
        <v>249430.36241937839</v>
      </c>
      <c r="E82" s="559">
        <f>E75</f>
        <v>1.1999999999999999E-3</v>
      </c>
      <c r="F82" s="182">
        <f t="shared" si="17"/>
        <v>299.31643490325405</v>
      </c>
    </row>
    <row r="83" spans="1:9" x14ac:dyDescent="0.2">
      <c r="A83" s="181" t="s">
        <v>161</v>
      </c>
      <c r="B83" s="170"/>
      <c r="C83" s="180"/>
      <c r="D83" s="170">
        <f>SUM(D75:D82)</f>
        <v>195101069.00815839</v>
      </c>
      <c r="E83" s="179"/>
      <c r="F83" s="178">
        <f>SUM(F75:F82)</f>
        <v>234121.28280979005</v>
      </c>
    </row>
    <row r="85" spans="1:9" x14ac:dyDescent="0.2">
      <c r="A85" s="176"/>
      <c r="B85" s="177">
        <v>2014</v>
      </c>
      <c r="H85" s="689" t="s">
        <v>480</v>
      </c>
      <c r="I85" s="689"/>
    </row>
    <row r="86" spans="1:9" x14ac:dyDescent="0.2">
      <c r="A86" s="176"/>
      <c r="B86" s="175"/>
      <c r="H86" s="690" t="s">
        <v>481</v>
      </c>
      <c r="I86" s="690"/>
    </row>
    <row r="87" spans="1:9" x14ac:dyDescent="0.2">
      <c r="A87" s="172" t="s">
        <v>166</v>
      </c>
      <c r="B87" s="174">
        <f>F23+F35</f>
        <v>16506192.515607458</v>
      </c>
      <c r="H87" s="648" t="s">
        <v>151</v>
      </c>
      <c r="I87" s="649">
        <f>Summary!$N$12</f>
        <v>6818</v>
      </c>
    </row>
    <row r="88" spans="1:9" x14ac:dyDescent="0.2">
      <c r="A88" s="172" t="s">
        <v>165</v>
      </c>
      <c r="B88" s="173">
        <f>F71</f>
        <v>858444.70363589702</v>
      </c>
      <c r="H88" s="648" t="s">
        <v>152</v>
      </c>
      <c r="I88" s="649">
        <f>Summary!$N$16</f>
        <v>1252</v>
      </c>
    </row>
    <row r="89" spans="1:9" x14ac:dyDescent="0.2">
      <c r="A89" s="172" t="s">
        <v>164</v>
      </c>
      <c r="B89" s="173">
        <f>F47</f>
        <v>1249682.6443506863</v>
      </c>
      <c r="H89" s="650" t="s">
        <v>479</v>
      </c>
      <c r="I89" s="651">
        <v>0.79</v>
      </c>
    </row>
    <row r="90" spans="1:9" x14ac:dyDescent="0.2">
      <c r="A90" s="172" t="s">
        <v>163</v>
      </c>
      <c r="B90" s="173">
        <f>F59</f>
        <v>213767.56228187034</v>
      </c>
      <c r="H90" s="648" t="s">
        <v>151</v>
      </c>
      <c r="I90" s="652">
        <f>I89*I87*12</f>
        <v>64634.64</v>
      </c>
    </row>
    <row r="91" spans="1:9" x14ac:dyDescent="0.2">
      <c r="A91" s="172" t="s">
        <v>162</v>
      </c>
      <c r="B91" s="173">
        <f>F83</f>
        <v>234121.28280979005</v>
      </c>
      <c r="H91" s="648" t="s">
        <v>152</v>
      </c>
      <c r="I91" s="652">
        <f>I89*I88*12</f>
        <v>11868.960000000001</v>
      </c>
    </row>
    <row r="92" spans="1:9" ht="13.5" thickBot="1" x14ac:dyDescent="0.25">
      <c r="A92" s="647" t="s">
        <v>474</v>
      </c>
      <c r="B92" s="174">
        <f>'[10]Trial Balance'!$R$447</f>
        <v>76503.600000000006</v>
      </c>
      <c r="H92" s="648" t="s">
        <v>9</v>
      </c>
      <c r="I92" s="653">
        <f>SUM(I90:I91)</f>
        <v>76503.600000000006</v>
      </c>
    </row>
    <row r="93" spans="1:9" ht="13.5" thickTop="1" x14ac:dyDescent="0.2">
      <c r="A93" s="171" t="s">
        <v>161</v>
      </c>
      <c r="B93" s="170">
        <f>SUM(B87:B92)</f>
        <v>19138712.308685701</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759"/>
  <sheetViews>
    <sheetView topLeftCell="A367" workbookViewId="0">
      <selection activeCell="K355" sqref="K355"/>
    </sheetView>
  </sheetViews>
  <sheetFormatPr defaultRowHeight="14.25" x14ac:dyDescent="0.2"/>
  <cols>
    <col min="1" max="1" width="9.140625" style="72"/>
    <col min="2" max="2" width="24.42578125" style="72" customWidth="1"/>
    <col min="3" max="3" width="22.7109375" style="72" hidden="1" customWidth="1"/>
    <col min="4" max="4" width="23.140625" style="72" bestFit="1" customWidth="1"/>
    <col min="5" max="6" width="19" style="72" bestFit="1" customWidth="1"/>
    <col min="7" max="7" width="16.28515625" style="72" bestFit="1" customWidth="1"/>
    <col min="8" max="8" width="14.140625" style="72" bestFit="1" customWidth="1"/>
    <col min="9" max="10" width="14.7109375" style="72" bestFit="1" customWidth="1"/>
    <col min="11" max="11" width="25.85546875" style="72" bestFit="1" customWidth="1"/>
    <col min="12" max="12" width="13.140625" style="72" customWidth="1"/>
    <col min="13" max="13" width="11.5703125" style="72" bestFit="1" customWidth="1"/>
    <col min="14" max="14" width="9.85546875" style="72" bestFit="1" customWidth="1"/>
    <col min="15" max="15" width="11" style="72" customWidth="1"/>
    <col min="16" max="16384" width="9.140625" style="72"/>
  </cols>
  <sheetData>
    <row r="1" spans="1:17" x14ac:dyDescent="0.2">
      <c r="M1"/>
      <c r="N1" s="86"/>
    </row>
    <row r="2" spans="1:17" ht="15" x14ac:dyDescent="0.2">
      <c r="A2" s="714" t="s">
        <v>409</v>
      </c>
      <c r="B2" s="715"/>
      <c r="C2" s="715"/>
      <c r="D2" s="715"/>
      <c r="E2" s="715"/>
      <c r="F2" s="715"/>
      <c r="G2" s="715"/>
      <c r="H2" s="715"/>
      <c r="I2" s="716"/>
      <c r="J2" s="74"/>
      <c r="M2"/>
      <c r="N2" s="86"/>
    </row>
    <row r="3" spans="1:17" ht="45" x14ac:dyDescent="0.2">
      <c r="A3" s="75" t="s">
        <v>105</v>
      </c>
      <c r="B3" s="76"/>
      <c r="C3" s="76"/>
      <c r="D3" s="77" t="s">
        <v>332</v>
      </c>
      <c r="E3" s="77" t="s">
        <v>333</v>
      </c>
      <c r="F3" s="77" t="s">
        <v>106</v>
      </c>
      <c r="G3" s="77" t="s">
        <v>107</v>
      </c>
      <c r="H3" s="77" t="s">
        <v>108</v>
      </c>
      <c r="I3" s="77" t="s">
        <v>109</v>
      </c>
      <c r="J3" s="78"/>
      <c r="M3"/>
      <c r="N3" s="86"/>
    </row>
    <row r="4" spans="1:17" ht="15" x14ac:dyDescent="0.2">
      <c r="A4" s="717" t="s">
        <v>331</v>
      </c>
      <c r="B4" s="718"/>
      <c r="C4" s="718"/>
      <c r="D4" s="718"/>
      <c r="E4" s="718"/>
      <c r="F4" s="718"/>
      <c r="G4" s="718"/>
      <c r="H4" s="718"/>
      <c r="I4" s="719"/>
      <c r="J4" s="74"/>
      <c r="M4"/>
      <c r="N4" s="86"/>
    </row>
    <row r="5" spans="1:17" ht="15" x14ac:dyDescent="0.2">
      <c r="A5" s="714"/>
      <c r="B5" s="715"/>
      <c r="C5" s="73"/>
      <c r="D5" s="79"/>
      <c r="E5" s="79"/>
      <c r="F5" s="79"/>
      <c r="G5" s="79"/>
      <c r="H5" s="79"/>
      <c r="I5" s="79"/>
      <c r="J5" s="74"/>
      <c r="M5"/>
      <c r="N5" s="86"/>
      <c r="O5"/>
      <c r="P5"/>
      <c r="Q5"/>
    </row>
    <row r="6" spans="1:17" ht="15" x14ac:dyDescent="0.2">
      <c r="A6" s="80" t="s">
        <v>110</v>
      </c>
      <c r="B6" s="73"/>
      <c r="C6" s="73"/>
      <c r="D6" s="105">
        <f>J28</f>
        <v>183346000</v>
      </c>
      <c r="E6" s="79"/>
      <c r="F6" s="79"/>
      <c r="G6" s="105">
        <f>J48</f>
        <v>9901</v>
      </c>
      <c r="H6" s="79"/>
      <c r="I6" s="79"/>
      <c r="J6" s="74"/>
      <c r="M6"/>
      <c r="N6" s="86"/>
      <c r="O6"/>
      <c r="P6"/>
      <c r="Q6"/>
    </row>
    <row r="7" spans="1:17" ht="15" x14ac:dyDescent="0.2">
      <c r="A7" s="714"/>
      <c r="B7" s="715"/>
      <c r="C7" s="73"/>
      <c r="D7" s="79"/>
      <c r="E7" s="79"/>
      <c r="F7" s="79"/>
      <c r="G7" s="79"/>
      <c r="H7" s="79"/>
      <c r="I7" s="79"/>
      <c r="J7" s="74"/>
      <c r="M7"/>
      <c r="N7" s="86"/>
      <c r="O7"/>
      <c r="P7"/>
      <c r="Q7"/>
    </row>
    <row r="8" spans="1:17" hidden="1" x14ac:dyDescent="0.2">
      <c r="A8" s="80" t="s">
        <v>156</v>
      </c>
      <c r="B8" s="81"/>
      <c r="C8" s="81"/>
      <c r="D8" s="424"/>
      <c r="E8" s="425"/>
      <c r="F8" s="427"/>
      <c r="G8" s="426"/>
      <c r="H8" s="425"/>
      <c r="I8" s="427"/>
      <c r="J8" s="85"/>
      <c r="K8" s="86"/>
      <c r="M8"/>
      <c r="N8" s="86"/>
      <c r="O8"/>
      <c r="P8"/>
      <c r="Q8"/>
    </row>
    <row r="9" spans="1:17" hidden="1" x14ac:dyDescent="0.2">
      <c r="A9" s="80" t="s">
        <v>51</v>
      </c>
      <c r="B9" s="81"/>
      <c r="C9" s="81"/>
      <c r="D9" s="424"/>
      <c r="E9" s="425"/>
      <c r="F9" s="427"/>
      <c r="G9" s="426"/>
      <c r="H9" s="428"/>
      <c r="I9" s="427"/>
      <c r="J9" s="85"/>
      <c r="K9" s="86"/>
      <c r="M9"/>
      <c r="N9" s="86"/>
      <c r="O9"/>
      <c r="P9"/>
      <c r="Q9"/>
    </row>
    <row r="10" spans="1:17" ht="15" hidden="1" customHeight="1" x14ac:dyDescent="0.2">
      <c r="A10" s="80" t="s">
        <v>52</v>
      </c>
      <c r="B10" s="81"/>
      <c r="C10" s="81"/>
      <c r="D10" s="424"/>
      <c r="E10" s="425"/>
      <c r="F10" s="427"/>
      <c r="G10" s="84">
        <f>Summary!D54</f>
        <v>8447</v>
      </c>
      <c r="H10" s="428"/>
      <c r="I10" s="427"/>
      <c r="J10" s="85"/>
      <c r="K10" s="86"/>
      <c r="M10"/>
      <c r="N10" s="86"/>
      <c r="O10"/>
      <c r="P10"/>
      <c r="Q10"/>
    </row>
    <row r="11" spans="1:17" ht="15" customHeight="1" x14ac:dyDescent="0.2">
      <c r="A11" s="80" t="s">
        <v>53</v>
      </c>
      <c r="B11" s="81"/>
      <c r="C11" s="81"/>
      <c r="D11" s="105">
        <f>Summary!E8</f>
        <v>166270245.74992317</v>
      </c>
      <c r="E11" s="105">
        <f t="shared" ref="E11:E22" si="0">D11-D10</f>
        <v>166270245.74992317</v>
      </c>
      <c r="F11" s="427"/>
      <c r="G11" s="84">
        <f>Summary!E54</f>
        <v>8709</v>
      </c>
      <c r="H11" s="87">
        <f t="shared" ref="H11:H21" si="1">G11-G10</f>
        <v>262</v>
      </c>
      <c r="I11" s="83">
        <f t="shared" ref="I11:I21" si="2">H11/G10</f>
        <v>3.1016929087249911E-2</v>
      </c>
      <c r="J11" s="85"/>
      <c r="K11" s="86"/>
      <c r="M11"/>
      <c r="N11" s="86"/>
      <c r="O11"/>
      <c r="P11"/>
      <c r="Q11"/>
    </row>
    <row r="12" spans="1:17" ht="15" customHeight="1" x14ac:dyDescent="0.2">
      <c r="A12" s="80" t="s">
        <v>54</v>
      </c>
      <c r="B12" s="81"/>
      <c r="C12" s="81"/>
      <c r="D12" s="105">
        <f>Summary!F8</f>
        <v>169788483</v>
      </c>
      <c r="E12" s="105">
        <f t="shared" si="0"/>
        <v>3518237.2500768304</v>
      </c>
      <c r="F12" s="83">
        <f t="shared" ref="F12:F22" si="3">E12/D11</f>
        <v>2.1159752511392772E-2</v>
      </c>
      <c r="G12" s="84">
        <f>Summary!F54</f>
        <v>8967</v>
      </c>
      <c r="H12" s="87">
        <f t="shared" si="1"/>
        <v>258</v>
      </c>
      <c r="I12" s="83">
        <f t="shared" si="2"/>
        <v>2.9624526352049603E-2</v>
      </c>
      <c r="J12" s="85"/>
      <c r="K12" s="86"/>
      <c r="M12"/>
      <c r="N12" s="86"/>
      <c r="O12"/>
      <c r="P12"/>
      <c r="Q12"/>
    </row>
    <row r="13" spans="1:17" ht="15" customHeight="1" x14ac:dyDescent="0.2">
      <c r="A13" s="80" t="s">
        <v>55</v>
      </c>
      <c r="B13" s="81"/>
      <c r="C13" s="81"/>
      <c r="D13" s="105">
        <f>Summary!G8</f>
        <v>179968717</v>
      </c>
      <c r="E13" s="105">
        <f t="shared" si="0"/>
        <v>10180234</v>
      </c>
      <c r="F13" s="83">
        <f t="shared" si="3"/>
        <v>5.9958330624816293E-2</v>
      </c>
      <c r="G13" s="84">
        <f>Summary!G54</f>
        <v>9204</v>
      </c>
      <c r="H13" s="87">
        <f t="shared" si="1"/>
        <v>237</v>
      </c>
      <c r="I13" s="83">
        <f t="shared" si="2"/>
        <v>2.6430244228839078E-2</v>
      </c>
      <c r="J13" s="85"/>
      <c r="K13" s="86"/>
      <c r="M13"/>
      <c r="N13" s="86"/>
      <c r="O13"/>
      <c r="P13"/>
      <c r="Q13"/>
    </row>
    <row r="14" spans="1:17" ht="15" customHeight="1" x14ac:dyDescent="0.2">
      <c r="A14" s="80" t="s">
        <v>56</v>
      </c>
      <c r="B14" s="81"/>
      <c r="C14" s="81"/>
      <c r="D14" s="105">
        <f>Summary!H8</f>
        <v>175258854.62746203</v>
      </c>
      <c r="E14" s="105">
        <f t="shared" si="0"/>
        <v>-4709862.3725379705</v>
      </c>
      <c r="F14" s="83">
        <f t="shared" si="3"/>
        <v>-2.6170450348534578E-2</v>
      </c>
      <c r="G14" s="84">
        <f>Summary!H54</f>
        <v>9439</v>
      </c>
      <c r="H14" s="87">
        <f t="shared" si="1"/>
        <v>235</v>
      </c>
      <c r="I14" s="83">
        <f t="shared" si="2"/>
        <v>2.5532377227292482E-2</v>
      </c>
      <c r="J14" s="85"/>
      <c r="K14" s="86"/>
      <c r="M14"/>
      <c r="N14" s="86"/>
    </row>
    <row r="15" spans="1:17" ht="15" customHeight="1" x14ac:dyDescent="0.2">
      <c r="A15" s="80" t="s">
        <v>57</v>
      </c>
      <c r="B15" s="81"/>
      <c r="C15" s="81"/>
      <c r="D15" s="105">
        <f>Summary!I8</f>
        <v>180475098</v>
      </c>
      <c r="E15" s="105">
        <f t="shared" si="0"/>
        <v>5216243.3725379705</v>
      </c>
      <c r="F15" s="83">
        <f t="shared" si="3"/>
        <v>2.9763080351208778E-2</v>
      </c>
      <c r="G15" s="84">
        <f>Summary!I54</f>
        <v>9650</v>
      </c>
      <c r="H15" s="87">
        <f t="shared" si="1"/>
        <v>211</v>
      </c>
      <c r="I15" s="83">
        <f t="shared" si="2"/>
        <v>2.2354062930395168E-2</v>
      </c>
      <c r="J15" s="85"/>
      <c r="K15" s="86"/>
      <c r="M15"/>
      <c r="N15" s="86"/>
    </row>
    <row r="16" spans="1:17" ht="15" customHeight="1" x14ac:dyDescent="0.2">
      <c r="A16" s="80" t="s">
        <v>111</v>
      </c>
      <c r="B16" s="81"/>
      <c r="C16" s="81"/>
      <c r="D16" s="105">
        <f>Summary!J8</f>
        <v>173899397.86240616</v>
      </c>
      <c r="E16" s="105">
        <f t="shared" si="0"/>
        <v>-6575700.1375938356</v>
      </c>
      <c r="F16" s="83">
        <f t="shared" si="3"/>
        <v>-3.6435498362183107E-2</v>
      </c>
      <c r="G16" s="84">
        <f>Summary!J54</f>
        <v>9773</v>
      </c>
      <c r="H16" s="87">
        <f t="shared" si="1"/>
        <v>123</v>
      </c>
      <c r="I16" s="83">
        <f t="shared" si="2"/>
        <v>1.2746113989637306E-2</v>
      </c>
      <c r="J16" s="85"/>
      <c r="K16" s="86"/>
      <c r="M16"/>
      <c r="N16" s="86"/>
    </row>
    <row r="17" spans="1:30" ht="15" customHeight="1" x14ac:dyDescent="0.2">
      <c r="A17" s="80" t="s">
        <v>112</v>
      </c>
      <c r="B17" s="81"/>
      <c r="C17" s="81"/>
      <c r="D17" s="105">
        <f>Summary!K8</f>
        <v>172882903.57852563</v>
      </c>
      <c r="E17" s="105">
        <f t="shared" si="0"/>
        <v>-1016494.2838805318</v>
      </c>
      <c r="F17" s="83">
        <f t="shared" si="3"/>
        <v>-5.8453007680038613E-3</v>
      </c>
      <c r="G17" s="84">
        <f>Summary!K49</f>
        <v>9795</v>
      </c>
      <c r="H17" s="87">
        <f t="shared" si="1"/>
        <v>22</v>
      </c>
      <c r="I17" s="83">
        <f t="shared" si="2"/>
        <v>2.2510999693031823E-3</v>
      </c>
      <c r="J17" s="85"/>
      <c r="K17" s="86"/>
      <c r="M17"/>
      <c r="N17" s="86"/>
    </row>
    <row r="18" spans="1:30" ht="15" customHeight="1" x14ac:dyDescent="0.2">
      <c r="A18" s="80" t="s">
        <v>73</v>
      </c>
      <c r="B18" s="81"/>
      <c r="C18" s="88"/>
      <c r="D18" s="105">
        <f>Summary!L8</f>
        <v>177644371.28773403</v>
      </c>
      <c r="E18" s="105">
        <f t="shared" si="0"/>
        <v>4761467.7092083991</v>
      </c>
      <c r="F18" s="83">
        <f t="shared" si="3"/>
        <v>2.7541576469680702E-2</v>
      </c>
      <c r="G18" s="84">
        <f>Summary!L49</f>
        <v>9823</v>
      </c>
      <c r="H18" s="87">
        <f t="shared" si="1"/>
        <v>28</v>
      </c>
      <c r="I18" s="83">
        <f t="shared" si="2"/>
        <v>2.8586013272077593E-3</v>
      </c>
      <c r="J18" s="85"/>
      <c r="K18" s="86"/>
      <c r="M18"/>
      <c r="N18" s="86"/>
    </row>
    <row r="19" spans="1:30" s="91" customFormat="1" ht="15" x14ac:dyDescent="0.25">
      <c r="A19" s="80" t="s">
        <v>75</v>
      </c>
      <c r="B19" s="89"/>
      <c r="C19" s="73"/>
      <c r="D19" s="105">
        <f>Summary!M8</f>
        <v>183889036.04000002</v>
      </c>
      <c r="E19" s="105">
        <f t="shared" si="0"/>
        <v>6244664.7522659898</v>
      </c>
      <c r="F19" s="83">
        <f t="shared" si="3"/>
        <v>3.5152618160647402E-2</v>
      </c>
      <c r="G19" s="84">
        <f>Summary!M49</f>
        <v>10005</v>
      </c>
      <c r="H19" s="87">
        <f t="shared" si="1"/>
        <v>182</v>
      </c>
      <c r="I19" s="83">
        <f t="shared" si="2"/>
        <v>1.8527944619769927E-2</v>
      </c>
      <c r="J19" s="85"/>
      <c r="K19" s="90"/>
      <c r="M19"/>
      <c r="N19" s="90"/>
    </row>
    <row r="20" spans="1:30" s="91" customFormat="1" ht="15" x14ac:dyDescent="0.25">
      <c r="A20" s="433" t="s">
        <v>337</v>
      </c>
      <c r="B20" s="89"/>
      <c r="C20" s="74"/>
      <c r="D20" s="105">
        <f>Summary!N8</f>
        <v>183371442.02000001</v>
      </c>
      <c r="E20" s="105">
        <f>D20-D19</f>
        <v>-517594.02000001073</v>
      </c>
      <c r="F20" s="83">
        <f>E20/D19</f>
        <v>-2.8147084304005069E-3</v>
      </c>
      <c r="G20" s="84">
        <f>Summary!N49</f>
        <v>10158</v>
      </c>
      <c r="H20" s="87">
        <f>G20-G19</f>
        <v>153</v>
      </c>
      <c r="I20" s="83">
        <f>H20/G19</f>
        <v>1.5292353823088457E-2</v>
      </c>
      <c r="J20" s="95"/>
      <c r="K20" s="90"/>
      <c r="L20" s="165"/>
      <c r="M20"/>
      <c r="N20" s="90"/>
    </row>
    <row r="21" spans="1:30" s="91" customFormat="1" ht="15" x14ac:dyDescent="0.25">
      <c r="A21" s="418" t="s">
        <v>335</v>
      </c>
      <c r="B21" s="89"/>
      <c r="C21" s="74"/>
      <c r="D21" s="111">
        <f>Summary!O8</f>
        <v>180713812.20642555</v>
      </c>
      <c r="E21" s="111">
        <f t="shared" si="0"/>
        <v>-2657629.8135744631</v>
      </c>
      <c r="F21" s="419">
        <f t="shared" si="3"/>
        <v>-1.4493149992704971E-2</v>
      </c>
      <c r="G21" s="93">
        <f>Summary!O49</f>
        <v>10368.020401491882</v>
      </c>
      <c r="H21" s="94">
        <f t="shared" si="1"/>
        <v>210.02040149188178</v>
      </c>
      <c r="I21" s="419">
        <f t="shared" si="2"/>
        <v>2.0675369314026557E-2</v>
      </c>
      <c r="J21" s="95"/>
      <c r="K21" s="90"/>
      <c r="L21" s="165"/>
      <c r="M21"/>
      <c r="N21" s="90"/>
    </row>
    <row r="22" spans="1:30" s="91" customFormat="1" ht="15" x14ac:dyDescent="0.25">
      <c r="A22" s="418" t="s">
        <v>336</v>
      </c>
      <c r="B22" s="89"/>
      <c r="C22" s="74"/>
      <c r="D22" s="111">
        <f>Summary!P8</f>
        <v>187976750.17647019</v>
      </c>
      <c r="E22" s="111">
        <f t="shared" si="0"/>
        <v>7262937.9700446427</v>
      </c>
      <c r="F22" s="419">
        <f t="shared" si="3"/>
        <v>4.0190275891852381E-2</v>
      </c>
      <c r="G22" s="93">
        <f>Summary!P49</f>
        <v>10671.807060839095</v>
      </c>
      <c r="H22" s="94">
        <f t="shared" ref="H22" si="4">G22-G21</f>
        <v>303.78665934721357</v>
      </c>
      <c r="I22" s="419">
        <f t="shared" ref="I22" si="5">H22/G21</f>
        <v>2.9300353161294021E-2</v>
      </c>
      <c r="J22" s="95"/>
      <c r="K22" s="90"/>
      <c r="L22" s="165"/>
      <c r="M22"/>
      <c r="N22" s="90"/>
    </row>
    <row r="23" spans="1:30" s="91" customFormat="1" ht="15" x14ac:dyDescent="0.25">
      <c r="A23" s="153"/>
      <c r="B23" s="154"/>
      <c r="C23" s="74"/>
      <c r="D23" s="155"/>
      <c r="E23" s="156"/>
      <c r="F23" s="157"/>
      <c r="G23" s="158"/>
      <c r="H23" s="159"/>
      <c r="I23" s="157"/>
      <c r="J23" s="95"/>
      <c r="K23" s="90"/>
      <c r="M23"/>
      <c r="N23" s="90"/>
    </row>
    <row r="24" spans="1:30" ht="15" x14ac:dyDescent="0.2">
      <c r="A24" s="714" t="s">
        <v>410</v>
      </c>
      <c r="B24" s="715"/>
      <c r="C24" s="715"/>
      <c r="D24" s="715"/>
      <c r="E24" s="715"/>
      <c r="F24" s="715"/>
      <c r="G24" s="715"/>
      <c r="H24" s="715"/>
      <c r="I24" s="715"/>
      <c r="J24" s="716"/>
      <c r="K24"/>
      <c r="L24"/>
      <c r="M24"/>
      <c r="N24" s="86"/>
    </row>
    <row r="25" spans="1:30" ht="15" x14ac:dyDescent="0.2">
      <c r="A25" s="720" t="s">
        <v>105</v>
      </c>
      <c r="B25" s="720"/>
      <c r="C25" s="98"/>
      <c r="D25" s="99" t="s">
        <v>94</v>
      </c>
      <c r="E25" s="99" t="s">
        <v>152</v>
      </c>
      <c r="F25" s="99" t="s">
        <v>153</v>
      </c>
      <c r="G25" s="99" t="s">
        <v>113</v>
      </c>
      <c r="H25" s="99" t="s">
        <v>154</v>
      </c>
      <c r="I25" s="99" t="s">
        <v>155</v>
      </c>
      <c r="J25" s="99" t="s">
        <v>9</v>
      </c>
      <c r="M25"/>
      <c r="N25" s="86"/>
    </row>
    <row r="26" spans="1:30" ht="14.25" customHeight="1" x14ac:dyDescent="0.2">
      <c r="A26" s="100" t="s">
        <v>334</v>
      </c>
      <c r="B26" s="100"/>
      <c r="C26" s="100"/>
      <c r="D26" s="100"/>
      <c r="E26" s="100"/>
      <c r="F26" s="100"/>
      <c r="G26" s="100"/>
      <c r="H26" s="100"/>
      <c r="I26" s="100"/>
      <c r="J26" s="100"/>
      <c r="M26"/>
      <c r="N26" s="86"/>
    </row>
    <row r="27" spans="1:30" ht="14.25" customHeight="1" x14ac:dyDescent="0.2">
      <c r="A27" s="744"/>
      <c r="B27" s="744"/>
      <c r="C27" s="79"/>
      <c r="D27" s="79"/>
      <c r="E27" s="79"/>
      <c r="F27" s="79"/>
      <c r="G27" s="79"/>
      <c r="H27" s="101"/>
      <c r="I27" s="79"/>
      <c r="J27" s="101"/>
      <c r="M27"/>
      <c r="N27" s="86"/>
    </row>
    <row r="28" spans="1:30" ht="14.25" customHeight="1" x14ac:dyDescent="0.2">
      <c r="A28" s="102" t="str">
        <f>A6</f>
        <v>2009 Board Approved</v>
      </c>
      <c r="B28" s="79"/>
      <c r="C28" s="79"/>
      <c r="D28" s="105">
        <v>66607551</v>
      </c>
      <c r="E28" s="105">
        <v>34497593</v>
      </c>
      <c r="F28" s="105">
        <v>80852618</v>
      </c>
      <c r="G28" s="105">
        <v>1086069</v>
      </c>
      <c r="H28" s="429"/>
      <c r="I28" s="105">
        <v>302169</v>
      </c>
      <c r="J28" s="105">
        <f>SUM(D28:I28)</f>
        <v>183346000</v>
      </c>
      <c r="M28"/>
      <c r="N28" s="86"/>
    </row>
    <row r="29" spans="1:30" ht="14.25" customHeight="1" x14ac:dyDescent="0.2">
      <c r="A29" s="744"/>
      <c r="B29" s="744"/>
      <c r="C29" s="79"/>
      <c r="D29" s="79"/>
      <c r="E29" s="79"/>
      <c r="F29" s="79"/>
      <c r="G29" s="79"/>
      <c r="H29" s="101"/>
      <c r="I29" s="82"/>
      <c r="J29" s="79"/>
      <c r="M29"/>
      <c r="N29" s="86"/>
    </row>
    <row r="30" spans="1:30" ht="14.25" hidden="1" customHeight="1" x14ac:dyDescent="0.2">
      <c r="A30" s="102" t="str">
        <f t="shared" ref="A30:A44" si="6">A8</f>
        <v xml:space="preserve">2000 Actual </v>
      </c>
      <c r="B30" s="151"/>
      <c r="C30" s="79"/>
      <c r="D30" s="424"/>
      <c r="E30" s="424"/>
      <c r="F30" s="424"/>
      <c r="G30" s="424"/>
      <c r="H30" s="424"/>
      <c r="I30" s="424"/>
      <c r="J30" s="424"/>
      <c r="M30"/>
      <c r="N30" s="34"/>
      <c r="W30"/>
      <c r="X30"/>
      <c r="Y30"/>
      <c r="Z30"/>
      <c r="AA30"/>
      <c r="AB30"/>
      <c r="AC30"/>
      <c r="AD30"/>
    </row>
    <row r="31" spans="1:30" ht="14.25" hidden="1" customHeight="1" x14ac:dyDescent="0.2">
      <c r="A31" s="102" t="str">
        <f t="shared" si="6"/>
        <v xml:space="preserve">2001 Actual </v>
      </c>
      <c r="B31" s="151"/>
      <c r="C31" s="79"/>
      <c r="D31" s="424"/>
      <c r="E31" s="424"/>
      <c r="F31" s="424"/>
      <c r="G31" s="424"/>
      <c r="H31" s="424"/>
      <c r="I31" s="424"/>
      <c r="J31" s="424"/>
      <c r="M31"/>
      <c r="N31" s="34"/>
    </row>
    <row r="32" spans="1:30" hidden="1" x14ac:dyDescent="0.2">
      <c r="A32" s="102" t="str">
        <f t="shared" si="6"/>
        <v xml:space="preserve">2002 Actual </v>
      </c>
      <c r="B32" s="102"/>
      <c r="C32" s="102"/>
      <c r="D32" s="424"/>
      <c r="E32" s="424"/>
      <c r="F32" s="424"/>
      <c r="G32" s="424"/>
      <c r="H32" s="424"/>
      <c r="I32" s="424"/>
      <c r="J32" s="424"/>
      <c r="M32"/>
      <c r="N32" s="34"/>
    </row>
    <row r="33" spans="1:14" x14ac:dyDescent="0.2">
      <c r="A33" s="102" t="str">
        <f t="shared" si="6"/>
        <v xml:space="preserve">2003 Actual </v>
      </c>
      <c r="B33" s="102"/>
      <c r="C33" s="102"/>
      <c r="D33" s="105">
        <f>Summary!E13</f>
        <v>59473067.616589859</v>
      </c>
      <c r="E33" s="105">
        <f>Summary!E17</f>
        <v>35010423</v>
      </c>
      <c r="F33" s="105">
        <f>Summary!E21</f>
        <v>70539226</v>
      </c>
      <c r="G33" s="105">
        <f>Summary!E36</f>
        <v>884324.1333333333</v>
      </c>
      <c r="H33" s="105">
        <f>Summary!E41</f>
        <v>145274</v>
      </c>
      <c r="I33" s="105">
        <f>Summary!E46</f>
        <v>217931</v>
      </c>
      <c r="J33" s="105">
        <f t="shared" ref="J33:J44" si="7">SUM(D33:I33)</f>
        <v>166270245.74992317</v>
      </c>
      <c r="M33"/>
      <c r="N33" s="34"/>
    </row>
    <row r="34" spans="1:14" x14ac:dyDescent="0.2">
      <c r="A34" s="102" t="str">
        <f t="shared" si="6"/>
        <v xml:space="preserve">2004 Actual </v>
      </c>
      <c r="B34" s="102"/>
      <c r="C34" s="102"/>
      <c r="D34" s="105">
        <f>Summary!F13</f>
        <v>60142431</v>
      </c>
      <c r="E34" s="105">
        <f>Summary!F17</f>
        <v>34349415</v>
      </c>
      <c r="F34" s="105">
        <f>Summary!F21</f>
        <v>73966550</v>
      </c>
      <c r="G34" s="105">
        <f>Summary!F36</f>
        <v>914682</v>
      </c>
      <c r="H34" s="105">
        <f>Summary!F41</f>
        <v>197474</v>
      </c>
      <c r="I34" s="105">
        <f>Summary!F46</f>
        <v>217931</v>
      </c>
      <c r="J34" s="105">
        <f t="shared" si="7"/>
        <v>169788483</v>
      </c>
      <c r="M34"/>
      <c r="N34" s="34"/>
    </row>
    <row r="35" spans="1:14" x14ac:dyDescent="0.2">
      <c r="A35" s="102" t="str">
        <f t="shared" si="6"/>
        <v xml:space="preserve">2005 Actual </v>
      </c>
      <c r="B35" s="102"/>
      <c r="C35" s="102"/>
      <c r="D35" s="105">
        <f>Summary!G13</f>
        <v>67990535</v>
      </c>
      <c r="E35" s="105">
        <f>Summary!G17</f>
        <v>34479068</v>
      </c>
      <c r="F35" s="105">
        <f>Summary!G21</f>
        <v>76163682</v>
      </c>
      <c r="G35" s="105">
        <f>Summary!G36</f>
        <v>995698</v>
      </c>
      <c r="H35" s="105">
        <f>Summary!G41</f>
        <v>121803</v>
      </c>
      <c r="I35" s="105">
        <f>Summary!G46</f>
        <v>217931</v>
      </c>
      <c r="J35" s="105">
        <f t="shared" si="7"/>
        <v>179968717</v>
      </c>
      <c r="M35"/>
      <c r="N35" s="34"/>
    </row>
    <row r="36" spans="1:14" ht="12.75" customHeight="1" x14ac:dyDescent="0.2">
      <c r="A36" s="102" t="str">
        <f t="shared" si="6"/>
        <v xml:space="preserve">2006 Actual </v>
      </c>
      <c r="B36" s="102"/>
      <c r="C36" s="102"/>
      <c r="D36" s="105">
        <f>Summary!H13</f>
        <v>64063446</v>
      </c>
      <c r="E36" s="105">
        <f>Summary!H17</f>
        <v>30478041</v>
      </c>
      <c r="F36" s="105">
        <f>Summary!H21</f>
        <v>79256712</v>
      </c>
      <c r="G36" s="105">
        <f>Summary!H36</f>
        <v>1118911</v>
      </c>
      <c r="H36" s="105">
        <f>Summary!H41</f>
        <v>123813.62746201461</v>
      </c>
      <c r="I36" s="105">
        <f>Summary!H46</f>
        <v>217931</v>
      </c>
      <c r="J36" s="105">
        <f t="shared" si="7"/>
        <v>175258854.62746203</v>
      </c>
      <c r="M36"/>
      <c r="N36" s="34"/>
    </row>
    <row r="37" spans="1:14" x14ac:dyDescent="0.2">
      <c r="A37" s="102" t="str">
        <f t="shared" si="6"/>
        <v xml:space="preserve">2007 Actual </v>
      </c>
      <c r="B37" s="102"/>
      <c r="C37" s="102"/>
      <c r="D37" s="105">
        <f>Summary!I13</f>
        <v>65499951</v>
      </c>
      <c r="E37" s="105">
        <f>Summary!I17</f>
        <v>34969161</v>
      </c>
      <c r="F37" s="105">
        <f>Summary!I21</f>
        <v>78684896</v>
      </c>
      <c r="G37" s="105">
        <f>Summary!I36</f>
        <v>1002185</v>
      </c>
      <c r="H37" s="105">
        <f>Summary!I41</f>
        <v>100974</v>
      </c>
      <c r="I37" s="105">
        <f>Summary!I46</f>
        <v>217931</v>
      </c>
      <c r="J37" s="105">
        <f t="shared" si="7"/>
        <v>180475098</v>
      </c>
      <c r="M37"/>
      <c r="N37" s="34"/>
    </row>
    <row r="38" spans="1:14" x14ac:dyDescent="0.2">
      <c r="A38" s="102" t="str">
        <f t="shared" si="6"/>
        <v xml:space="preserve">2008 Actual </v>
      </c>
      <c r="B38" s="102"/>
      <c r="C38" s="102"/>
      <c r="D38" s="105">
        <f>Summary!J13</f>
        <v>62980676.951219514</v>
      </c>
      <c r="E38" s="105">
        <f>Summary!J17</f>
        <v>35045141.781299576</v>
      </c>
      <c r="F38" s="105">
        <f>Summary!J21</f>
        <v>74475846.068181574</v>
      </c>
      <c r="G38" s="105">
        <f>Summary!J36</f>
        <v>1121118.2660441326</v>
      </c>
      <c r="H38" s="105">
        <f>Summary!J41</f>
        <v>65335.910294257686</v>
      </c>
      <c r="I38" s="105">
        <f>Summary!J46</f>
        <v>211278.88536708895</v>
      </c>
      <c r="J38" s="105">
        <f t="shared" si="7"/>
        <v>173899397.86240616</v>
      </c>
      <c r="M38"/>
      <c r="N38" s="34"/>
    </row>
    <row r="39" spans="1:14" x14ac:dyDescent="0.2">
      <c r="A39" s="102" t="str">
        <f t="shared" si="6"/>
        <v>2009 Actual</v>
      </c>
      <c r="B39" s="102"/>
      <c r="C39" s="102"/>
      <c r="D39" s="105">
        <f>Summary!K13</f>
        <v>63244583.51031895</v>
      </c>
      <c r="E39" s="105">
        <f>Summary!K17</f>
        <v>33688872.79423999</v>
      </c>
      <c r="F39" s="105">
        <f>Summary!K21</f>
        <v>74591201.455103308</v>
      </c>
      <c r="G39" s="105">
        <f>Summary!K36</f>
        <v>1155889.8842094042</v>
      </c>
      <c r="H39" s="105">
        <f>Summary!K41</f>
        <v>5467.0983715836583</v>
      </c>
      <c r="I39" s="105">
        <f>Summary!K46</f>
        <v>196888.83628239558</v>
      </c>
      <c r="J39" s="105">
        <f t="shared" si="7"/>
        <v>172882903.57852563</v>
      </c>
      <c r="M39"/>
      <c r="N39" s="34"/>
    </row>
    <row r="40" spans="1:14" s="104" customFormat="1" ht="14.25" customHeight="1" x14ac:dyDescent="0.2">
      <c r="A40" s="102" t="str">
        <f t="shared" si="6"/>
        <v xml:space="preserve">2010 Actual </v>
      </c>
      <c r="B40" s="102"/>
      <c r="C40" s="103"/>
      <c r="D40" s="105">
        <f>Summary!L13</f>
        <v>66159480.468461536</v>
      </c>
      <c r="E40" s="105">
        <f>Summary!L17</f>
        <v>33426752.734460428</v>
      </c>
      <c r="F40" s="105">
        <f>Summary!L21</f>
        <v>76704892.796715111</v>
      </c>
      <c r="G40" s="105">
        <f>Summary!L36</f>
        <v>1135598.169746463</v>
      </c>
      <c r="H40" s="424"/>
      <c r="I40" s="105">
        <f>Summary!L46</f>
        <v>217647.11835051546</v>
      </c>
      <c r="J40" s="105">
        <f t="shared" si="7"/>
        <v>177644371.28773403</v>
      </c>
      <c r="M40"/>
      <c r="N40" s="34"/>
    </row>
    <row r="41" spans="1:14" s="91" customFormat="1" ht="15" customHeight="1" x14ac:dyDescent="0.25">
      <c r="A41" s="102" t="str">
        <f t="shared" si="6"/>
        <v xml:space="preserve">2011 Actual </v>
      </c>
      <c r="B41" s="102"/>
      <c r="C41" s="79"/>
      <c r="D41" s="105">
        <f>Summary!M13</f>
        <v>67609924.159999996</v>
      </c>
      <c r="E41" s="105">
        <f>Summary!M17</f>
        <v>34407699.510000005</v>
      </c>
      <c r="F41" s="105">
        <f>Summary!M21</f>
        <v>80480195.260000005</v>
      </c>
      <c r="G41" s="105">
        <f>Summary!M36</f>
        <v>1153818.49</v>
      </c>
      <c r="H41" s="424"/>
      <c r="I41" s="105">
        <f>Summary!M46</f>
        <v>237398.62</v>
      </c>
      <c r="J41" s="105">
        <f t="shared" si="7"/>
        <v>183889036.04000002</v>
      </c>
      <c r="M41"/>
      <c r="N41" s="34"/>
    </row>
    <row r="42" spans="1:14" s="91" customFormat="1" ht="15" customHeight="1" x14ac:dyDescent="0.25">
      <c r="A42" s="420" t="str">
        <f t="shared" si="6"/>
        <v>2012 Actual</v>
      </c>
      <c r="B42" s="420"/>
      <c r="C42" s="79"/>
      <c r="D42" s="111">
        <f>Summary!N13</f>
        <v>67185686.109999999</v>
      </c>
      <c r="E42" s="111">
        <f>Summary!N17</f>
        <v>35564177.82</v>
      </c>
      <c r="F42" s="111">
        <f>Summary!N21</f>
        <v>79222400.810000002</v>
      </c>
      <c r="G42" s="111">
        <f>Summary!N36</f>
        <v>1163464</v>
      </c>
      <c r="H42" s="430"/>
      <c r="I42" s="111">
        <f>Summary!N46</f>
        <v>235713.28</v>
      </c>
      <c r="J42" s="111">
        <f t="shared" si="7"/>
        <v>183371442.02000001</v>
      </c>
      <c r="M42"/>
      <c r="N42" s="450"/>
    </row>
    <row r="43" spans="1:14" s="91" customFormat="1" ht="15" x14ac:dyDescent="0.25">
      <c r="A43" s="418" t="str">
        <f t="shared" si="6"/>
        <v>2013 Bridge</v>
      </c>
      <c r="B43" s="89"/>
      <c r="C43" s="79"/>
      <c r="D43" s="111">
        <f>Summary!O13</f>
        <v>66370992.168057308</v>
      </c>
      <c r="E43" s="111">
        <f>Summary!O17</f>
        <v>34202817.728189833</v>
      </c>
      <c r="F43" s="111">
        <f>Summary!O21</f>
        <v>78696780.987849146</v>
      </c>
      <c r="G43" s="111">
        <f>Summary!O36</f>
        <v>1205214.7617062805</v>
      </c>
      <c r="H43" s="430"/>
      <c r="I43" s="111">
        <f>Summary!O46</f>
        <v>238006.56062295177</v>
      </c>
      <c r="J43" s="111">
        <f t="shared" si="7"/>
        <v>180713812.20642555</v>
      </c>
      <c r="M43"/>
      <c r="N43" s="450"/>
    </row>
    <row r="44" spans="1:14" s="91" customFormat="1" ht="15" x14ac:dyDescent="0.25">
      <c r="A44" s="418" t="str">
        <f t="shared" si="6"/>
        <v>2014 Test</v>
      </c>
      <c r="B44" s="89"/>
      <c r="C44" s="417"/>
      <c r="D44" s="111">
        <f>Summary!P13</f>
        <v>67875318.610012323</v>
      </c>
      <c r="E44" s="111">
        <f>Summary!P17</f>
        <v>37894181.682895608</v>
      </c>
      <c r="F44" s="111">
        <f>Summary!P21</f>
        <v>80718463.986403674</v>
      </c>
      <c r="G44" s="111">
        <f>Summary!P36</f>
        <v>1248463.7443313473</v>
      </c>
      <c r="H44" s="430"/>
      <c r="I44" s="111">
        <f>Summary!P46</f>
        <v>240322.1528272265</v>
      </c>
      <c r="J44" s="111">
        <f t="shared" si="7"/>
        <v>187976750.17647019</v>
      </c>
      <c r="K44"/>
      <c r="L44"/>
      <c r="M44"/>
      <c r="N44" s="450"/>
    </row>
    <row r="45" spans="1:14" ht="15" x14ac:dyDescent="0.2">
      <c r="A45" s="714"/>
      <c r="B45" s="715"/>
      <c r="C45" s="715"/>
      <c r="D45" s="715"/>
      <c r="E45" s="715"/>
      <c r="F45" s="715"/>
      <c r="G45" s="715"/>
      <c r="H45" s="715"/>
      <c r="I45" s="715"/>
      <c r="J45" s="716"/>
      <c r="K45"/>
      <c r="L45"/>
      <c r="M45"/>
      <c r="N45" s="86"/>
    </row>
    <row r="46" spans="1:14" ht="15" x14ac:dyDescent="0.2">
      <c r="A46" s="717" t="s">
        <v>114</v>
      </c>
      <c r="B46" s="718"/>
      <c r="C46" s="718"/>
      <c r="D46" s="718"/>
      <c r="E46" s="718"/>
      <c r="F46" s="718"/>
      <c r="G46" s="718"/>
      <c r="H46" s="718"/>
      <c r="I46" s="718"/>
      <c r="J46" s="719"/>
      <c r="K46"/>
      <c r="L46"/>
      <c r="M46"/>
      <c r="N46" s="86"/>
    </row>
    <row r="47" spans="1:14" ht="15" x14ac:dyDescent="0.2">
      <c r="A47" s="714"/>
      <c r="B47" s="715"/>
      <c r="C47" s="715"/>
      <c r="D47" s="715"/>
      <c r="E47" s="715"/>
      <c r="F47" s="715"/>
      <c r="G47" s="715"/>
      <c r="H47" s="715"/>
      <c r="I47" s="715"/>
      <c r="J47" s="716"/>
      <c r="K47"/>
      <c r="L47"/>
      <c r="M47"/>
      <c r="N47" s="86"/>
    </row>
    <row r="48" spans="1:14" ht="15" x14ac:dyDescent="0.2">
      <c r="A48" s="420" t="str">
        <f>A28</f>
        <v>2009 Board Approved</v>
      </c>
      <c r="B48" s="417"/>
      <c r="C48" s="106"/>
      <c r="D48" s="105">
        <v>6584</v>
      </c>
      <c r="E48" s="105">
        <v>1209</v>
      </c>
      <c r="F48" s="105">
        <v>123</v>
      </c>
      <c r="G48" s="105">
        <v>1953</v>
      </c>
      <c r="H48" s="105"/>
      <c r="I48" s="105">
        <v>32</v>
      </c>
      <c r="J48" s="105">
        <f>SUM(D48:I48)</f>
        <v>9901</v>
      </c>
      <c r="M48"/>
      <c r="N48" s="86"/>
    </row>
    <row r="49" spans="1:20" x14ac:dyDescent="0.2">
      <c r="A49" s="711"/>
      <c r="B49" s="711"/>
      <c r="C49" s="102"/>
      <c r="D49" s="105"/>
      <c r="E49" s="105"/>
      <c r="F49" s="105"/>
      <c r="G49" s="101"/>
      <c r="H49" s="101"/>
      <c r="I49" s="101"/>
      <c r="J49" s="105"/>
      <c r="M49"/>
      <c r="N49" s="86"/>
    </row>
    <row r="50" spans="1:20" hidden="1" x14ac:dyDescent="0.2">
      <c r="A50" s="102" t="str">
        <f t="shared" ref="A50:A64" si="8">A30</f>
        <v xml:space="preserve">2000 Actual </v>
      </c>
      <c r="B50" s="150"/>
      <c r="C50" s="102"/>
      <c r="D50" s="429"/>
      <c r="E50" s="429"/>
      <c r="F50" s="429"/>
      <c r="G50" s="429"/>
      <c r="H50" s="429"/>
      <c r="I50" s="429"/>
      <c r="J50" s="429"/>
      <c r="M50"/>
      <c r="N50" s="452"/>
    </row>
    <row r="51" spans="1:20" hidden="1" x14ac:dyDescent="0.2">
      <c r="A51" s="102" t="str">
        <f t="shared" si="8"/>
        <v xml:space="preserve">2001 Actual </v>
      </c>
      <c r="B51" s="150"/>
      <c r="C51" s="102"/>
      <c r="D51" s="429"/>
      <c r="E51" s="429"/>
      <c r="F51" s="429"/>
      <c r="G51" s="429"/>
      <c r="H51" s="429"/>
      <c r="I51" s="429"/>
      <c r="J51" s="429"/>
      <c r="M51"/>
      <c r="N51" s="452"/>
    </row>
    <row r="52" spans="1:20" x14ac:dyDescent="0.2">
      <c r="A52" s="102" t="str">
        <f t="shared" si="8"/>
        <v xml:space="preserve">2002 Actual </v>
      </c>
      <c r="B52" s="107"/>
      <c r="C52" s="102"/>
      <c r="D52" s="105">
        <f>Summary!D12</f>
        <v>5507</v>
      </c>
      <c r="E52" s="105">
        <f>Summary!D16</f>
        <v>1234</v>
      </c>
      <c r="F52" s="105">
        <f>Summary!D20</f>
        <v>89</v>
      </c>
      <c r="G52" s="105">
        <f>Summary!D35</f>
        <v>1483</v>
      </c>
      <c r="H52" s="105">
        <f>Summary!D40</f>
        <v>110</v>
      </c>
      <c r="I52" s="105">
        <f>Summary!D45</f>
        <v>24</v>
      </c>
      <c r="J52" s="105">
        <f t="shared" ref="J52:J64" si="9">SUM(D52:I52)</f>
        <v>8447</v>
      </c>
      <c r="M52"/>
      <c r="N52" s="452"/>
    </row>
    <row r="53" spans="1:20" ht="12.75" customHeight="1" x14ac:dyDescent="0.2">
      <c r="A53" s="102" t="str">
        <f t="shared" si="8"/>
        <v xml:space="preserve">2003 Actual </v>
      </c>
      <c r="B53" s="102"/>
      <c r="C53" s="102"/>
      <c r="D53" s="105">
        <f>Summary!E12</f>
        <v>5661</v>
      </c>
      <c r="E53" s="105">
        <f>Summary!E16</f>
        <v>1230</v>
      </c>
      <c r="F53" s="105">
        <f>Summary!E20</f>
        <v>95</v>
      </c>
      <c r="G53" s="105">
        <f>Summary!E35</f>
        <v>1591</v>
      </c>
      <c r="H53" s="105">
        <f>Summary!E40</f>
        <v>108</v>
      </c>
      <c r="I53" s="105">
        <f>Summary!E45</f>
        <v>24</v>
      </c>
      <c r="J53" s="105">
        <f t="shared" si="9"/>
        <v>8709</v>
      </c>
      <c r="M53"/>
      <c r="N53" s="452"/>
    </row>
    <row r="54" spans="1:20" x14ac:dyDescent="0.2">
      <c r="A54" s="102" t="str">
        <f t="shared" si="8"/>
        <v xml:space="preserve">2004 Actual </v>
      </c>
      <c r="B54" s="102"/>
      <c r="C54" s="102"/>
      <c r="D54" s="105">
        <f>Summary!F12</f>
        <v>5902</v>
      </c>
      <c r="E54" s="105">
        <f>Summary!F16</f>
        <v>1227</v>
      </c>
      <c r="F54" s="105">
        <f>Summary!F20</f>
        <v>98</v>
      </c>
      <c r="G54" s="105">
        <f>Summary!F35</f>
        <v>1611</v>
      </c>
      <c r="H54" s="105">
        <f>Summary!F40</f>
        <v>105</v>
      </c>
      <c r="I54" s="105">
        <f>Summary!F45</f>
        <v>24</v>
      </c>
      <c r="J54" s="105">
        <f t="shared" si="9"/>
        <v>8967</v>
      </c>
      <c r="M54"/>
      <c r="N54" s="452"/>
    </row>
    <row r="55" spans="1:20" x14ac:dyDescent="0.2">
      <c r="A55" s="102" t="str">
        <f t="shared" si="8"/>
        <v xml:space="preserve">2005 Actual </v>
      </c>
      <c r="B55" s="102"/>
      <c r="C55" s="102"/>
      <c r="D55" s="105">
        <f>Summary!G12</f>
        <v>6124</v>
      </c>
      <c r="E55" s="105">
        <f>Summary!G16</f>
        <v>1210</v>
      </c>
      <c r="F55" s="105">
        <f>Summary!G20</f>
        <v>108</v>
      </c>
      <c r="G55" s="105">
        <f>Summary!G35</f>
        <v>1658</v>
      </c>
      <c r="H55" s="105">
        <f>Summary!G40</f>
        <v>80</v>
      </c>
      <c r="I55" s="105">
        <f>Summary!G45</f>
        <v>24</v>
      </c>
      <c r="J55" s="105">
        <f t="shared" si="9"/>
        <v>9204</v>
      </c>
      <c r="M55"/>
      <c r="N55" s="452"/>
    </row>
    <row r="56" spans="1:20" x14ac:dyDescent="0.2">
      <c r="A56" s="102" t="str">
        <f t="shared" si="8"/>
        <v xml:space="preserve">2006 Actual </v>
      </c>
      <c r="B56" s="102"/>
      <c r="C56" s="102"/>
      <c r="D56" s="105">
        <f>Summary!H12</f>
        <v>6276</v>
      </c>
      <c r="E56" s="105">
        <f>Summary!H16</f>
        <v>1209</v>
      </c>
      <c r="F56" s="105">
        <f>Summary!H20</f>
        <v>117</v>
      </c>
      <c r="G56" s="105">
        <f>Summary!H35</f>
        <v>1736</v>
      </c>
      <c r="H56" s="105">
        <f>Summary!H40</f>
        <v>77</v>
      </c>
      <c r="I56" s="105">
        <f>Summary!H45</f>
        <v>24</v>
      </c>
      <c r="J56" s="105">
        <f t="shared" si="9"/>
        <v>9439</v>
      </c>
      <c r="M56"/>
      <c r="N56" s="452"/>
    </row>
    <row r="57" spans="1:20" ht="12.75" customHeight="1" x14ac:dyDescent="0.2">
      <c r="A57" s="102" t="str">
        <f t="shared" si="8"/>
        <v xml:space="preserve">2007 Actual </v>
      </c>
      <c r="B57" s="102"/>
      <c r="C57" s="102"/>
      <c r="D57" s="105">
        <f>Summary!I12</f>
        <v>6424</v>
      </c>
      <c r="E57" s="105">
        <f>Summary!I16</f>
        <v>1216</v>
      </c>
      <c r="F57" s="105">
        <f>Summary!I20</f>
        <v>115</v>
      </c>
      <c r="G57" s="105">
        <f>Summary!I35</f>
        <v>1796</v>
      </c>
      <c r="H57" s="105">
        <f>Summary!I40</f>
        <v>76</v>
      </c>
      <c r="I57" s="105">
        <f>Summary!I45</f>
        <v>23</v>
      </c>
      <c r="J57" s="105">
        <f t="shared" si="9"/>
        <v>9650</v>
      </c>
      <c r="M57"/>
      <c r="N57" s="452"/>
      <c r="P57"/>
      <c r="Q57"/>
      <c r="R57"/>
      <c r="S57"/>
      <c r="T57"/>
    </row>
    <row r="58" spans="1:20" x14ac:dyDescent="0.2">
      <c r="A58" s="102" t="str">
        <f t="shared" si="8"/>
        <v xml:space="preserve">2008 Actual </v>
      </c>
      <c r="B58" s="102"/>
      <c r="C58" s="102"/>
      <c r="D58" s="105">
        <f>Summary!J12</f>
        <v>6436</v>
      </c>
      <c r="E58" s="105">
        <f>Summary!J16</f>
        <v>1225</v>
      </c>
      <c r="F58" s="105">
        <f>Summary!J20</f>
        <v>115</v>
      </c>
      <c r="G58" s="105">
        <f>Summary!J35</f>
        <v>1904</v>
      </c>
      <c r="H58" s="105">
        <f>Summary!J40</f>
        <v>71</v>
      </c>
      <c r="I58" s="105">
        <f>Summary!J45</f>
        <v>22</v>
      </c>
      <c r="J58" s="105">
        <f t="shared" si="9"/>
        <v>9773</v>
      </c>
      <c r="M58"/>
      <c r="N58" s="452"/>
    </row>
    <row r="59" spans="1:20" x14ac:dyDescent="0.2">
      <c r="A59" s="102" t="str">
        <f t="shared" si="8"/>
        <v>2009 Actual</v>
      </c>
      <c r="B59" s="102"/>
      <c r="C59" s="102"/>
      <c r="D59" s="105">
        <f>Summary!K12</f>
        <v>6507</v>
      </c>
      <c r="E59" s="105">
        <f>Summary!K16</f>
        <v>1230</v>
      </c>
      <c r="F59" s="105">
        <f>Summary!K20</f>
        <v>121</v>
      </c>
      <c r="G59" s="105">
        <f>Summary!K35</f>
        <v>1915</v>
      </c>
      <c r="H59" s="429"/>
      <c r="I59" s="105">
        <f>Summary!K45</f>
        <v>22</v>
      </c>
      <c r="J59" s="105">
        <f t="shared" si="9"/>
        <v>9795</v>
      </c>
      <c r="M59"/>
      <c r="N59" s="452"/>
      <c r="P59"/>
      <c r="Q59"/>
      <c r="R59"/>
      <c r="S59"/>
    </row>
    <row r="60" spans="1:20" s="104" customFormat="1" ht="12.75" customHeight="1" x14ac:dyDescent="0.2">
      <c r="A60" s="102" t="str">
        <f t="shared" si="8"/>
        <v xml:space="preserve">2010 Actual </v>
      </c>
      <c r="B60" s="109"/>
      <c r="C60" s="103"/>
      <c r="D60" s="105">
        <f>Summary!L12</f>
        <v>6537</v>
      </c>
      <c r="E60" s="105">
        <f>Summary!L16</f>
        <v>1225</v>
      </c>
      <c r="F60" s="105">
        <f>Summary!L20</f>
        <v>121</v>
      </c>
      <c r="G60" s="105">
        <f>Summary!L35</f>
        <v>1920</v>
      </c>
      <c r="H60" s="429"/>
      <c r="I60" s="105">
        <f>Summary!L45</f>
        <v>20</v>
      </c>
      <c r="J60" s="105">
        <f t="shared" si="9"/>
        <v>9823</v>
      </c>
      <c r="M60"/>
      <c r="N60" s="452"/>
    </row>
    <row r="61" spans="1:20" s="104" customFormat="1" ht="12.75" customHeight="1" x14ac:dyDescent="0.2">
      <c r="A61" s="102" t="str">
        <f t="shared" si="8"/>
        <v xml:space="preserve">2011 Actual </v>
      </c>
      <c r="B61" s="107"/>
      <c r="C61" s="103"/>
      <c r="D61" s="105">
        <f>Summary!M12</f>
        <v>6666</v>
      </c>
      <c r="E61" s="105">
        <f>Summary!M16</f>
        <v>1253</v>
      </c>
      <c r="F61" s="105">
        <f>Summary!M20</f>
        <v>118</v>
      </c>
      <c r="G61" s="105">
        <f>Summary!M35</f>
        <v>1946</v>
      </c>
      <c r="H61" s="429"/>
      <c r="I61" s="105">
        <f>Summary!M45</f>
        <v>22</v>
      </c>
      <c r="J61" s="105">
        <f t="shared" si="9"/>
        <v>10005</v>
      </c>
      <c r="M61"/>
      <c r="N61" s="452"/>
    </row>
    <row r="62" spans="1:20" s="91" customFormat="1" ht="12.75" customHeight="1" x14ac:dyDescent="0.25">
      <c r="A62" s="420" t="str">
        <f t="shared" si="8"/>
        <v>2012 Actual</v>
      </c>
      <c r="B62" s="107"/>
      <c r="C62" s="79"/>
      <c r="D62" s="434">
        <f>Summary!N12</f>
        <v>6818</v>
      </c>
      <c r="E62" s="434">
        <f>Summary!N16</f>
        <v>1252</v>
      </c>
      <c r="F62" s="434">
        <f>Summary!N20</f>
        <v>117</v>
      </c>
      <c r="G62" s="434">
        <f>Summary!N35</f>
        <v>1949</v>
      </c>
      <c r="H62" s="435"/>
      <c r="I62" s="434">
        <f>Summary!N45</f>
        <v>22</v>
      </c>
      <c r="J62" s="434">
        <f t="shared" si="9"/>
        <v>10158</v>
      </c>
      <c r="M62"/>
      <c r="N62" s="453"/>
    </row>
    <row r="63" spans="1:20" s="91" customFormat="1" ht="15" x14ac:dyDescent="0.25">
      <c r="A63" s="418" t="str">
        <f t="shared" si="8"/>
        <v>2013 Bridge</v>
      </c>
      <c r="B63" s="89"/>
      <c r="C63" s="160"/>
      <c r="D63" s="111">
        <f>Summary!O12</f>
        <v>6965.1614702650531</v>
      </c>
      <c r="E63" s="111">
        <f>Summary!O16</f>
        <v>1257.8143780836497</v>
      </c>
      <c r="F63" s="111">
        <f>Summary!O20</f>
        <v>120.24456269672531</v>
      </c>
      <c r="G63" s="111">
        <f>Summary!O35</f>
        <v>2002.9905850782741</v>
      </c>
      <c r="H63" s="431"/>
      <c r="I63" s="111">
        <f>Summary!O45</f>
        <v>21.809405368179451</v>
      </c>
      <c r="J63" s="111">
        <f t="shared" si="9"/>
        <v>10368.020401491882</v>
      </c>
      <c r="M63"/>
      <c r="N63" s="453"/>
    </row>
    <row r="64" spans="1:20" s="91" customFormat="1" ht="15" x14ac:dyDescent="0.25">
      <c r="A64" s="418" t="str">
        <f t="shared" si="8"/>
        <v>2014 Test</v>
      </c>
      <c r="B64" s="89"/>
      <c r="C64" s="160"/>
      <c r="D64" s="111">
        <f>Summary!P12</f>
        <v>7115.4993116551541</v>
      </c>
      <c r="E64" s="111">
        <f>Summary!P16</f>
        <v>1350.6313855345761</v>
      </c>
      <c r="F64" s="111">
        <f>Summary!P20</f>
        <v>125.5791013515103</v>
      </c>
      <c r="G64" s="111">
        <f>Summary!P35</f>
        <v>2058.4768003654217</v>
      </c>
      <c r="H64" s="431"/>
      <c r="I64" s="111">
        <f>Summary!P45</f>
        <v>21.620461932435212</v>
      </c>
      <c r="J64" s="111">
        <f t="shared" si="9"/>
        <v>10671.807060839095</v>
      </c>
      <c r="K64"/>
      <c r="M64"/>
      <c r="N64" s="453"/>
    </row>
    <row r="65" spans="1:14" ht="15" x14ac:dyDescent="0.2">
      <c r="A65" s="153"/>
      <c r="B65" s="154"/>
      <c r="C65" s="74"/>
      <c r="D65" s="155"/>
      <c r="E65" s="156"/>
      <c r="F65" s="157"/>
      <c r="G65" s="158"/>
      <c r="H65" s="159"/>
      <c r="I65" s="157"/>
      <c r="J65" s="95"/>
      <c r="K65"/>
      <c r="M65"/>
      <c r="N65" s="86"/>
    </row>
    <row r="66" spans="1:14" ht="15" x14ac:dyDescent="0.2">
      <c r="A66" s="714" t="s">
        <v>411</v>
      </c>
      <c r="B66" s="715"/>
      <c r="C66" s="715"/>
      <c r="D66" s="715"/>
      <c r="E66" s="715"/>
      <c r="F66" s="715"/>
      <c r="G66" s="715"/>
      <c r="H66" s="715"/>
      <c r="I66" s="716"/>
      <c r="J66"/>
      <c r="K66"/>
      <c r="L66" s="128"/>
      <c r="M66"/>
      <c r="N66" s="86"/>
    </row>
    <row r="67" spans="1:14" ht="15" x14ac:dyDescent="0.2">
      <c r="A67" s="745" t="s">
        <v>105</v>
      </c>
      <c r="B67" s="745"/>
      <c r="C67" s="98"/>
      <c r="D67" s="99" t="str">
        <f>D25</f>
        <v xml:space="preserve">Residential </v>
      </c>
      <c r="E67" s="99" t="str">
        <f t="shared" ref="E67:F67" si="10">E25</f>
        <v>GS&lt;50</v>
      </c>
      <c r="F67" s="99" t="str">
        <f t="shared" si="10"/>
        <v>GS&gt;50</v>
      </c>
      <c r="G67" s="99" t="str">
        <f>G25</f>
        <v>Street Lighting</v>
      </c>
      <c r="H67" s="99" t="str">
        <f>H25</f>
        <v>Sentinels</v>
      </c>
      <c r="I67" s="99" t="str">
        <f>I25</f>
        <v>USL</v>
      </c>
      <c r="L67"/>
      <c r="M67"/>
      <c r="N67" s="86"/>
    </row>
    <row r="68" spans="1:14" ht="15" x14ac:dyDescent="0.2">
      <c r="A68" s="717" t="s">
        <v>115</v>
      </c>
      <c r="B68" s="718"/>
      <c r="C68" s="718"/>
      <c r="D68" s="718"/>
      <c r="E68" s="718"/>
      <c r="F68" s="718"/>
      <c r="G68" s="718"/>
      <c r="H68" s="718"/>
      <c r="I68" s="719"/>
      <c r="J68"/>
      <c r="K68"/>
      <c r="M68"/>
      <c r="N68" s="86"/>
    </row>
    <row r="69" spans="1:14" ht="15" x14ac:dyDescent="0.2">
      <c r="A69" s="714"/>
      <c r="B69" s="715"/>
      <c r="C69" s="715"/>
      <c r="D69" s="715"/>
      <c r="E69" s="715"/>
      <c r="F69" s="715"/>
      <c r="G69" s="715"/>
      <c r="H69" s="715"/>
      <c r="I69" s="716"/>
      <c r="J69"/>
      <c r="K69"/>
      <c r="M69"/>
      <c r="N69" s="86"/>
    </row>
    <row r="70" spans="1:14" ht="15" x14ac:dyDescent="0.2">
      <c r="A70" s="109" t="str">
        <f>A48</f>
        <v>2009 Board Approved</v>
      </c>
      <c r="B70" s="100"/>
      <c r="C70" s="100"/>
      <c r="D70" s="84">
        <f>D28/D48</f>
        <v>10116.578219927096</v>
      </c>
      <c r="E70" s="84">
        <f>E28/E48</f>
        <v>28533.989247311827</v>
      </c>
      <c r="F70" s="84">
        <f>F28/F48</f>
        <v>657338.35772357718</v>
      </c>
      <c r="G70" s="84">
        <f>G28/G48</f>
        <v>556.10291858678954</v>
      </c>
      <c r="H70" s="426"/>
      <c r="I70" s="84">
        <f>I28/I48</f>
        <v>9442.78125</v>
      </c>
      <c r="M70"/>
      <c r="N70" s="86"/>
    </row>
    <row r="71" spans="1:14" ht="15" x14ac:dyDescent="0.2">
      <c r="A71" s="717"/>
      <c r="B71" s="718"/>
      <c r="C71" s="718"/>
      <c r="D71" s="718"/>
      <c r="E71" s="718"/>
      <c r="F71" s="718"/>
      <c r="G71" s="718"/>
      <c r="H71" s="718"/>
      <c r="I71" s="719"/>
      <c r="J71"/>
      <c r="K71"/>
      <c r="M71"/>
      <c r="N71" s="86"/>
    </row>
    <row r="72" spans="1:14" ht="15" hidden="1" x14ac:dyDescent="0.2">
      <c r="A72" s="102" t="str">
        <f t="shared" ref="A72:A86" si="11">A8</f>
        <v xml:space="preserve">2000 Actual </v>
      </c>
      <c r="B72" s="151"/>
      <c r="C72" s="151"/>
      <c r="D72" s="426"/>
      <c r="E72" s="426"/>
      <c r="F72" s="426"/>
      <c r="G72" s="426"/>
      <c r="H72" s="426"/>
      <c r="I72" s="426"/>
      <c r="M72"/>
      <c r="N72" s="86"/>
    </row>
    <row r="73" spans="1:14" ht="15" hidden="1" x14ac:dyDescent="0.2">
      <c r="A73" s="102" t="str">
        <f t="shared" si="11"/>
        <v xml:space="preserve">2001 Actual </v>
      </c>
      <c r="B73" s="151"/>
      <c r="C73" s="151"/>
      <c r="D73" s="426"/>
      <c r="E73" s="426"/>
      <c r="F73" s="426"/>
      <c r="G73" s="426"/>
      <c r="H73" s="426"/>
      <c r="I73" s="426"/>
      <c r="M73"/>
      <c r="N73" s="86"/>
    </row>
    <row r="74" spans="1:14" hidden="1" x14ac:dyDescent="0.2">
      <c r="A74" s="102" t="str">
        <f t="shared" si="11"/>
        <v xml:space="preserve">2002 Actual </v>
      </c>
      <c r="B74" s="102"/>
      <c r="C74" s="102"/>
      <c r="D74" s="426"/>
      <c r="E74" s="426"/>
      <c r="F74" s="426"/>
      <c r="G74" s="426"/>
      <c r="H74" s="426"/>
      <c r="I74" s="426"/>
      <c r="M74"/>
      <c r="N74" s="86"/>
    </row>
    <row r="75" spans="1:14" ht="15" customHeight="1" x14ac:dyDescent="0.2">
      <c r="A75" s="102" t="str">
        <f t="shared" si="11"/>
        <v xml:space="preserve">2003 Actual </v>
      </c>
      <c r="B75" s="102"/>
      <c r="C75" s="102"/>
      <c r="D75" s="84">
        <f t="shared" ref="D75:D86" si="12">D33/D53</f>
        <v>10505.752979436471</v>
      </c>
      <c r="E75" s="84">
        <f t="shared" ref="E75:I75" si="13">E33/E53</f>
        <v>28463.758536585367</v>
      </c>
      <c r="F75" s="84">
        <f t="shared" si="13"/>
        <v>742518.16842105263</v>
      </c>
      <c r="G75" s="84">
        <f t="shared" si="13"/>
        <v>555.82912214540124</v>
      </c>
      <c r="H75" s="84">
        <f t="shared" si="13"/>
        <v>1345.1296296296296</v>
      </c>
      <c r="I75" s="84">
        <f t="shared" si="13"/>
        <v>9080.4583333333339</v>
      </c>
      <c r="M75"/>
      <c r="N75" s="86"/>
    </row>
    <row r="76" spans="1:14" ht="15" customHeight="1" x14ac:dyDescent="0.2">
      <c r="A76" s="102" t="str">
        <f t="shared" si="11"/>
        <v xml:space="preserve">2004 Actual </v>
      </c>
      <c r="B76" s="102"/>
      <c r="C76" s="102"/>
      <c r="D76" s="84">
        <f t="shared" si="12"/>
        <v>10190.178075228736</v>
      </c>
      <c r="E76" s="84">
        <f t="shared" ref="E76:I80" si="14">E34/E54</f>
        <v>27994.63325183374</v>
      </c>
      <c r="F76" s="84">
        <f t="shared" si="14"/>
        <v>754760.71428571432</v>
      </c>
      <c r="G76" s="84">
        <f t="shared" si="14"/>
        <v>567.77281191806333</v>
      </c>
      <c r="H76" s="84">
        <f t="shared" si="14"/>
        <v>1880.7047619047619</v>
      </c>
      <c r="I76" s="84">
        <f t="shared" si="14"/>
        <v>9080.4583333333339</v>
      </c>
      <c r="M76"/>
      <c r="N76" s="86"/>
    </row>
    <row r="77" spans="1:14" ht="15" customHeight="1" x14ac:dyDescent="0.2">
      <c r="A77" s="102" t="str">
        <f t="shared" si="11"/>
        <v xml:space="preserve">2005 Actual </v>
      </c>
      <c r="B77" s="102"/>
      <c r="C77" s="102"/>
      <c r="D77" s="84">
        <f t="shared" si="12"/>
        <v>11102.308131939908</v>
      </c>
      <c r="E77" s="84">
        <f t="shared" si="14"/>
        <v>28495.097520661158</v>
      </c>
      <c r="F77" s="84">
        <f t="shared" si="14"/>
        <v>705219.27777777775</v>
      </c>
      <c r="G77" s="84">
        <f t="shared" si="14"/>
        <v>600.54161640530765</v>
      </c>
      <c r="H77" s="84">
        <f t="shared" si="14"/>
        <v>1522.5374999999999</v>
      </c>
      <c r="I77" s="84">
        <f t="shared" si="14"/>
        <v>9080.4583333333339</v>
      </c>
      <c r="M77"/>
      <c r="N77" s="86"/>
    </row>
    <row r="78" spans="1:14" ht="15" customHeight="1" x14ac:dyDescent="0.2">
      <c r="A78" s="102" t="str">
        <f t="shared" si="11"/>
        <v xml:space="preserve">2006 Actual </v>
      </c>
      <c r="B78" s="102"/>
      <c r="C78" s="102"/>
      <c r="D78" s="84">
        <f t="shared" si="12"/>
        <v>10207.687380497133</v>
      </c>
      <c r="E78" s="84">
        <f t="shared" si="14"/>
        <v>25209.29776674938</v>
      </c>
      <c r="F78" s="84">
        <f t="shared" si="14"/>
        <v>677407.79487179487</v>
      </c>
      <c r="G78" s="84">
        <f t="shared" si="14"/>
        <v>644.53398617511516</v>
      </c>
      <c r="H78" s="84">
        <f t="shared" si="14"/>
        <v>1607.9691878183717</v>
      </c>
      <c r="I78" s="84">
        <f t="shared" si="14"/>
        <v>9080.4583333333339</v>
      </c>
      <c r="M78"/>
      <c r="N78" s="86"/>
    </row>
    <row r="79" spans="1:14" ht="15" customHeight="1" x14ac:dyDescent="0.2">
      <c r="A79" s="102" t="str">
        <f t="shared" si="11"/>
        <v xml:space="preserve">2007 Actual </v>
      </c>
      <c r="B79" s="102"/>
      <c r="C79" s="102"/>
      <c r="D79" s="84">
        <f t="shared" si="12"/>
        <v>10196.131849315068</v>
      </c>
      <c r="E79" s="84">
        <f t="shared" si="14"/>
        <v>28757.533717105263</v>
      </c>
      <c r="F79" s="84">
        <f t="shared" si="14"/>
        <v>684216.48695652175</v>
      </c>
      <c r="G79" s="84">
        <f t="shared" si="14"/>
        <v>558.00946547884189</v>
      </c>
      <c r="H79" s="84">
        <f t="shared" si="14"/>
        <v>1328.6052631578948</v>
      </c>
      <c r="I79" s="84">
        <f t="shared" si="14"/>
        <v>9475.2608695652179</v>
      </c>
      <c r="M79"/>
      <c r="N79" s="86"/>
    </row>
    <row r="80" spans="1:14" ht="15" customHeight="1" x14ac:dyDescent="0.2">
      <c r="A80" s="102" t="str">
        <f t="shared" si="11"/>
        <v xml:space="preserve">2008 Actual </v>
      </c>
      <c r="B80" s="102"/>
      <c r="C80" s="102"/>
      <c r="D80" s="84">
        <f t="shared" si="12"/>
        <v>9785.6862882566056</v>
      </c>
      <c r="E80" s="84">
        <f t="shared" si="14"/>
        <v>28608.279005142511</v>
      </c>
      <c r="F80" s="84">
        <f t="shared" si="14"/>
        <v>647616.05276679632</v>
      </c>
      <c r="G80" s="84">
        <f t="shared" si="14"/>
        <v>588.82261872065794</v>
      </c>
      <c r="H80" s="84">
        <f t="shared" si="14"/>
        <v>920.22408865151669</v>
      </c>
      <c r="I80" s="84">
        <f t="shared" si="14"/>
        <v>9603.5856985040427</v>
      </c>
      <c r="M80"/>
      <c r="N80" s="86"/>
    </row>
    <row r="81" spans="1:14" ht="15" customHeight="1" x14ac:dyDescent="0.2">
      <c r="A81" s="102" t="str">
        <f t="shared" si="11"/>
        <v>2009 Actual</v>
      </c>
      <c r="B81" s="102"/>
      <c r="C81" s="102"/>
      <c r="D81" s="84">
        <f t="shared" si="12"/>
        <v>9719.4688044135473</v>
      </c>
      <c r="E81" s="84">
        <f t="shared" ref="E81:G86" si="15">E39/E59</f>
        <v>27389.327474991864</v>
      </c>
      <c r="F81" s="84">
        <f t="shared" si="15"/>
        <v>616456.21037275461</v>
      </c>
      <c r="G81" s="84">
        <f t="shared" si="15"/>
        <v>603.59785076209096</v>
      </c>
      <c r="H81" s="426"/>
      <c r="I81" s="84">
        <f t="shared" ref="I81:I86" si="16">I39/I59</f>
        <v>8949.492558290709</v>
      </c>
      <c r="M81"/>
      <c r="N81" s="86"/>
    </row>
    <row r="82" spans="1:14" s="104" customFormat="1" ht="15" customHeight="1" x14ac:dyDescent="0.2">
      <c r="A82" s="102" t="str">
        <f t="shared" si="11"/>
        <v xml:space="preserve">2010 Actual </v>
      </c>
      <c r="B82" s="102"/>
      <c r="C82" s="102"/>
      <c r="D82" s="84">
        <f t="shared" si="12"/>
        <v>10120.771067532742</v>
      </c>
      <c r="E82" s="84">
        <f t="shared" si="15"/>
        <v>27287.14508935545</v>
      </c>
      <c r="F82" s="84">
        <f t="shared" si="15"/>
        <v>633924.73385714972</v>
      </c>
      <c r="G82" s="84">
        <f t="shared" si="15"/>
        <v>591.45738007628279</v>
      </c>
      <c r="H82" s="426"/>
      <c r="I82" s="84">
        <f t="shared" si="16"/>
        <v>10882.355917525772</v>
      </c>
      <c r="M82"/>
      <c r="N82" s="454"/>
    </row>
    <row r="83" spans="1:14" s="91" customFormat="1" ht="15" x14ac:dyDescent="0.25">
      <c r="A83" s="102" t="str">
        <f t="shared" si="11"/>
        <v xml:space="preserve">2011 Actual </v>
      </c>
      <c r="B83" s="102"/>
      <c r="C83" s="79"/>
      <c r="D83" s="84">
        <f t="shared" si="12"/>
        <v>10142.502874287427</v>
      </c>
      <c r="E83" s="84">
        <f t="shared" si="15"/>
        <v>27460.254996009582</v>
      </c>
      <c r="F83" s="84">
        <f t="shared" si="15"/>
        <v>682035.55305084749</v>
      </c>
      <c r="G83" s="84">
        <f t="shared" si="15"/>
        <v>592.91803186022605</v>
      </c>
      <c r="H83" s="426"/>
      <c r="I83" s="84">
        <f t="shared" si="16"/>
        <v>10790.846363636363</v>
      </c>
      <c r="M83"/>
      <c r="N83" s="90"/>
    </row>
    <row r="84" spans="1:14" s="91" customFormat="1" ht="15" x14ac:dyDescent="0.25">
      <c r="A84" s="420" t="str">
        <f t="shared" si="11"/>
        <v>2012 Actual</v>
      </c>
      <c r="B84" s="107"/>
      <c r="C84" s="417"/>
      <c r="D84" s="434">
        <f t="shared" si="12"/>
        <v>9854.1634071575245</v>
      </c>
      <c r="E84" s="434">
        <f t="shared" si="15"/>
        <v>28405.89282747604</v>
      </c>
      <c r="F84" s="434">
        <f t="shared" si="15"/>
        <v>677114.53683760681</v>
      </c>
      <c r="G84" s="434">
        <f t="shared" si="15"/>
        <v>596.9543355566957</v>
      </c>
      <c r="H84" s="435"/>
      <c r="I84" s="434">
        <f t="shared" si="16"/>
        <v>10714.24</v>
      </c>
      <c r="M84"/>
      <c r="N84" s="90"/>
    </row>
    <row r="85" spans="1:14" s="91" customFormat="1" ht="15" x14ac:dyDescent="0.25">
      <c r="A85" s="418" t="str">
        <f t="shared" si="11"/>
        <v>2013 Bridge</v>
      </c>
      <c r="B85" s="89"/>
      <c r="C85" s="160"/>
      <c r="D85" s="111">
        <f t="shared" si="12"/>
        <v>9528.9954800619453</v>
      </c>
      <c r="E85" s="111">
        <f t="shared" si="15"/>
        <v>27192.26169150629</v>
      </c>
      <c r="F85" s="111">
        <f t="shared" si="15"/>
        <v>654472.67820611689</v>
      </c>
      <c r="G85" s="111">
        <f t="shared" si="15"/>
        <v>601.70765189052668</v>
      </c>
      <c r="H85" s="431"/>
      <c r="I85" s="111">
        <f t="shared" si="16"/>
        <v>10913.023835588392</v>
      </c>
      <c r="M85"/>
      <c r="N85" s="90"/>
    </row>
    <row r="86" spans="1:14" s="91" customFormat="1" ht="15" x14ac:dyDescent="0.25">
      <c r="A86" s="418" t="str">
        <f t="shared" si="11"/>
        <v>2014 Test</v>
      </c>
      <c r="B86" s="89"/>
      <c r="C86" s="160"/>
      <c r="D86" s="111">
        <f t="shared" si="12"/>
        <v>9539.0802018395079</v>
      </c>
      <c r="E86" s="111">
        <f t="shared" si="15"/>
        <v>28056.642314658784</v>
      </c>
      <c r="F86" s="111">
        <f t="shared" si="15"/>
        <v>642769.88063852629</v>
      </c>
      <c r="G86" s="111">
        <f t="shared" si="15"/>
        <v>606.49881704264021</v>
      </c>
      <c r="H86" s="431"/>
      <c r="I86" s="111">
        <f t="shared" si="16"/>
        <v>11115.495754819791</v>
      </c>
      <c r="M86"/>
      <c r="N86" s="90"/>
    </row>
    <row r="87" spans="1:14" ht="15" x14ac:dyDescent="0.2">
      <c r="A87" s="714"/>
      <c r="B87" s="715"/>
      <c r="C87" s="715"/>
      <c r="D87" s="715"/>
      <c r="E87" s="715"/>
      <c r="F87" s="715"/>
      <c r="G87" s="715"/>
      <c r="H87" s="715"/>
      <c r="I87" s="716"/>
      <c r="J87"/>
      <c r="K87"/>
      <c r="M87"/>
      <c r="N87" s="86"/>
    </row>
    <row r="88" spans="1:14" ht="15" x14ac:dyDescent="0.2">
      <c r="A88" s="717" t="s">
        <v>116</v>
      </c>
      <c r="B88" s="718"/>
      <c r="C88" s="718"/>
      <c r="D88" s="718"/>
      <c r="E88" s="718"/>
      <c r="F88" s="718"/>
      <c r="G88" s="718"/>
      <c r="H88" s="718"/>
      <c r="I88" s="719"/>
      <c r="J88"/>
      <c r="K88"/>
      <c r="M88"/>
      <c r="N88" s="86"/>
    </row>
    <row r="89" spans="1:14" ht="15" x14ac:dyDescent="0.2">
      <c r="A89" s="717"/>
      <c r="B89" s="718"/>
      <c r="C89" s="718"/>
      <c r="D89" s="718"/>
      <c r="E89" s="718"/>
      <c r="F89" s="718"/>
      <c r="G89" s="718"/>
      <c r="H89" s="718"/>
      <c r="I89" s="719"/>
      <c r="J89"/>
      <c r="K89"/>
      <c r="M89"/>
      <c r="N89" s="86"/>
    </row>
    <row r="90" spans="1:14" ht="15" x14ac:dyDescent="0.2">
      <c r="A90" s="113" t="s">
        <v>117</v>
      </c>
      <c r="B90" s="114"/>
      <c r="C90" s="114"/>
      <c r="D90" s="83">
        <f t="shared" ref="D90:F90" si="17">D70/D81-1</f>
        <v>4.0857110970223376E-2</v>
      </c>
      <c r="E90" s="83">
        <f t="shared" si="17"/>
        <v>4.1792255518690924E-2</v>
      </c>
      <c r="F90" s="83">
        <f t="shared" si="17"/>
        <v>6.6318007123494116E-2</v>
      </c>
      <c r="G90" s="83">
        <f>G70/G81-1</f>
        <v>-7.8686383848675434E-2</v>
      </c>
      <c r="H90" s="427"/>
      <c r="I90" s="83">
        <f>I70/I81-1</f>
        <v>5.5119180053657235E-2</v>
      </c>
      <c r="J90"/>
      <c r="K90"/>
      <c r="M90"/>
      <c r="N90" s="86"/>
    </row>
    <row r="91" spans="1:14" ht="15" x14ac:dyDescent="0.2">
      <c r="A91" s="717"/>
      <c r="B91" s="718"/>
      <c r="C91" s="718"/>
      <c r="D91" s="718"/>
      <c r="E91" s="718"/>
      <c r="F91" s="718"/>
      <c r="G91" s="718"/>
      <c r="H91" s="718"/>
      <c r="I91" s="719"/>
      <c r="J91"/>
      <c r="K91"/>
      <c r="M91"/>
      <c r="N91" s="86"/>
    </row>
    <row r="92" spans="1:14" ht="15" x14ac:dyDescent="0.2">
      <c r="A92" s="113" t="str">
        <f t="shared" ref="A92:A106" si="18">A72</f>
        <v xml:space="preserve">2000 Actual </v>
      </c>
      <c r="B92" s="92"/>
      <c r="C92" s="92"/>
      <c r="D92" s="83"/>
      <c r="E92" s="92"/>
      <c r="F92" s="92"/>
      <c r="G92" s="92"/>
      <c r="H92" s="92"/>
      <c r="I92" s="92"/>
      <c r="J92"/>
      <c r="K92"/>
      <c r="M92"/>
      <c r="N92" s="86"/>
    </row>
    <row r="93" spans="1:14" ht="15" x14ac:dyDescent="0.2">
      <c r="A93" s="113" t="str">
        <f t="shared" si="18"/>
        <v xml:space="preserve">2001 Actual </v>
      </c>
      <c r="B93" s="92"/>
      <c r="C93" s="92"/>
      <c r="D93" s="427"/>
      <c r="E93" s="427"/>
      <c r="F93" s="427"/>
      <c r="G93" s="427"/>
      <c r="H93" s="427"/>
      <c r="I93" s="427"/>
      <c r="M93"/>
      <c r="N93" s="86"/>
    </row>
    <row r="94" spans="1:14" x14ac:dyDescent="0.2">
      <c r="A94" s="113" t="str">
        <f t="shared" si="18"/>
        <v xml:space="preserve">2002 Actual </v>
      </c>
      <c r="B94" s="113"/>
      <c r="C94" s="113"/>
      <c r="D94" s="427"/>
      <c r="E94" s="427"/>
      <c r="F94" s="427"/>
      <c r="G94" s="427"/>
      <c r="H94" s="427"/>
      <c r="I94" s="427"/>
      <c r="M94"/>
      <c r="N94" s="86"/>
    </row>
    <row r="95" spans="1:14" x14ac:dyDescent="0.2">
      <c r="A95" s="113" t="str">
        <f t="shared" si="18"/>
        <v xml:space="preserve">2003 Actual </v>
      </c>
      <c r="B95" s="113"/>
      <c r="C95" s="113"/>
      <c r="D95" s="427"/>
      <c r="E95" s="427"/>
      <c r="F95" s="427"/>
      <c r="G95" s="427"/>
      <c r="H95" s="427"/>
      <c r="I95" s="427"/>
      <c r="M95"/>
      <c r="N95" s="86"/>
    </row>
    <row r="96" spans="1:14" x14ac:dyDescent="0.2">
      <c r="A96" s="113" t="str">
        <f t="shared" si="18"/>
        <v xml:space="preserve">2004 Actual </v>
      </c>
      <c r="B96" s="113"/>
      <c r="C96" s="113"/>
      <c r="D96" s="83">
        <f t="shared" ref="D96:F96" si="19">D76/D75-1</f>
        <v>-3.003829471580266E-2</v>
      </c>
      <c r="E96" s="83">
        <f t="shared" si="19"/>
        <v>-1.6481494675014363E-2</v>
      </c>
      <c r="F96" s="83">
        <f t="shared" si="19"/>
        <v>1.6487873812832232E-2</v>
      </c>
      <c r="G96" s="83">
        <f t="shared" ref="G96:I100" si="20">G76/G75-1</f>
        <v>2.1488060443039636E-2</v>
      </c>
      <c r="H96" s="83">
        <f t="shared" si="20"/>
        <v>0.3981587502630497</v>
      </c>
      <c r="I96" s="83">
        <f t="shared" si="20"/>
        <v>0</v>
      </c>
      <c r="M96"/>
      <c r="N96" s="86"/>
    </row>
    <row r="97" spans="1:17" x14ac:dyDescent="0.2">
      <c r="A97" s="113" t="str">
        <f t="shared" si="18"/>
        <v xml:space="preserve">2005 Actual </v>
      </c>
      <c r="B97" s="113"/>
      <c r="C97" s="113"/>
      <c r="D97" s="83">
        <f t="shared" ref="D97:F97" si="21">D77/D76-1</f>
        <v>8.9510708250375437E-2</v>
      </c>
      <c r="E97" s="83">
        <f t="shared" si="21"/>
        <v>1.7877150392553665E-2</v>
      </c>
      <c r="F97" s="83">
        <f t="shared" si="21"/>
        <v>-6.5638599850578183E-2</v>
      </c>
      <c r="G97" s="83">
        <f t="shared" si="20"/>
        <v>5.7714641841591474E-2</v>
      </c>
      <c r="H97" s="83">
        <f t="shared" si="20"/>
        <v>-0.19044310896624372</v>
      </c>
      <c r="I97" s="83">
        <f t="shared" si="20"/>
        <v>0</v>
      </c>
      <c r="M97"/>
      <c r="N97" s="86"/>
    </row>
    <row r="98" spans="1:17" x14ac:dyDescent="0.2">
      <c r="A98" s="113" t="str">
        <f t="shared" si="18"/>
        <v xml:space="preserve">2006 Actual </v>
      </c>
      <c r="B98" s="113"/>
      <c r="C98" s="113"/>
      <c r="D98" s="83">
        <f t="shared" ref="D98:F98" si="22">D78/D77-1</f>
        <v>-8.0579708364341474E-2</v>
      </c>
      <c r="E98" s="83">
        <f t="shared" si="22"/>
        <v>-0.11531105487634563</v>
      </c>
      <c r="F98" s="83">
        <f t="shared" si="22"/>
        <v>-3.943664585236506E-2</v>
      </c>
      <c r="G98" s="83">
        <f t="shared" si="20"/>
        <v>7.3254489893864294E-2</v>
      </c>
      <c r="H98" s="83">
        <f t="shared" si="20"/>
        <v>5.6111384986164081E-2</v>
      </c>
      <c r="I98" s="83">
        <f t="shared" si="20"/>
        <v>0</v>
      </c>
      <c r="M98"/>
      <c r="N98" s="86"/>
    </row>
    <row r="99" spans="1:17" x14ac:dyDescent="0.2">
      <c r="A99" s="113" t="str">
        <f t="shared" si="18"/>
        <v xml:space="preserve">2007 Actual </v>
      </c>
      <c r="B99" s="113"/>
      <c r="C99" s="113"/>
      <c r="D99" s="83">
        <f t="shared" ref="D99:F99" si="23">D79/D78-1</f>
        <v>-1.1320420337462833E-3</v>
      </c>
      <c r="E99" s="83">
        <f t="shared" si="23"/>
        <v>0.14075108252463675</v>
      </c>
      <c r="F99" s="83">
        <f t="shared" si="23"/>
        <v>1.0051097929889563E-2</v>
      </c>
      <c r="G99" s="83">
        <f t="shared" si="20"/>
        <v>-0.13424353494489771</v>
      </c>
      <c r="H99" s="83">
        <f t="shared" si="20"/>
        <v>-0.17373711310942885</v>
      </c>
      <c r="I99" s="83">
        <f t="shared" si="20"/>
        <v>4.3478260869565188E-2</v>
      </c>
      <c r="M99"/>
      <c r="N99" s="86"/>
    </row>
    <row r="100" spans="1:17" x14ac:dyDescent="0.2">
      <c r="A100" s="113" t="str">
        <f t="shared" si="18"/>
        <v xml:space="preserve">2008 Actual </v>
      </c>
      <c r="B100" s="113"/>
      <c r="C100" s="113"/>
      <c r="D100" s="83">
        <f t="shared" ref="D100:F100" si="24">D80/D79-1</f>
        <v>-4.0255026820395057E-2</v>
      </c>
      <c r="E100" s="83">
        <f t="shared" si="24"/>
        <v>-5.1901082141120325E-3</v>
      </c>
      <c r="F100" s="83">
        <f t="shared" si="24"/>
        <v>-5.3492476266581379E-2</v>
      </c>
      <c r="G100" s="83">
        <f t="shared" si="20"/>
        <v>5.5219768029157956E-2</v>
      </c>
      <c r="H100" s="83">
        <f t="shared" si="20"/>
        <v>-0.30737585182804217</v>
      </c>
      <c r="I100" s="83">
        <f t="shared" si="20"/>
        <v>1.3543144690718378E-2</v>
      </c>
      <c r="M100"/>
      <c r="N100" s="86"/>
    </row>
    <row r="101" spans="1:17" s="91" customFormat="1" ht="15" x14ac:dyDescent="0.25">
      <c r="A101" s="113" t="str">
        <f t="shared" si="18"/>
        <v>2009 Actual</v>
      </c>
      <c r="B101" s="113"/>
      <c r="C101" s="114"/>
      <c r="D101" s="83">
        <f t="shared" ref="D101:F101" si="25">D81/D80-1</f>
        <v>-6.7667695338367029E-3</v>
      </c>
      <c r="E101" s="83">
        <f t="shared" si="25"/>
        <v>-4.2608348790625694E-2</v>
      </c>
      <c r="F101" s="83">
        <f t="shared" si="25"/>
        <v>-4.8114685021963477E-2</v>
      </c>
      <c r="G101" s="83">
        <f t="shared" ref="G101:G106" si="26">G81/G80-1</f>
        <v>2.5092840478063483E-2</v>
      </c>
      <c r="H101" s="427"/>
      <c r="I101" s="83">
        <f t="shared" ref="I101:I106" si="27">I81/I80-1</f>
        <v>-6.810926259711747E-2</v>
      </c>
      <c r="M101"/>
      <c r="N101" s="90"/>
    </row>
    <row r="102" spans="1:17" s="91" customFormat="1" ht="15" x14ac:dyDescent="0.25">
      <c r="A102" s="113" t="str">
        <f t="shared" si="18"/>
        <v xml:space="preserve">2010 Actual </v>
      </c>
      <c r="B102" s="114"/>
      <c r="C102" s="114"/>
      <c r="D102" s="83">
        <f t="shared" ref="D102:F102" si="28">D82/D81-1</f>
        <v>4.128849746777985E-2</v>
      </c>
      <c r="E102" s="83">
        <f t="shared" si="28"/>
        <v>-3.7307373001295163E-3</v>
      </c>
      <c r="F102" s="83">
        <f t="shared" si="28"/>
        <v>2.8337006247098007E-2</v>
      </c>
      <c r="G102" s="83">
        <f t="shared" si="26"/>
        <v>-2.0113508804711411E-2</v>
      </c>
      <c r="H102" s="427"/>
      <c r="I102" s="83">
        <f t="shared" si="27"/>
        <v>0.21597463170629494</v>
      </c>
      <c r="L102" s="115"/>
      <c r="M102"/>
      <c r="N102" s="455"/>
      <c r="O102" s="115"/>
      <c r="P102" s="115"/>
      <c r="Q102" s="115"/>
    </row>
    <row r="103" spans="1:17" s="91" customFormat="1" ht="15" x14ac:dyDescent="0.25">
      <c r="A103" s="113" t="str">
        <f t="shared" si="18"/>
        <v xml:space="preserve">2011 Actual </v>
      </c>
      <c r="B103" s="114"/>
      <c r="C103" s="114"/>
      <c r="D103" s="83">
        <f t="shared" ref="D103:F103" si="29">D83/D82-1</f>
        <v>2.1472481305699898E-3</v>
      </c>
      <c r="E103" s="83">
        <f t="shared" si="29"/>
        <v>6.3440094625970556E-3</v>
      </c>
      <c r="F103" s="83">
        <f t="shared" si="29"/>
        <v>7.5893582667085457E-2</v>
      </c>
      <c r="G103" s="83">
        <f t="shared" si="26"/>
        <v>2.4695807900052547E-3</v>
      </c>
      <c r="H103" s="427"/>
      <c r="I103" s="83">
        <f t="shared" si="27"/>
        <v>-8.4089837332038675E-3</v>
      </c>
      <c r="L103" s="116"/>
      <c r="M103"/>
      <c r="N103" s="456"/>
      <c r="O103" s="116"/>
      <c r="P103" s="116"/>
      <c r="Q103" s="116"/>
    </row>
    <row r="104" spans="1:17" s="91" customFormat="1" ht="15" x14ac:dyDescent="0.25">
      <c r="A104" s="420" t="str">
        <f t="shared" si="18"/>
        <v>2012 Actual</v>
      </c>
      <c r="B104" s="107"/>
      <c r="C104" s="114"/>
      <c r="D104" s="92">
        <f t="shared" ref="D104:F104" si="30">D84/D83-1</f>
        <v>-2.84288277463427E-2</v>
      </c>
      <c r="E104" s="92">
        <f t="shared" si="30"/>
        <v>3.4436600519691885E-2</v>
      </c>
      <c r="F104" s="92">
        <f t="shared" si="30"/>
        <v>-7.2151901630761461E-3</v>
      </c>
      <c r="G104" s="92">
        <f t="shared" si="26"/>
        <v>6.8075239402083376E-3</v>
      </c>
      <c r="H104" s="432"/>
      <c r="I104" s="92">
        <f t="shared" si="27"/>
        <v>-7.0991988074741164E-3</v>
      </c>
      <c r="M104"/>
      <c r="N104" s="90"/>
    </row>
    <row r="105" spans="1:17" s="91" customFormat="1" ht="15" x14ac:dyDescent="0.25">
      <c r="A105" s="418" t="str">
        <f t="shared" si="18"/>
        <v>2013 Bridge</v>
      </c>
      <c r="B105" s="89"/>
      <c r="C105" s="114"/>
      <c r="D105" s="92">
        <f t="shared" ref="D105:F106" si="31">D85/D84-1</f>
        <v>-3.2998024658226655E-2</v>
      </c>
      <c r="E105" s="92">
        <f t="shared" si="31"/>
        <v>-4.2724625602890587E-2</v>
      </c>
      <c r="F105" s="92">
        <f t="shared" si="31"/>
        <v>-3.3438742486959994E-2</v>
      </c>
      <c r="G105" s="92">
        <f t="shared" si="26"/>
        <v>7.9626129683743052E-3</v>
      </c>
      <c r="H105" s="432"/>
      <c r="I105" s="92">
        <f t="shared" si="27"/>
        <v>1.8553237148728474E-2</v>
      </c>
      <c r="M105"/>
      <c r="N105" s="90"/>
    </row>
    <row r="106" spans="1:17" s="91" customFormat="1" ht="15" x14ac:dyDescent="0.25">
      <c r="A106" s="418" t="str">
        <f t="shared" si="18"/>
        <v>2014 Test</v>
      </c>
      <c r="B106" s="89"/>
      <c r="C106" s="112"/>
      <c r="D106" s="419">
        <f t="shared" si="31"/>
        <v>1.0583195047855209E-3</v>
      </c>
      <c r="E106" s="419">
        <f t="shared" si="31"/>
        <v>3.1787742886517201E-2</v>
      </c>
      <c r="F106" s="419">
        <f t="shared" si="31"/>
        <v>-1.7881262208939708E-2</v>
      </c>
      <c r="G106" s="419">
        <f t="shared" si="26"/>
        <v>7.9626129683743052E-3</v>
      </c>
      <c r="H106" s="432"/>
      <c r="I106" s="419">
        <f t="shared" si="27"/>
        <v>1.8553237148728474E-2</v>
      </c>
      <c r="M106"/>
      <c r="N106" s="90"/>
    </row>
    <row r="107" spans="1:17" s="91" customFormat="1" ht="15" x14ac:dyDescent="0.25">
      <c r="A107" s="117"/>
      <c r="B107" s="112"/>
      <c r="C107" s="112"/>
      <c r="D107" s="85"/>
      <c r="E107" s="85"/>
      <c r="F107" s="85"/>
      <c r="G107" s="85"/>
      <c r="H107" s="85"/>
      <c r="I107" s="85"/>
      <c r="J107" s="85"/>
      <c r="K107" s="86"/>
      <c r="M107"/>
      <c r="N107" s="90"/>
    </row>
    <row r="108" spans="1:17" ht="27.75" customHeight="1" x14ac:dyDescent="0.25">
      <c r="A108" s="305"/>
      <c r="B108" s="305"/>
      <c r="D108" s="721" t="s">
        <v>441</v>
      </c>
      <c r="E108" s="722"/>
      <c r="F108" s="722"/>
      <c r="G108" s="722"/>
      <c r="H108" s="723"/>
      <c r="J108" s="86"/>
      <c r="M108"/>
      <c r="N108" s="86"/>
    </row>
    <row r="109" spans="1:17" ht="15" x14ac:dyDescent="0.25">
      <c r="A109" s="305"/>
      <c r="B109" s="305"/>
      <c r="D109" s="752" t="s">
        <v>357</v>
      </c>
      <c r="E109" s="729"/>
      <c r="F109" s="729"/>
      <c r="G109" s="729"/>
      <c r="H109" s="729"/>
      <c r="J109" s="86"/>
      <c r="M109"/>
      <c r="N109" s="86"/>
    </row>
    <row r="110" spans="1:17" ht="15" x14ac:dyDescent="0.25">
      <c r="A110" s="305"/>
      <c r="B110" s="305"/>
      <c r="D110" s="753">
        <f>'DATA-CDM'!Q23</f>
        <v>8270000</v>
      </c>
      <c r="E110" s="754"/>
      <c r="F110" s="754"/>
      <c r="G110" s="754"/>
      <c r="H110" s="755"/>
      <c r="J110" s="86"/>
      <c r="L110"/>
      <c r="M110"/>
      <c r="N110" s="86"/>
    </row>
    <row r="111" spans="1:17" ht="15" x14ac:dyDescent="0.25">
      <c r="A111" s="305"/>
      <c r="B111" s="305"/>
      <c r="D111" s="62">
        <v>2011</v>
      </c>
      <c r="E111" s="62">
        <v>2012</v>
      </c>
      <c r="F111" s="62">
        <v>2013</v>
      </c>
      <c r="G111" s="62">
        <v>2014</v>
      </c>
      <c r="H111" s="62" t="s">
        <v>9</v>
      </c>
      <c r="J111" s="86"/>
      <c r="L111"/>
      <c r="M111"/>
      <c r="N111" s="86"/>
    </row>
    <row r="112" spans="1:17" ht="15" x14ac:dyDescent="0.25">
      <c r="A112" s="305"/>
      <c r="B112" s="305"/>
      <c r="D112" s="729" t="s">
        <v>358</v>
      </c>
      <c r="E112" s="729"/>
      <c r="F112" s="729"/>
      <c r="G112" s="729"/>
      <c r="H112" s="729"/>
      <c r="J112" s="86"/>
      <c r="L112"/>
      <c r="M112"/>
      <c r="N112" s="86"/>
    </row>
    <row r="113" spans="1:14" ht="15" x14ac:dyDescent="0.25">
      <c r="A113" s="305"/>
      <c r="B113" s="305"/>
      <c r="D113" s="471">
        <f>'DATA-CDM'!Q33</f>
        <v>1022875</v>
      </c>
      <c r="E113" s="471">
        <f>'DATA-CDM'!R33</f>
        <v>1022875</v>
      </c>
      <c r="F113" s="471">
        <f>'DATA-CDM'!S33</f>
        <v>997755</v>
      </c>
      <c r="G113" s="471">
        <f>'DATA-CDM'!T33</f>
        <v>828587</v>
      </c>
      <c r="H113" s="468">
        <f>SUM(D113:G113)</f>
        <v>3872092</v>
      </c>
      <c r="L113"/>
      <c r="M113"/>
      <c r="N113" s="86"/>
    </row>
    <row r="114" spans="1:14" ht="15" x14ac:dyDescent="0.25">
      <c r="A114" s="305"/>
      <c r="B114" s="305"/>
      <c r="D114" s="751" t="s">
        <v>359</v>
      </c>
      <c r="E114" s="751"/>
      <c r="F114" s="751"/>
      <c r="G114" s="751"/>
      <c r="H114" s="751"/>
      <c r="J114" s="86"/>
      <c r="L114"/>
      <c r="M114"/>
      <c r="N114" s="86"/>
    </row>
    <row r="115" spans="1:14" ht="15" x14ac:dyDescent="0.25">
      <c r="A115" s="305"/>
      <c r="B115" s="305"/>
      <c r="D115" s="472"/>
      <c r="E115" s="471">
        <f>'DATA-CDM'!R34</f>
        <v>878526</v>
      </c>
      <c r="F115" s="471">
        <f>'DATA-CDM'!S34</f>
        <v>878526</v>
      </c>
      <c r="G115" s="471">
        <f>'DATA-CDM'!T34</f>
        <v>870079</v>
      </c>
      <c r="H115" s="468">
        <f>SUM(D115:G115)</f>
        <v>2627131</v>
      </c>
      <c r="L115"/>
      <c r="M115"/>
      <c r="N115" s="86"/>
    </row>
    <row r="116" spans="1:14" ht="15" x14ac:dyDescent="0.25">
      <c r="A116" s="305"/>
      <c r="B116" s="305"/>
      <c r="D116" s="748" t="s">
        <v>118</v>
      </c>
      <c r="E116" s="749"/>
      <c r="F116" s="749"/>
      <c r="G116" s="749"/>
      <c r="H116" s="750"/>
      <c r="L116"/>
      <c r="M116"/>
      <c r="N116" s="86"/>
    </row>
    <row r="117" spans="1:14" ht="15" x14ac:dyDescent="0.25">
      <c r="A117" s="305"/>
      <c r="B117" s="305"/>
      <c r="D117" s="469">
        <v>2006</v>
      </c>
      <c r="E117" s="469">
        <v>2007</v>
      </c>
      <c r="F117" s="469">
        <v>2008</v>
      </c>
      <c r="G117" s="469">
        <v>2009</v>
      </c>
      <c r="H117" s="466"/>
      <c r="L117"/>
      <c r="M117"/>
      <c r="N117" s="86"/>
    </row>
    <row r="118" spans="1:14" ht="15" x14ac:dyDescent="0.25">
      <c r="A118" s="305"/>
      <c r="B118" s="305"/>
      <c r="D118" s="471">
        <f>'DATA-CDM'!C24</f>
        <v>598000</v>
      </c>
      <c r="E118" s="471">
        <f>'DATA-CDM'!C25</f>
        <v>1008000</v>
      </c>
      <c r="F118" s="471">
        <f>'DATA-CDM'!C26</f>
        <v>1672000</v>
      </c>
      <c r="G118" s="471">
        <f>'DATA-CDM'!C27</f>
        <v>2056000</v>
      </c>
      <c r="H118" s="467"/>
      <c r="L118"/>
      <c r="M118"/>
      <c r="N118" s="86"/>
    </row>
    <row r="119" spans="1:14" ht="15" x14ac:dyDescent="0.25">
      <c r="A119" s="305"/>
      <c r="B119" s="305"/>
      <c r="D119" s="470">
        <v>2010</v>
      </c>
      <c r="E119" s="470">
        <v>2011</v>
      </c>
      <c r="F119" s="470">
        <v>2012</v>
      </c>
      <c r="G119" s="470">
        <v>2013</v>
      </c>
      <c r="H119" s="470">
        <v>2014</v>
      </c>
      <c r="L119"/>
      <c r="M119"/>
      <c r="N119" s="86"/>
    </row>
    <row r="120" spans="1:14" ht="15" x14ac:dyDescent="0.25">
      <c r="A120" s="305"/>
      <c r="B120" s="305"/>
      <c r="D120" s="471">
        <f>'DATA-CDM'!C28</f>
        <v>2111000</v>
      </c>
      <c r="E120" s="471">
        <f>'DATA-CDM'!C29</f>
        <v>1902000</v>
      </c>
      <c r="F120" s="471">
        <f>'DATA-CDM'!C30</f>
        <v>1855000</v>
      </c>
      <c r="G120" s="471">
        <f>'DATA-CDM'!C31</f>
        <v>1841000</v>
      </c>
      <c r="H120" s="471">
        <f>'DATA-CDM'!C32</f>
        <v>1732000</v>
      </c>
      <c r="L120"/>
      <c r="M120"/>
      <c r="N120" s="86"/>
    </row>
    <row r="121" spans="1:14" x14ac:dyDescent="0.2">
      <c r="D121" s="497"/>
      <c r="E121" s="498"/>
      <c r="F121" s="61"/>
      <c r="G121" s="61"/>
      <c r="L121"/>
      <c r="M121"/>
      <c r="N121" s="86"/>
    </row>
    <row r="122" spans="1:14" ht="15" x14ac:dyDescent="0.2">
      <c r="A122" s="756" t="s">
        <v>427</v>
      </c>
      <c r="B122" s="757"/>
      <c r="C122" s="757"/>
      <c r="D122" s="758"/>
      <c r="L122"/>
      <c r="M122"/>
      <c r="N122" s="86"/>
    </row>
    <row r="123" spans="1:14" ht="15" x14ac:dyDescent="0.2">
      <c r="A123" s="759" t="s">
        <v>119</v>
      </c>
      <c r="B123" s="760"/>
      <c r="C123" s="509"/>
      <c r="D123" s="510" t="s">
        <v>120</v>
      </c>
      <c r="K123" s="96"/>
      <c r="M123"/>
      <c r="N123" s="86"/>
    </row>
    <row r="124" spans="1:14" x14ac:dyDescent="0.2">
      <c r="A124" s="746" t="s">
        <v>22</v>
      </c>
      <c r="B124" s="747"/>
      <c r="C124" s="499"/>
      <c r="D124" s="500">
        <f>'Purchased Power Model '!X5</f>
        <v>0.9670512898709428</v>
      </c>
      <c r="K124"/>
      <c r="M124"/>
      <c r="N124" s="86"/>
    </row>
    <row r="125" spans="1:14" x14ac:dyDescent="0.2">
      <c r="A125" s="746" t="s">
        <v>23</v>
      </c>
      <c r="B125" s="747"/>
      <c r="C125" s="499"/>
      <c r="D125" s="500">
        <f>'Purchased Power Model '!X6</f>
        <v>0.96587455022347646</v>
      </c>
      <c r="K125"/>
      <c r="M125"/>
      <c r="N125" s="86"/>
    </row>
    <row r="126" spans="1:14" x14ac:dyDescent="0.2">
      <c r="A126" s="501" t="s">
        <v>368</v>
      </c>
      <c r="B126" s="499"/>
      <c r="C126" s="499"/>
      <c r="D126" s="521">
        <f>'Purchased Power Model '!X8</f>
        <v>2.3199999999999998E-2</v>
      </c>
      <c r="K126"/>
      <c r="M126"/>
      <c r="N126" s="86"/>
    </row>
    <row r="127" spans="1:14" x14ac:dyDescent="0.2">
      <c r="A127" s="746" t="s">
        <v>121</v>
      </c>
      <c r="B127" s="747"/>
      <c r="C127" s="499"/>
      <c r="D127" s="522">
        <f>'Purchased Power Model '!AA13</f>
        <v>821.80564915371008</v>
      </c>
      <c r="K127"/>
      <c r="M127"/>
      <c r="N127" s="86"/>
    </row>
    <row r="128" spans="1:14" x14ac:dyDescent="0.2">
      <c r="A128" s="746" t="s">
        <v>122</v>
      </c>
      <c r="B128" s="747"/>
      <c r="C128" s="499"/>
      <c r="D128" s="502"/>
      <c r="K128"/>
      <c r="M128"/>
      <c r="N128" s="86"/>
    </row>
    <row r="129" spans="1:14" x14ac:dyDescent="0.2">
      <c r="A129" s="503" t="str">
        <f>'Purchased Power Model '!W19</f>
        <v>Heating Degree Days</v>
      </c>
      <c r="B129" s="499"/>
      <c r="C129" s="499"/>
      <c r="D129" s="504">
        <f>'Purchased Power Model '!Z19</f>
        <v>19.367578948881626</v>
      </c>
      <c r="K129"/>
      <c r="M129"/>
      <c r="N129" s="86"/>
    </row>
    <row r="130" spans="1:14" ht="15" x14ac:dyDescent="0.25">
      <c r="A130" s="503" t="str">
        <f>'Purchased Power Model '!W20</f>
        <v>Cooling Degree Days</v>
      </c>
      <c r="B130" s="499"/>
      <c r="C130" s="499"/>
      <c r="D130" s="504">
        <f>'Purchased Power Model '!Z20</f>
        <v>30.845777025746123</v>
      </c>
      <c r="K130"/>
      <c r="M130" s="291"/>
      <c r="N130" s="86"/>
    </row>
    <row r="131" spans="1:14" ht="15" x14ac:dyDescent="0.25">
      <c r="A131" s="503" t="str">
        <f>'Purchased Power Model '!W21</f>
        <v>Ontario Real GDP Monthly %</v>
      </c>
      <c r="B131" s="499"/>
      <c r="C131" s="499"/>
      <c r="D131" s="504">
        <f>'Purchased Power Model '!Z21</f>
        <v>38.80182044223703</v>
      </c>
      <c r="K131"/>
      <c r="M131" s="291"/>
      <c r="N131" s="86"/>
    </row>
    <row r="132" spans="1:14" ht="15" x14ac:dyDescent="0.25">
      <c r="A132" s="503" t="str">
        <f>'Purchased Power Model '!W22</f>
        <v>Spring Flag</v>
      </c>
      <c r="B132" s="499"/>
      <c r="C132" s="499"/>
      <c r="D132" s="504">
        <f>'Purchased Power Model '!Z22</f>
        <v>-11.729744523770357</v>
      </c>
      <c r="K132"/>
      <c r="M132" s="291"/>
      <c r="N132" s="86"/>
    </row>
    <row r="133" spans="1:14" ht="14.25" customHeight="1" x14ac:dyDescent="0.25">
      <c r="A133" s="503" t="str">
        <f>'Purchased Power Model '!W23</f>
        <v>Summer Tourist Flag</v>
      </c>
      <c r="B133" s="505"/>
      <c r="C133" s="499"/>
      <c r="D133" s="504">
        <f>'Purchased Power Model '!Z23</f>
        <v>4.958172641977904</v>
      </c>
      <c r="M133" s="291"/>
      <c r="N133" s="86"/>
    </row>
    <row r="134" spans="1:14" ht="15" x14ac:dyDescent="0.25">
      <c r="A134" s="503" t="str">
        <f>'Purchased Power Model '!W24</f>
        <v>CDM Activity</v>
      </c>
      <c r="B134" s="499"/>
      <c r="C134" s="499"/>
      <c r="D134" s="504">
        <f>'Purchased Power Model '!Z24</f>
        <v>-5.4085301566173669</v>
      </c>
      <c r="M134" s="291"/>
      <c r="N134" s="86"/>
    </row>
    <row r="135" spans="1:14" ht="15" x14ac:dyDescent="0.25">
      <c r="A135" s="506" t="str">
        <f>'Purchased Power Model '!W25</f>
        <v>Days in Month</v>
      </c>
      <c r="B135" s="507"/>
      <c r="C135" s="508"/>
      <c r="D135" s="504">
        <f>'Purchased Power Model '!Z25</f>
        <v>12.314510643784505</v>
      </c>
      <c r="M135" s="291"/>
      <c r="N135" s="86"/>
    </row>
    <row r="136" spans="1:14" ht="15" x14ac:dyDescent="0.25">
      <c r="A136" s="506" t="str">
        <f>'Purchased Power Model '!W18</f>
        <v>Intercept</v>
      </c>
      <c r="B136" s="507"/>
      <c r="C136" s="508"/>
      <c r="D136" s="504">
        <f>'Purchased Power Model '!Z18</f>
        <v>-12.432261747647075</v>
      </c>
      <c r="M136" s="291"/>
      <c r="N136" s="86"/>
    </row>
    <row r="137" spans="1:14" ht="15" x14ac:dyDescent="0.25">
      <c r="K137" s="96"/>
      <c r="M137" s="291"/>
      <c r="N137" s="86"/>
    </row>
    <row r="138" spans="1:14" ht="15" x14ac:dyDescent="0.25">
      <c r="A138" s="714" t="s">
        <v>428</v>
      </c>
      <c r="B138" s="715"/>
      <c r="C138" s="715"/>
      <c r="D138" s="715"/>
      <c r="E138" s="715"/>
      <c r="F138" s="716"/>
      <c r="K138" s="86"/>
      <c r="M138" s="291"/>
      <c r="N138" s="86"/>
    </row>
    <row r="139" spans="1:14" ht="15" x14ac:dyDescent="0.25">
      <c r="A139" s="740" t="s">
        <v>105</v>
      </c>
      <c r="B139" s="742"/>
      <c r="C139" s="76"/>
      <c r="D139" s="77" t="s">
        <v>123</v>
      </c>
      <c r="E139" s="77" t="s">
        <v>124</v>
      </c>
      <c r="F139" s="77" t="s">
        <v>8</v>
      </c>
      <c r="K139" s="86"/>
      <c r="M139" s="291"/>
      <c r="N139" s="86"/>
    </row>
    <row r="140" spans="1:14" ht="15" x14ac:dyDescent="0.25">
      <c r="A140" s="717" t="s">
        <v>370</v>
      </c>
      <c r="B140" s="718"/>
      <c r="C140" s="718"/>
      <c r="D140" s="718"/>
      <c r="E140" s="718"/>
      <c r="F140" s="719"/>
      <c r="K140" s="86"/>
      <c r="M140" s="291"/>
      <c r="N140" s="86"/>
    </row>
    <row r="141" spans="1:14" ht="15" x14ac:dyDescent="0.25">
      <c r="A141" s="727">
        <v>1996</v>
      </c>
      <c r="B141" s="743"/>
      <c r="C141" s="73"/>
      <c r="D141" s="105">
        <f>'Purchased Power Model '!B282</f>
        <v>137138484</v>
      </c>
      <c r="E141" s="105">
        <f>'Purchased Power Model '!T282</f>
        <v>134826320.02497491</v>
      </c>
      <c r="F141" s="120">
        <f t="shared" ref="F141:F156" si="32">E141/D141-1</f>
        <v>-1.6860066609932001E-2</v>
      </c>
      <c r="G141"/>
      <c r="H141"/>
      <c r="I141"/>
      <c r="J141"/>
      <c r="K141"/>
      <c r="M141" s="291"/>
      <c r="N141" s="86"/>
    </row>
    <row r="142" spans="1:14" ht="15" x14ac:dyDescent="0.25">
      <c r="A142" s="727">
        <v>1997</v>
      </c>
      <c r="B142" s="743"/>
      <c r="C142" s="73"/>
      <c r="D142" s="105">
        <f>'Purchased Power Model '!B283</f>
        <v>135913545</v>
      </c>
      <c r="E142" s="105">
        <f>'Purchased Power Model '!T283</f>
        <v>135956268.24449831</v>
      </c>
      <c r="F142" s="120">
        <f t="shared" si="32"/>
        <v>3.1434132998531261E-4</v>
      </c>
      <c r="K142" s="86"/>
      <c r="M142" s="291"/>
      <c r="N142" s="86"/>
    </row>
    <row r="143" spans="1:14" ht="15" x14ac:dyDescent="0.25">
      <c r="A143" s="727">
        <v>1998</v>
      </c>
      <c r="B143" s="743"/>
      <c r="C143" s="73"/>
      <c r="D143" s="105">
        <f>'Purchased Power Model '!B284</f>
        <v>143381600</v>
      </c>
      <c r="E143" s="105">
        <f>'Purchased Power Model '!T284</f>
        <v>144644405.65926135</v>
      </c>
      <c r="F143" s="120">
        <f t="shared" si="32"/>
        <v>8.8073062321898377E-3</v>
      </c>
      <c r="K143" s="86"/>
      <c r="M143" s="291"/>
      <c r="N143" s="86"/>
    </row>
    <row r="144" spans="1:14" ht="15" x14ac:dyDescent="0.25">
      <c r="A144" s="727">
        <v>1999</v>
      </c>
      <c r="B144" s="743"/>
      <c r="C144" s="73"/>
      <c r="D144" s="105">
        <f>'Purchased Power Model '!B285</f>
        <v>152311035</v>
      </c>
      <c r="E144" s="105">
        <f>'Purchased Power Model '!T285</f>
        <v>154236213.17190471</v>
      </c>
      <c r="F144" s="120">
        <f t="shared" si="32"/>
        <v>1.2639781299527808E-2</v>
      </c>
      <c r="K144" s="86"/>
      <c r="M144" s="291"/>
      <c r="N144" s="86"/>
    </row>
    <row r="145" spans="1:14" ht="15" x14ac:dyDescent="0.2">
      <c r="A145" s="727">
        <v>2000</v>
      </c>
      <c r="B145" s="743"/>
      <c r="C145" s="73"/>
      <c r="D145" s="105">
        <f>'Purchased Power Model '!B286</f>
        <v>156667497</v>
      </c>
      <c r="E145" s="105">
        <f>'Purchased Power Model '!T286</f>
        <v>159709880.52386999</v>
      </c>
      <c r="F145" s="120">
        <f t="shared" si="32"/>
        <v>1.9419366378655933E-2</v>
      </c>
      <c r="K145" s="86"/>
      <c r="M145"/>
      <c r="N145" s="86"/>
    </row>
    <row r="146" spans="1:14" x14ac:dyDescent="0.2">
      <c r="A146" s="727">
        <v>2001</v>
      </c>
      <c r="B146" s="743"/>
      <c r="C146" s="81"/>
      <c r="D146" s="105">
        <f>'Purchased Power Model '!B287</f>
        <v>165931549</v>
      </c>
      <c r="E146" s="105">
        <f>'Purchased Power Model '!T287</f>
        <v>165846865.76937869</v>
      </c>
      <c r="F146" s="120">
        <f t="shared" si="32"/>
        <v>-5.1035038925184573E-4</v>
      </c>
      <c r="K146" s="86"/>
      <c r="M146"/>
      <c r="N146" s="86"/>
    </row>
    <row r="147" spans="1:14" ht="15" x14ac:dyDescent="0.2">
      <c r="A147" s="727">
        <v>2002</v>
      </c>
      <c r="B147" s="743"/>
      <c r="C147" s="73"/>
      <c r="D147" s="105">
        <f>'Purchased Power Model '!B288</f>
        <v>176920132.90000001</v>
      </c>
      <c r="E147" s="105">
        <f>'Purchased Power Model '!T288</f>
        <v>175207446.21584722</v>
      </c>
      <c r="F147" s="120">
        <f t="shared" si="32"/>
        <v>-9.6805640832343665E-3</v>
      </c>
      <c r="K147" s="86"/>
      <c r="M147"/>
      <c r="N147" s="86"/>
    </row>
    <row r="148" spans="1:14" x14ac:dyDescent="0.2">
      <c r="A148" s="727">
        <v>2003</v>
      </c>
      <c r="B148" s="743"/>
      <c r="C148" s="81"/>
      <c r="D148" s="105">
        <f>'Purchased Power Model '!B289</f>
        <v>174477589</v>
      </c>
      <c r="E148" s="105">
        <f>'Purchased Power Model '!T289</f>
        <v>174074041.90562162</v>
      </c>
      <c r="F148" s="120">
        <f t="shared" si="32"/>
        <v>-2.3128878424516497E-3</v>
      </c>
      <c r="G148"/>
      <c r="K148" s="86"/>
      <c r="M148"/>
      <c r="N148" s="86"/>
    </row>
    <row r="149" spans="1:14" x14ac:dyDescent="0.2">
      <c r="A149" s="727">
        <v>2004</v>
      </c>
      <c r="B149" s="743"/>
      <c r="C149" s="81"/>
      <c r="D149" s="105">
        <f>'Purchased Power Model '!B290</f>
        <v>178152405</v>
      </c>
      <c r="E149" s="105">
        <f>'Purchased Power Model '!T290</f>
        <v>174837462.18309715</v>
      </c>
      <c r="F149" s="120">
        <f t="shared" si="32"/>
        <v>-1.8607342499265433E-2</v>
      </c>
      <c r="G149"/>
      <c r="K149" s="86"/>
      <c r="M149"/>
      <c r="N149" s="86"/>
    </row>
    <row r="150" spans="1:14" x14ac:dyDescent="0.2">
      <c r="A150" s="727">
        <v>2005</v>
      </c>
      <c r="B150" s="743"/>
      <c r="C150" s="81"/>
      <c r="D150" s="105">
        <f>'Purchased Power Model '!B291</f>
        <v>188569914</v>
      </c>
      <c r="E150" s="105">
        <f>'Purchased Power Model '!T291</f>
        <v>188383383.54167727</v>
      </c>
      <c r="F150" s="120">
        <f t="shared" si="32"/>
        <v>-9.8918461787456113E-4</v>
      </c>
      <c r="G150"/>
      <c r="K150" s="86"/>
      <c r="M150"/>
      <c r="N150" s="86"/>
    </row>
    <row r="151" spans="1:14" x14ac:dyDescent="0.2">
      <c r="A151" s="727">
        <v>2006</v>
      </c>
      <c r="B151" s="743"/>
      <c r="C151" s="81"/>
      <c r="D151" s="105">
        <f>'Purchased Power Model '!B292</f>
        <v>182453427</v>
      </c>
      <c r="E151" s="105">
        <f>'Purchased Power Model '!T292</f>
        <v>183447501.63019586</v>
      </c>
      <c r="F151" s="120">
        <f t="shared" si="32"/>
        <v>5.4483746704074854E-3</v>
      </c>
      <c r="G151"/>
      <c r="K151" s="86"/>
      <c r="M151"/>
      <c r="N151" s="86"/>
    </row>
    <row r="152" spans="1:14" x14ac:dyDescent="0.2">
      <c r="A152" s="727">
        <v>2007</v>
      </c>
      <c r="B152" s="743"/>
      <c r="C152" s="81"/>
      <c r="D152" s="105">
        <f>'Purchased Power Model '!B293</f>
        <v>188506590</v>
      </c>
      <c r="E152" s="105">
        <f>'Purchased Power Model '!T293</f>
        <v>189275554.8282997</v>
      </c>
      <c r="F152" s="120">
        <f t="shared" si="32"/>
        <v>4.0792463982277649E-3</v>
      </c>
      <c r="G152"/>
      <c r="K152" s="86"/>
      <c r="M152"/>
      <c r="N152" s="86"/>
    </row>
    <row r="153" spans="1:14" x14ac:dyDescent="0.2">
      <c r="A153" s="727">
        <v>2008</v>
      </c>
      <c r="B153" s="743"/>
      <c r="C153" s="81"/>
      <c r="D153" s="105">
        <f>'Purchased Power Model '!B294</f>
        <v>182813235</v>
      </c>
      <c r="E153" s="105">
        <f>'Purchased Power Model '!T294</f>
        <v>185570635.32064036</v>
      </c>
      <c r="F153" s="120">
        <f t="shared" si="32"/>
        <v>1.5083154787126629E-2</v>
      </c>
      <c r="G153"/>
      <c r="K153" s="86"/>
      <c r="M153"/>
      <c r="N153" s="86"/>
    </row>
    <row r="154" spans="1:14" x14ac:dyDescent="0.2">
      <c r="A154" s="727">
        <v>2009</v>
      </c>
      <c r="B154" s="743"/>
      <c r="C154" s="81"/>
      <c r="D154" s="105">
        <f>'Purchased Power Model '!B295</f>
        <v>178335380.82587692</v>
      </c>
      <c r="E154" s="105">
        <f>'Purchased Power Model '!T295</f>
        <v>178435180.31848434</v>
      </c>
      <c r="F154" s="120">
        <f t="shared" si="32"/>
        <v>5.5961689792138891E-4</v>
      </c>
      <c r="G154"/>
      <c r="K154" s="86"/>
      <c r="M154"/>
      <c r="N154" s="86"/>
    </row>
    <row r="155" spans="1:14" x14ac:dyDescent="0.2">
      <c r="A155" s="727">
        <v>2010</v>
      </c>
      <c r="B155" s="743"/>
      <c r="C155" s="81"/>
      <c r="D155" s="105">
        <f>'Purchased Power Model '!B296</f>
        <v>186321134.65720975</v>
      </c>
      <c r="E155" s="105">
        <f>'Purchased Power Model '!T296</f>
        <v>184469801.87037647</v>
      </c>
      <c r="F155" s="120">
        <f t="shared" si="32"/>
        <v>-9.9362468473548349E-3</v>
      </c>
      <c r="G155"/>
      <c r="K155" s="86"/>
      <c r="M155"/>
      <c r="N155" s="86"/>
    </row>
    <row r="156" spans="1:14" ht="12.75" customHeight="1" x14ac:dyDescent="0.2">
      <c r="A156" s="727">
        <v>2011</v>
      </c>
      <c r="B156" s="743"/>
      <c r="C156" s="121"/>
      <c r="D156" s="105">
        <f>'Purchased Power Model '!B297</f>
        <v>188636352</v>
      </c>
      <c r="E156" s="105">
        <f>'Purchased Power Model '!T297</f>
        <v>186686295.30929995</v>
      </c>
      <c r="F156" s="120">
        <f t="shared" si="32"/>
        <v>-1.0337650564298695E-2</v>
      </c>
      <c r="G156"/>
      <c r="M156"/>
      <c r="N156" s="86"/>
    </row>
    <row r="157" spans="1:14" ht="12.75" customHeight="1" x14ac:dyDescent="0.25">
      <c r="A157" s="727">
        <v>2012</v>
      </c>
      <c r="B157" s="743"/>
      <c r="C157" s="121"/>
      <c r="D157" s="105">
        <f>'Purchased Power Model '!B298</f>
        <v>189168670.89000002</v>
      </c>
      <c r="E157" s="105">
        <f>'Purchased Power Model '!T298</f>
        <v>190091284.75565851</v>
      </c>
      <c r="F157" s="120">
        <f t="shared" ref="F157" si="33">E157/D157-1</f>
        <v>4.8772022413530181E-3</v>
      </c>
      <c r="G157"/>
      <c r="M157" s="291"/>
      <c r="N157" s="86"/>
    </row>
    <row r="158" spans="1:14" s="91" customFormat="1" ht="12.75" customHeight="1" x14ac:dyDescent="0.25">
      <c r="A158" s="717" t="s">
        <v>76</v>
      </c>
      <c r="B158" s="718"/>
      <c r="C158" s="718"/>
      <c r="D158" s="719"/>
      <c r="E158" s="111">
        <f>'Purchased Power Model '!T299</f>
        <v>189087891.90591452</v>
      </c>
      <c r="F158" s="122"/>
      <c r="K158"/>
      <c r="M158" s="291"/>
      <c r="N158" s="90"/>
    </row>
    <row r="159" spans="1:14" s="91" customFormat="1" ht="15" x14ac:dyDescent="0.25">
      <c r="A159" s="717" t="s">
        <v>183</v>
      </c>
      <c r="B159" s="718"/>
      <c r="C159" s="718"/>
      <c r="D159" s="719"/>
      <c r="E159" s="111">
        <f>'Purchased Power Model '!T300</f>
        <v>193206757.02486607</v>
      </c>
      <c r="F159" s="122"/>
      <c r="K159"/>
      <c r="M159" s="291"/>
      <c r="N159" s="90"/>
    </row>
    <row r="160" spans="1:14" s="91" customFormat="1" ht="15" x14ac:dyDescent="0.25">
      <c r="A160" s="717" t="s">
        <v>269</v>
      </c>
      <c r="B160" s="718"/>
      <c r="C160" s="718"/>
      <c r="D160" s="719"/>
      <c r="E160" s="111">
        <f>'Purchased Power Model '!U320</f>
        <v>193477377.05738172</v>
      </c>
      <c r="F160" s="122"/>
      <c r="K160"/>
      <c r="M160" s="291"/>
      <c r="N160" s="90"/>
    </row>
    <row r="161" spans="1:16" s="86" customFormat="1" ht="15" x14ac:dyDescent="0.25">
      <c r="A161" s="717" t="s">
        <v>270</v>
      </c>
      <c r="B161" s="718"/>
      <c r="C161" s="718"/>
      <c r="D161" s="719"/>
      <c r="E161" s="111">
        <f>'Purchased Power Model '!U336</f>
        <v>194239086.32568491</v>
      </c>
      <c r="F161" s="120"/>
      <c r="G161" s="91"/>
      <c r="K161"/>
      <c r="L161"/>
      <c r="M161" s="291"/>
    </row>
    <row r="162" spans="1:16" ht="15" x14ac:dyDescent="0.25">
      <c r="K162"/>
      <c r="M162" s="291"/>
      <c r="N162" s="86"/>
    </row>
    <row r="163" spans="1:16" ht="15" x14ac:dyDescent="0.25">
      <c r="K163"/>
      <c r="M163" s="291"/>
      <c r="N163" s="86"/>
    </row>
    <row r="164" spans="1:16" ht="15" x14ac:dyDescent="0.25">
      <c r="K164"/>
      <c r="M164" s="291"/>
      <c r="N164" s="86"/>
    </row>
    <row r="165" spans="1:16" ht="15" x14ac:dyDescent="0.25">
      <c r="A165" s="714" t="s">
        <v>412</v>
      </c>
      <c r="B165" s="715"/>
      <c r="C165" s="715"/>
      <c r="D165" s="715"/>
      <c r="E165" s="715"/>
      <c r="F165" s="715"/>
      <c r="G165" s="715"/>
      <c r="H165" s="715"/>
      <c r="I165" s="715"/>
      <c r="J165" s="716"/>
      <c r="K165"/>
      <c r="L165"/>
      <c r="M165" s="291"/>
      <c r="N165" s="86"/>
    </row>
    <row r="166" spans="1:16" ht="15" x14ac:dyDescent="0.25">
      <c r="A166" s="761" t="s">
        <v>105</v>
      </c>
      <c r="B166" s="762"/>
      <c r="C166" s="98"/>
      <c r="D166" s="99" t="str">
        <f t="shared" ref="D166:I166" si="34">D67</f>
        <v xml:space="preserve">Residential </v>
      </c>
      <c r="E166" s="99" t="str">
        <f t="shared" si="34"/>
        <v>GS&lt;50</v>
      </c>
      <c r="F166" s="99" t="str">
        <f t="shared" si="34"/>
        <v>GS&gt;50</v>
      </c>
      <c r="G166" s="99" t="str">
        <f t="shared" si="34"/>
        <v>Street Lighting</v>
      </c>
      <c r="H166" s="99" t="str">
        <f t="shared" si="34"/>
        <v>Sentinels</v>
      </c>
      <c r="I166" s="99" t="str">
        <f t="shared" si="34"/>
        <v>USL</v>
      </c>
      <c r="J166" s="99" t="s">
        <v>9</v>
      </c>
      <c r="K166"/>
      <c r="L166"/>
      <c r="M166" s="291"/>
      <c r="N166" s="86"/>
    </row>
    <row r="167" spans="1:16" ht="15" x14ac:dyDescent="0.25">
      <c r="A167" s="717" t="s">
        <v>114</v>
      </c>
      <c r="B167" s="718"/>
      <c r="C167" s="718"/>
      <c r="D167" s="718"/>
      <c r="E167" s="718"/>
      <c r="F167" s="718"/>
      <c r="G167" s="718"/>
      <c r="H167" s="718"/>
      <c r="I167" s="718"/>
      <c r="J167" s="719"/>
      <c r="K167"/>
      <c r="L167"/>
      <c r="M167" s="291"/>
      <c r="N167" s="86"/>
    </row>
    <row r="168" spans="1:16" ht="15" hidden="1" x14ac:dyDescent="0.25">
      <c r="A168" s="727">
        <f t="shared" ref="A168:A180" si="35">A145</f>
        <v>2000</v>
      </c>
      <c r="B168" s="728"/>
      <c r="C168" s="79"/>
      <c r="D168" s="436"/>
      <c r="E168" s="436"/>
      <c r="F168" s="436"/>
      <c r="G168" s="436"/>
      <c r="H168" s="436"/>
      <c r="I168" s="436"/>
      <c r="J168" s="436"/>
      <c r="K168"/>
      <c r="L168"/>
      <c r="M168" s="291"/>
      <c r="N168" s="34"/>
      <c r="O168"/>
      <c r="P168"/>
    </row>
    <row r="169" spans="1:16" ht="15" hidden="1" x14ac:dyDescent="0.25">
      <c r="A169" s="727">
        <f t="shared" si="35"/>
        <v>2001</v>
      </c>
      <c r="B169" s="728"/>
      <c r="C169" s="79"/>
      <c r="D169" s="436"/>
      <c r="E169" s="436"/>
      <c r="F169" s="436"/>
      <c r="G169" s="436"/>
      <c r="H169" s="436"/>
      <c r="I169" s="436"/>
      <c r="J169" s="436"/>
      <c r="M169" s="291"/>
      <c r="N169" s="34"/>
      <c r="O169"/>
      <c r="P169"/>
    </row>
    <row r="170" spans="1:16" ht="15" x14ac:dyDescent="0.25">
      <c r="A170" s="727">
        <f t="shared" si="35"/>
        <v>2002</v>
      </c>
      <c r="B170" s="728"/>
      <c r="C170" s="102"/>
      <c r="D170" s="123">
        <f>'Rate Class Customer Model'!B9</f>
        <v>5507</v>
      </c>
      <c r="E170" s="123">
        <f>'Rate Class Customer Model'!C9</f>
        <v>1234</v>
      </c>
      <c r="F170" s="123">
        <f>'Rate Class Customer Model'!D9</f>
        <v>89</v>
      </c>
      <c r="G170" s="123">
        <f>'Rate Class Customer Model'!G9</f>
        <v>1483</v>
      </c>
      <c r="H170" s="123">
        <f>'Rate Class Customer Model'!H9</f>
        <v>110</v>
      </c>
      <c r="I170" s="123">
        <f>'Rate Class Customer Model'!I9</f>
        <v>24</v>
      </c>
      <c r="J170" s="123">
        <f t="shared" ref="J170:J180" si="36">SUM(D170:I170)</f>
        <v>8447</v>
      </c>
      <c r="M170" s="291"/>
      <c r="N170" s="34"/>
      <c r="O170"/>
      <c r="P170"/>
    </row>
    <row r="171" spans="1:16" ht="15" x14ac:dyDescent="0.25">
      <c r="A171" s="727">
        <f t="shared" si="35"/>
        <v>2003</v>
      </c>
      <c r="B171" s="728"/>
      <c r="C171" s="102"/>
      <c r="D171" s="123">
        <f>'Rate Class Customer Model'!B10</f>
        <v>5661</v>
      </c>
      <c r="E171" s="123">
        <f>'Rate Class Customer Model'!C10</f>
        <v>1230</v>
      </c>
      <c r="F171" s="123">
        <f>'Rate Class Customer Model'!D10</f>
        <v>95</v>
      </c>
      <c r="G171" s="123">
        <f>'Rate Class Customer Model'!G10</f>
        <v>1591</v>
      </c>
      <c r="H171" s="123">
        <f>'Rate Class Customer Model'!H10</f>
        <v>108</v>
      </c>
      <c r="I171" s="123">
        <f>'Rate Class Customer Model'!I10</f>
        <v>24</v>
      </c>
      <c r="J171" s="123">
        <f t="shared" si="36"/>
        <v>8709</v>
      </c>
      <c r="M171" s="291"/>
      <c r="N171" s="34"/>
      <c r="O171"/>
      <c r="P171"/>
    </row>
    <row r="172" spans="1:16" ht="15" x14ac:dyDescent="0.25">
      <c r="A172" s="727">
        <f t="shared" si="35"/>
        <v>2004</v>
      </c>
      <c r="B172" s="728"/>
      <c r="C172" s="102"/>
      <c r="D172" s="123">
        <f>'Rate Class Customer Model'!B11</f>
        <v>5902</v>
      </c>
      <c r="E172" s="123">
        <f>'Rate Class Customer Model'!C11</f>
        <v>1227</v>
      </c>
      <c r="F172" s="123">
        <f>'Rate Class Customer Model'!D11</f>
        <v>98</v>
      </c>
      <c r="G172" s="123">
        <f>'Rate Class Customer Model'!G11</f>
        <v>1611</v>
      </c>
      <c r="H172" s="123">
        <f>'Rate Class Customer Model'!H11</f>
        <v>105</v>
      </c>
      <c r="I172" s="123">
        <f>'Rate Class Customer Model'!I11</f>
        <v>24</v>
      </c>
      <c r="J172" s="123">
        <f t="shared" si="36"/>
        <v>8967</v>
      </c>
      <c r="M172" s="291"/>
      <c r="N172" s="34"/>
      <c r="O172"/>
      <c r="P172"/>
    </row>
    <row r="173" spans="1:16" ht="15" x14ac:dyDescent="0.25">
      <c r="A173" s="727">
        <f t="shared" si="35"/>
        <v>2005</v>
      </c>
      <c r="B173" s="728"/>
      <c r="C173" s="102"/>
      <c r="D173" s="123">
        <f>'Rate Class Customer Model'!B12</f>
        <v>6124</v>
      </c>
      <c r="E173" s="123">
        <f>'Rate Class Customer Model'!C12</f>
        <v>1210</v>
      </c>
      <c r="F173" s="123">
        <f>'Rate Class Customer Model'!D12</f>
        <v>108</v>
      </c>
      <c r="G173" s="123">
        <f>'Rate Class Customer Model'!G12</f>
        <v>1658</v>
      </c>
      <c r="H173" s="123">
        <f>'Rate Class Customer Model'!H12</f>
        <v>80</v>
      </c>
      <c r="I173" s="123">
        <f>'Rate Class Customer Model'!I12</f>
        <v>24</v>
      </c>
      <c r="J173" s="123">
        <f t="shared" si="36"/>
        <v>9204</v>
      </c>
      <c r="M173" s="291"/>
      <c r="N173" s="34"/>
      <c r="O173"/>
      <c r="P173"/>
    </row>
    <row r="174" spans="1:16" ht="15" x14ac:dyDescent="0.25">
      <c r="A174" s="727">
        <f t="shared" si="35"/>
        <v>2006</v>
      </c>
      <c r="B174" s="728"/>
      <c r="C174" s="102"/>
      <c r="D174" s="123">
        <f>'Rate Class Customer Model'!B13</f>
        <v>6276</v>
      </c>
      <c r="E174" s="123">
        <f>'Rate Class Customer Model'!C13</f>
        <v>1209</v>
      </c>
      <c r="F174" s="123">
        <f>'Rate Class Customer Model'!D13</f>
        <v>117</v>
      </c>
      <c r="G174" s="123">
        <f>'Rate Class Customer Model'!G13</f>
        <v>1736</v>
      </c>
      <c r="H174" s="123">
        <f>'Rate Class Customer Model'!H13</f>
        <v>77</v>
      </c>
      <c r="I174" s="123">
        <f>'Rate Class Customer Model'!I13</f>
        <v>24</v>
      </c>
      <c r="J174" s="123">
        <f t="shared" si="36"/>
        <v>9439</v>
      </c>
      <c r="M174" s="291"/>
      <c r="N174" s="34"/>
      <c r="O174"/>
      <c r="P174"/>
    </row>
    <row r="175" spans="1:16" ht="15" x14ac:dyDescent="0.25">
      <c r="A175" s="727">
        <f t="shared" si="35"/>
        <v>2007</v>
      </c>
      <c r="B175" s="728"/>
      <c r="C175" s="102"/>
      <c r="D175" s="123">
        <f>'Rate Class Customer Model'!B14</f>
        <v>6424</v>
      </c>
      <c r="E175" s="123">
        <f>'Rate Class Customer Model'!C14</f>
        <v>1216</v>
      </c>
      <c r="F175" s="123">
        <f>'Rate Class Customer Model'!D14</f>
        <v>115</v>
      </c>
      <c r="G175" s="123">
        <f>'Rate Class Customer Model'!G14</f>
        <v>1796</v>
      </c>
      <c r="H175" s="123">
        <f>'Rate Class Customer Model'!H14</f>
        <v>76</v>
      </c>
      <c r="I175" s="123">
        <f>'Rate Class Customer Model'!I14</f>
        <v>23</v>
      </c>
      <c r="J175" s="123">
        <f t="shared" si="36"/>
        <v>9650</v>
      </c>
      <c r="M175" s="291"/>
      <c r="N175" s="34"/>
      <c r="O175"/>
      <c r="P175"/>
    </row>
    <row r="176" spans="1:16" ht="15" x14ac:dyDescent="0.25">
      <c r="A176" s="727">
        <f t="shared" si="35"/>
        <v>2008</v>
      </c>
      <c r="B176" s="728"/>
      <c r="C176" s="102"/>
      <c r="D176" s="123">
        <f>'Rate Class Customer Model'!B15</f>
        <v>6436</v>
      </c>
      <c r="E176" s="123">
        <f>'Rate Class Customer Model'!C15</f>
        <v>1225</v>
      </c>
      <c r="F176" s="123">
        <f>'Rate Class Customer Model'!D15</f>
        <v>115</v>
      </c>
      <c r="G176" s="123">
        <f>'Rate Class Customer Model'!G15</f>
        <v>1904</v>
      </c>
      <c r="H176" s="123">
        <f>'Rate Class Customer Model'!H15</f>
        <v>71</v>
      </c>
      <c r="I176" s="123">
        <f>'Rate Class Customer Model'!I15</f>
        <v>22</v>
      </c>
      <c r="J176" s="123">
        <f t="shared" si="36"/>
        <v>9773</v>
      </c>
      <c r="M176" s="291"/>
      <c r="N176" s="34"/>
      <c r="O176"/>
      <c r="P176"/>
    </row>
    <row r="177" spans="1:16" ht="15" x14ac:dyDescent="0.25">
      <c r="A177" s="727">
        <f t="shared" si="35"/>
        <v>2009</v>
      </c>
      <c r="B177" s="728"/>
      <c r="C177" s="102"/>
      <c r="D177" s="123">
        <f>'Rate Class Customer Model'!B16</f>
        <v>6507</v>
      </c>
      <c r="E177" s="123">
        <f>'Rate Class Customer Model'!C16</f>
        <v>1230</v>
      </c>
      <c r="F177" s="123">
        <f>'Rate Class Customer Model'!D16</f>
        <v>121</v>
      </c>
      <c r="G177" s="123">
        <f>'Rate Class Customer Model'!G16</f>
        <v>1915</v>
      </c>
      <c r="H177" s="436"/>
      <c r="I177" s="123">
        <f>'Rate Class Customer Model'!I16</f>
        <v>22</v>
      </c>
      <c r="J177" s="123">
        <f t="shared" si="36"/>
        <v>9795</v>
      </c>
      <c r="M177" s="291"/>
      <c r="N177" s="34"/>
      <c r="O177"/>
      <c r="P177"/>
    </row>
    <row r="178" spans="1:16" ht="15" x14ac:dyDescent="0.25">
      <c r="A178" s="727">
        <f t="shared" si="35"/>
        <v>2010</v>
      </c>
      <c r="B178" s="728"/>
      <c r="C178" s="102"/>
      <c r="D178" s="123">
        <f>'Rate Class Customer Model'!B17</f>
        <v>6537</v>
      </c>
      <c r="E178" s="123">
        <f>'Rate Class Customer Model'!C17</f>
        <v>1225</v>
      </c>
      <c r="F178" s="123">
        <f>'Rate Class Customer Model'!D17</f>
        <v>121</v>
      </c>
      <c r="G178" s="123">
        <f>'Rate Class Customer Model'!G17</f>
        <v>1920</v>
      </c>
      <c r="H178" s="436"/>
      <c r="I178" s="123">
        <f>'Rate Class Customer Model'!I17</f>
        <v>20</v>
      </c>
      <c r="J178" s="123">
        <f t="shared" si="36"/>
        <v>9823</v>
      </c>
      <c r="M178" s="291"/>
      <c r="N178" s="34"/>
      <c r="O178"/>
      <c r="P178"/>
    </row>
    <row r="179" spans="1:16" ht="15" x14ac:dyDescent="0.25">
      <c r="A179" s="727">
        <f t="shared" si="35"/>
        <v>2011</v>
      </c>
      <c r="B179" s="728"/>
      <c r="C179" s="102"/>
      <c r="D179" s="123">
        <f>'Rate Class Customer Model'!B18</f>
        <v>6666</v>
      </c>
      <c r="E179" s="123">
        <f>'Rate Class Customer Model'!C18</f>
        <v>1253</v>
      </c>
      <c r="F179" s="123">
        <f>'Rate Class Customer Model'!D18</f>
        <v>118</v>
      </c>
      <c r="G179" s="123">
        <f>'Rate Class Customer Model'!G18</f>
        <v>1946</v>
      </c>
      <c r="H179" s="436"/>
      <c r="I179" s="123">
        <f>'Rate Class Customer Model'!I18</f>
        <v>22</v>
      </c>
      <c r="J179" s="123">
        <f t="shared" si="36"/>
        <v>10005</v>
      </c>
      <c r="M179" s="291"/>
      <c r="N179" s="34"/>
      <c r="O179"/>
      <c r="P179"/>
    </row>
    <row r="180" spans="1:16" ht="15" x14ac:dyDescent="0.25">
      <c r="A180" s="727">
        <f t="shared" si="35"/>
        <v>2012</v>
      </c>
      <c r="B180" s="728"/>
      <c r="C180" s="420"/>
      <c r="D180" s="123">
        <f>'Rate Class Customer Model'!B19</f>
        <v>6818</v>
      </c>
      <c r="E180" s="123">
        <f>'Rate Class Customer Model'!C19</f>
        <v>1252</v>
      </c>
      <c r="F180" s="123">
        <f>'Rate Class Customer Model'!D19</f>
        <v>117</v>
      </c>
      <c r="G180" s="123">
        <f>'Rate Class Customer Model'!G19</f>
        <v>1949</v>
      </c>
      <c r="H180" s="436"/>
      <c r="I180" s="123">
        <f>'Rate Class Customer Model'!I19</f>
        <v>22</v>
      </c>
      <c r="J180" s="123">
        <f t="shared" si="36"/>
        <v>10158</v>
      </c>
      <c r="M180" s="291"/>
      <c r="N180" s="34"/>
      <c r="O180"/>
      <c r="P180"/>
    </row>
    <row r="181" spans="1:16" ht="15" x14ac:dyDescent="0.25">
      <c r="A181" s="305"/>
      <c r="B181" s="305"/>
      <c r="M181" s="291"/>
      <c r="N181" s="86"/>
    </row>
    <row r="182" spans="1:16" ht="15" x14ac:dyDescent="0.25">
      <c r="A182" s="714" t="s">
        <v>413</v>
      </c>
      <c r="B182" s="715"/>
      <c r="C182" s="715"/>
      <c r="D182" s="715"/>
      <c r="E182" s="715"/>
      <c r="F182" s="715"/>
      <c r="G182" s="715"/>
      <c r="H182" s="715"/>
      <c r="I182" s="716"/>
      <c r="J182"/>
      <c r="K182"/>
      <c r="M182" s="291"/>
      <c r="N182" s="86"/>
    </row>
    <row r="183" spans="1:16" ht="15" x14ac:dyDescent="0.25">
      <c r="A183" s="712" t="s">
        <v>105</v>
      </c>
      <c r="B183" s="712"/>
      <c r="C183" s="98"/>
      <c r="D183" s="99" t="str">
        <f>D166</f>
        <v xml:space="preserve">Residential </v>
      </c>
      <c r="E183" s="99" t="str">
        <f t="shared" ref="E183:F183" si="37">E166</f>
        <v>GS&lt;50</v>
      </c>
      <c r="F183" s="99" t="str">
        <f t="shared" si="37"/>
        <v>GS&gt;50</v>
      </c>
      <c r="G183" s="99" t="str">
        <f>G166</f>
        <v>Street Lighting</v>
      </c>
      <c r="H183" s="99" t="str">
        <f>H166</f>
        <v>Sentinels</v>
      </c>
      <c r="I183" s="99" t="str">
        <f>I166</f>
        <v>USL</v>
      </c>
      <c r="J183"/>
      <c r="K183"/>
      <c r="M183" s="291"/>
      <c r="N183" s="86"/>
    </row>
    <row r="184" spans="1:16" ht="15" x14ac:dyDescent="0.25">
      <c r="A184" s="717" t="s">
        <v>125</v>
      </c>
      <c r="B184" s="718"/>
      <c r="C184" s="718"/>
      <c r="D184" s="718"/>
      <c r="E184" s="718"/>
      <c r="F184" s="718"/>
      <c r="G184" s="718"/>
      <c r="H184" s="718"/>
      <c r="I184" s="719"/>
      <c r="J184"/>
      <c r="K184"/>
      <c r="M184" s="291"/>
      <c r="N184" s="86"/>
    </row>
    <row r="185" spans="1:16" ht="15" x14ac:dyDescent="0.25">
      <c r="A185" s="708">
        <f t="shared" ref="A185:A197" si="38">A168</f>
        <v>2000</v>
      </c>
      <c r="B185" s="708"/>
      <c r="C185" s="79"/>
      <c r="D185" s="124"/>
      <c r="E185" s="79"/>
      <c r="F185" s="79"/>
      <c r="G185" s="79"/>
      <c r="H185" s="79"/>
      <c r="I185" s="79"/>
      <c r="J185"/>
      <c r="K185"/>
      <c r="M185" s="291"/>
      <c r="N185" s="86"/>
    </row>
    <row r="186" spans="1:16" ht="15" hidden="1" x14ac:dyDescent="0.25">
      <c r="A186" s="708">
        <f t="shared" si="38"/>
        <v>2001</v>
      </c>
      <c r="B186" s="708"/>
      <c r="C186" s="79"/>
      <c r="D186" s="437"/>
      <c r="E186" s="437"/>
      <c r="F186" s="437"/>
      <c r="G186" s="437"/>
      <c r="H186" s="437"/>
      <c r="I186" s="437"/>
      <c r="L186" s="164"/>
      <c r="M186" s="457"/>
      <c r="N186" s="458"/>
    </row>
    <row r="187" spans="1:16" ht="15" hidden="1" x14ac:dyDescent="0.25">
      <c r="A187" s="708">
        <f t="shared" si="38"/>
        <v>2002</v>
      </c>
      <c r="B187" s="708"/>
      <c r="C187" s="79"/>
      <c r="D187" s="437"/>
      <c r="E187" s="437"/>
      <c r="F187" s="437"/>
      <c r="G187" s="437"/>
      <c r="H187" s="437"/>
      <c r="I187" s="437"/>
      <c r="L187" s="164"/>
      <c r="M187" s="457"/>
      <c r="N187" s="458"/>
    </row>
    <row r="188" spans="1:16" ht="15" x14ac:dyDescent="0.25">
      <c r="A188" s="708">
        <f t="shared" si="38"/>
        <v>2003</v>
      </c>
      <c r="B188" s="708"/>
      <c r="C188" s="102"/>
      <c r="D188" s="124">
        <f t="shared" ref="D188:F188" si="39">D171/D170-1</f>
        <v>2.7964408934083806E-2</v>
      </c>
      <c r="E188" s="124">
        <f t="shared" si="39"/>
        <v>-3.2414910858995505E-3</v>
      </c>
      <c r="F188" s="124">
        <f t="shared" si="39"/>
        <v>6.7415730337078594E-2</v>
      </c>
      <c r="G188" s="124">
        <f t="shared" ref="G188:I193" si="40">G171/G170-1</f>
        <v>7.2825354012137522E-2</v>
      </c>
      <c r="H188" s="124">
        <f t="shared" si="40"/>
        <v>-1.8181818181818188E-2</v>
      </c>
      <c r="I188" s="124">
        <f t="shared" si="40"/>
        <v>0</v>
      </c>
      <c r="L188" s="164"/>
      <c r="M188" s="457"/>
      <c r="N188" s="458"/>
    </row>
    <row r="189" spans="1:16" ht="15" x14ac:dyDescent="0.25">
      <c r="A189" s="708">
        <f t="shared" si="38"/>
        <v>2004</v>
      </c>
      <c r="B189" s="708"/>
      <c r="C189" s="102"/>
      <c r="D189" s="124">
        <f t="shared" ref="D189:F189" si="41">D172/D171-1</f>
        <v>4.2571983748454389E-2</v>
      </c>
      <c r="E189" s="124">
        <f t="shared" si="41"/>
        <v>-2.4390243902439046E-3</v>
      </c>
      <c r="F189" s="124">
        <f t="shared" si="41"/>
        <v>3.1578947368421151E-2</v>
      </c>
      <c r="G189" s="124">
        <f t="shared" si="40"/>
        <v>1.2570710245128902E-2</v>
      </c>
      <c r="H189" s="124">
        <f t="shared" si="40"/>
        <v>-2.777777777777779E-2</v>
      </c>
      <c r="I189" s="124">
        <f t="shared" si="40"/>
        <v>0</v>
      </c>
      <c r="L189" s="164"/>
      <c r="M189" s="457"/>
      <c r="N189" s="458"/>
    </row>
    <row r="190" spans="1:16" ht="15" x14ac:dyDescent="0.25">
      <c r="A190" s="708">
        <f t="shared" si="38"/>
        <v>2005</v>
      </c>
      <c r="B190" s="708"/>
      <c r="C190" s="102"/>
      <c r="D190" s="124">
        <f t="shared" ref="D190:F190" si="42">D173/D172-1</f>
        <v>3.7614368010843835E-2</v>
      </c>
      <c r="E190" s="124">
        <f t="shared" si="42"/>
        <v>-1.3854930725346382E-2</v>
      </c>
      <c r="F190" s="124">
        <f t="shared" si="42"/>
        <v>0.1020408163265305</v>
      </c>
      <c r="G190" s="124">
        <f t="shared" si="40"/>
        <v>2.9174425822470429E-2</v>
      </c>
      <c r="H190" s="124">
        <f t="shared" si="40"/>
        <v>-0.23809523809523814</v>
      </c>
      <c r="I190" s="124">
        <f t="shared" si="40"/>
        <v>0</v>
      </c>
      <c r="L190" s="164"/>
      <c r="M190" s="457"/>
      <c r="N190" s="458"/>
    </row>
    <row r="191" spans="1:16" ht="15" x14ac:dyDescent="0.25">
      <c r="A191" s="708">
        <f t="shared" si="38"/>
        <v>2006</v>
      </c>
      <c r="B191" s="708"/>
      <c r="C191" s="102"/>
      <c r="D191" s="124">
        <f t="shared" ref="D191:F191" si="43">D174/D173-1</f>
        <v>2.4820378837361101E-2</v>
      </c>
      <c r="E191" s="124">
        <f t="shared" si="43"/>
        <v>-8.2644628099171058E-4</v>
      </c>
      <c r="F191" s="124">
        <f t="shared" si="43"/>
        <v>8.3333333333333259E-2</v>
      </c>
      <c r="G191" s="124">
        <f t="shared" si="40"/>
        <v>4.7044632086851612E-2</v>
      </c>
      <c r="H191" s="124">
        <f t="shared" si="40"/>
        <v>-3.7499999999999978E-2</v>
      </c>
      <c r="I191" s="124">
        <f t="shared" si="40"/>
        <v>0</v>
      </c>
      <c r="L191" s="164"/>
      <c r="M191" s="457"/>
      <c r="N191" s="458"/>
    </row>
    <row r="192" spans="1:16" ht="15" x14ac:dyDescent="0.25">
      <c r="A192" s="708">
        <f t="shared" si="38"/>
        <v>2007</v>
      </c>
      <c r="B192" s="708"/>
      <c r="C192" s="102"/>
      <c r="D192" s="124">
        <f t="shared" ref="D192:F192" si="44">D175/D174-1</f>
        <v>2.358189929891652E-2</v>
      </c>
      <c r="E192" s="124">
        <f t="shared" si="44"/>
        <v>5.7899090157154109E-3</v>
      </c>
      <c r="F192" s="124">
        <f t="shared" si="44"/>
        <v>-1.7094017094017144E-2</v>
      </c>
      <c r="G192" s="124">
        <f t="shared" si="40"/>
        <v>3.4562211981566726E-2</v>
      </c>
      <c r="H192" s="124">
        <f t="shared" si="40"/>
        <v>-1.2987012987012991E-2</v>
      </c>
      <c r="I192" s="124">
        <f t="shared" si="40"/>
        <v>-4.166666666666663E-2</v>
      </c>
      <c r="L192" s="164"/>
      <c r="M192" s="457"/>
      <c r="N192" s="458"/>
    </row>
    <row r="193" spans="1:15" ht="15" x14ac:dyDescent="0.25">
      <c r="A193" s="708">
        <f t="shared" si="38"/>
        <v>2008</v>
      </c>
      <c r="B193" s="708"/>
      <c r="C193" s="102"/>
      <c r="D193" s="124">
        <f t="shared" ref="D193:F193" si="45">D176/D175-1</f>
        <v>1.8679950186799577E-3</v>
      </c>
      <c r="E193" s="124">
        <f t="shared" si="45"/>
        <v>7.4013157894736725E-3</v>
      </c>
      <c r="F193" s="124">
        <f t="shared" si="45"/>
        <v>0</v>
      </c>
      <c r="G193" s="124">
        <f t="shared" si="40"/>
        <v>6.0133630289532336E-2</v>
      </c>
      <c r="H193" s="124">
        <f t="shared" si="40"/>
        <v>-6.5789473684210509E-2</v>
      </c>
      <c r="I193" s="124">
        <f t="shared" si="40"/>
        <v>-4.3478260869565188E-2</v>
      </c>
      <c r="L193" s="164"/>
      <c r="M193" s="457"/>
      <c r="N193" s="458"/>
    </row>
    <row r="194" spans="1:15" ht="15" x14ac:dyDescent="0.25">
      <c r="A194" s="708">
        <f t="shared" si="38"/>
        <v>2009</v>
      </c>
      <c r="B194" s="708"/>
      <c r="C194" s="102"/>
      <c r="D194" s="124">
        <f t="shared" ref="D194:F194" si="46">D177/D176-1</f>
        <v>1.103169670602866E-2</v>
      </c>
      <c r="E194" s="124">
        <f t="shared" si="46"/>
        <v>4.0816326530612734E-3</v>
      </c>
      <c r="F194" s="124">
        <f t="shared" si="46"/>
        <v>5.2173913043478182E-2</v>
      </c>
      <c r="G194" s="124">
        <f>G177/G176-1</f>
        <v>5.7773109243697274E-3</v>
      </c>
      <c r="H194" s="437"/>
      <c r="I194" s="124">
        <f>I177/I176-1</f>
        <v>0</v>
      </c>
      <c r="L194" s="164"/>
      <c r="M194" s="457"/>
      <c r="N194" s="458"/>
    </row>
    <row r="195" spans="1:15" ht="15" x14ac:dyDescent="0.25">
      <c r="A195" s="708">
        <f t="shared" si="38"/>
        <v>2010</v>
      </c>
      <c r="B195" s="708"/>
      <c r="C195" s="102"/>
      <c r="D195" s="124">
        <f t="shared" ref="D195:F195" si="47">D178/D177-1</f>
        <v>4.6104195481788679E-3</v>
      </c>
      <c r="E195" s="124">
        <f t="shared" si="47"/>
        <v>-4.0650406504064707E-3</v>
      </c>
      <c r="F195" s="124">
        <f t="shared" si="47"/>
        <v>0</v>
      </c>
      <c r="G195" s="124">
        <f>G178/G177-1</f>
        <v>2.6109660574411553E-3</v>
      </c>
      <c r="H195" s="437"/>
      <c r="I195" s="124">
        <f>I178/I177-1</f>
        <v>-9.0909090909090939E-2</v>
      </c>
      <c r="L195" s="164"/>
      <c r="M195" s="457"/>
      <c r="N195" s="458"/>
    </row>
    <row r="196" spans="1:15" ht="15" x14ac:dyDescent="0.25">
      <c r="A196" s="708">
        <f t="shared" si="38"/>
        <v>2011</v>
      </c>
      <c r="B196" s="708"/>
      <c r="C196" s="102"/>
      <c r="D196" s="124">
        <f t="shared" ref="D196:F197" si="48">D179/D178-1</f>
        <v>1.9733822854520522E-2</v>
      </c>
      <c r="E196" s="124">
        <f t="shared" si="48"/>
        <v>2.2857142857142909E-2</v>
      </c>
      <c r="F196" s="124">
        <f t="shared" si="48"/>
        <v>-2.4793388429752095E-2</v>
      </c>
      <c r="G196" s="124">
        <f>G179/G178-1</f>
        <v>1.3541666666666563E-2</v>
      </c>
      <c r="H196" s="437"/>
      <c r="I196" s="124">
        <f>I179/I178-1</f>
        <v>0.10000000000000009</v>
      </c>
      <c r="L196" s="164"/>
      <c r="M196" s="457"/>
      <c r="N196" s="458"/>
    </row>
    <row r="197" spans="1:15" ht="15" x14ac:dyDescent="0.25">
      <c r="A197" s="708">
        <f t="shared" si="38"/>
        <v>2012</v>
      </c>
      <c r="B197" s="708"/>
      <c r="C197" s="420"/>
      <c r="D197" s="124">
        <f t="shared" si="48"/>
        <v>2.2802280228022775E-2</v>
      </c>
      <c r="E197" s="124">
        <f t="shared" si="48"/>
        <v>-7.9808459696728562E-4</v>
      </c>
      <c r="F197" s="124">
        <f t="shared" si="48"/>
        <v>-8.4745762711864181E-3</v>
      </c>
      <c r="G197" s="124">
        <f>G180/G179-1</f>
        <v>1.5416238437822027E-3</v>
      </c>
      <c r="H197" s="437"/>
      <c r="I197" s="124">
        <f>I180/I179-1</f>
        <v>0</v>
      </c>
      <c r="L197" s="164"/>
      <c r="M197" s="457"/>
      <c r="N197" s="458"/>
    </row>
    <row r="198" spans="1:15" ht="15" x14ac:dyDescent="0.25">
      <c r="A198" s="709" t="s">
        <v>126</v>
      </c>
      <c r="B198" s="709"/>
      <c r="C198" s="79"/>
      <c r="D198" s="125">
        <f>'Rate Class Customer Model'!B43-1</f>
        <v>2.1584257885751468E-2</v>
      </c>
      <c r="E198" s="125">
        <f>'Rate Class Customer Model'!C43-1</f>
        <v>1.4491837728831669E-3</v>
      </c>
      <c r="F198" s="125">
        <f>'Rate Class Customer Model'!D43-1</f>
        <v>2.7731305100216375E-2</v>
      </c>
      <c r="G198" s="125">
        <f>'Rate Class Customer Model'!G43-1</f>
        <v>2.7701685519894381E-2</v>
      </c>
      <c r="H198" s="438"/>
      <c r="I198" s="125">
        <f>'Rate Class Customer Model'!I43-1</f>
        <v>-8.6633923554794157E-3</v>
      </c>
      <c r="M198" s="291"/>
      <c r="N198" s="86"/>
    </row>
    <row r="199" spans="1:15" ht="15" x14ac:dyDescent="0.25">
      <c r="I199"/>
      <c r="J199"/>
      <c r="L199" s="86"/>
      <c r="M199" s="291"/>
      <c r="N199" s="86"/>
    </row>
    <row r="200" spans="1:15" ht="15" x14ac:dyDescent="0.2">
      <c r="A200" s="714" t="s">
        <v>414</v>
      </c>
      <c r="B200" s="715"/>
      <c r="C200" s="715"/>
      <c r="D200" s="715"/>
      <c r="E200" s="715"/>
      <c r="F200" s="715"/>
      <c r="G200" s="715"/>
      <c r="H200" s="715"/>
      <c r="I200" s="715"/>
      <c r="J200" s="716"/>
      <c r="K200"/>
      <c r="L200"/>
      <c r="M200"/>
      <c r="N200"/>
      <c r="O200"/>
    </row>
    <row r="201" spans="1:15" ht="15" x14ac:dyDescent="0.2">
      <c r="A201" s="740" t="s">
        <v>105</v>
      </c>
      <c r="B201" s="741"/>
      <c r="C201" s="97"/>
      <c r="D201" s="99" t="str">
        <f t="shared" ref="D201:F201" si="49">D183</f>
        <v xml:space="preserve">Residential </v>
      </c>
      <c r="E201" s="99" t="str">
        <f t="shared" si="49"/>
        <v>GS&lt;50</v>
      </c>
      <c r="F201" s="99" t="str">
        <f t="shared" si="49"/>
        <v>GS&gt;50</v>
      </c>
      <c r="G201" s="99" t="str">
        <f>G183</f>
        <v>Street Lighting</v>
      </c>
      <c r="H201" s="99" t="str">
        <f>H183</f>
        <v>Sentinels</v>
      </c>
      <c r="I201" s="99" t="str">
        <f>I183</f>
        <v>USL</v>
      </c>
      <c r="J201" s="99" t="s">
        <v>9</v>
      </c>
      <c r="L201"/>
      <c r="M201"/>
      <c r="N201"/>
      <c r="O201"/>
    </row>
    <row r="202" spans="1:15" ht="15" x14ac:dyDescent="0.2">
      <c r="A202" s="740" t="s">
        <v>127</v>
      </c>
      <c r="B202" s="742"/>
      <c r="C202" s="742"/>
      <c r="D202" s="742"/>
      <c r="E202" s="742"/>
      <c r="F202" s="742"/>
      <c r="G202" s="742"/>
      <c r="H202" s="742"/>
      <c r="I202" s="742"/>
      <c r="J202" s="741"/>
      <c r="K202"/>
      <c r="L202"/>
      <c r="M202"/>
      <c r="N202"/>
      <c r="O202"/>
    </row>
    <row r="203" spans="1:15" ht="15" x14ac:dyDescent="0.2">
      <c r="A203" s="709">
        <v>2013</v>
      </c>
      <c r="B203" s="709"/>
      <c r="C203" s="110"/>
      <c r="D203" s="126">
        <f>D180*(1+D198)</f>
        <v>6965.1614702650531</v>
      </c>
      <c r="E203" s="126">
        <f t="shared" ref="E203:I203" si="50">E180*(1+E198)</f>
        <v>1253.8143780836497</v>
      </c>
      <c r="F203" s="126">
        <f t="shared" si="50"/>
        <v>120.24456269672531</v>
      </c>
      <c r="G203" s="126">
        <f t="shared" si="50"/>
        <v>2002.9905850782741</v>
      </c>
      <c r="H203" s="439"/>
      <c r="I203" s="126">
        <f t="shared" si="50"/>
        <v>21.809405368179451</v>
      </c>
      <c r="J203" s="126">
        <f>SUM(D203:I203)</f>
        <v>10364.020401491882</v>
      </c>
      <c r="L203"/>
      <c r="M203"/>
      <c r="N203"/>
      <c r="O203"/>
    </row>
    <row r="204" spans="1:15" ht="15" x14ac:dyDescent="0.2">
      <c r="A204" s="709">
        <v>2014</v>
      </c>
      <c r="B204" s="709"/>
      <c r="C204" s="102"/>
      <c r="D204" s="126">
        <f t="shared" ref="D204:F204" si="51">D203*(1+D198)</f>
        <v>7115.4993116551541</v>
      </c>
      <c r="E204" s="126">
        <f t="shared" si="51"/>
        <v>1255.6313855345761</v>
      </c>
      <c r="F204" s="126">
        <f t="shared" si="51"/>
        <v>123.5791013515103</v>
      </c>
      <c r="G204" s="126">
        <f>G203*(1+G198)</f>
        <v>2058.4768003654217</v>
      </c>
      <c r="H204" s="439"/>
      <c r="I204" s="126">
        <f>I203*(1+I198)</f>
        <v>21.620461932435212</v>
      </c>
      <c r="J204" s="126">
        <f>SUM(D204:I204)</f>
        <v>10574.807060839095</v>
      </c>
      <c r="L204"/>
      <c r="M204"/>
      <c r="N204"/>
      <c r="O204"/>
    </row>
    <row r="205" spans="1:15" ht="15" x14ac:dyDescent="0.2">
      <c r="A205" s="740"/>
      <c r="B205" s="742"/>
      <c r="C205" s="742"/>
      <c r="D205" s="742"/>
      <c r="E205" s="742"/>
      <c r="F205" s="742"/>
      <c r="G205" s="742"/>
      <c r="H205" s="742"/>
      <c r="I205" s="742"/>
      <c r="K205"/>
      <c r="L205"/>
      <c r="M205"/>
      <c r="N205"/>
      <c r="O205"/>
    </row>
    <row r="206" spans="1:15" ht="15" x14ac:dyDescent="0.25">
      <c r="A206" s="714" t="s">
        <v>429</v>
      </c>
      <c r="B206" s="715"/>
      <c r="C206" s="715"/>
      <c r="D206" s="715"/>
      <c r="E206" s="715"/>
      <c r="F206" s="715"/>
      <c r="G206" s="715"/>
      <c r="H206" s="715"/>
      <c r="I206" s="716"/>
      <c r="J206"/>
      <c r="K206"/>
      <c r="M206" s="291"/>
      <c r="N206" s="86"/>
    </row>
    <row r="207" spans="1:15" ht="45.75" customHeight="1" x14ac:dyDescent="0.25">
      <c r="A207" s="720" t="s">
        <v>105</v>
      </c>
      <c r="B207" s="720"/>
      <c r="C207" s="98"/>
      <c r="D207" s="77" t="str">
        <f t="shared" ref="D207:F207" si="52">D201</f>
        <v xml:space="preserve">Residential </v>
      </c>
      <c r="E207" s="77" t="str">
        <f t="shared" si="52"/>
        <v>GS&lt;50</v>
      </c>
      <c r="F207" s="77" t="str">
        <f t="shared" si="52"/>
        <v>GS&gt;50</v>
      </c>
      <c r="G207" s="77" t="str">
        <f>G201</f>
        <v>Street Lighting</v>
      </c>
      <c r="H207" s="77" t="str">
        <f>H201</f>
        <v>Sentinels</v>
      </c>
      <c r="I207" s="77" t="str">
        <f>I201</f>
        <v>USL</v>
      </c>
      <c r="J207"/>
      <c r="K207"/>
      <c r="M207" s="291"/>
      <c r="N207" s="86"/>
    </row>
    <row r="208" spans="1:15" ht="15" x14ac:dyDescent="0.25">
      <c r="A208" s="717" t="s">
        <v>128</v>
      </c>
      <c r="B208" s="718"/>
      <c r="C208" s="718"/>
      <c r="D208" s="718"/>
      <c r="E208" s="718"/>
      <c r="F208" s="718"/>
      <c r="G208" s="718"/>
      <c r="H208" s="718"/>
      <c r="I208" s="719"/>
      <c r="J208"/>
      <c r="K208"/>
      <c r="M208" s="291"/>
      <c r="N208" s="86"/>
    </row>
    <row r="209" spans="1:22" ht="15" hidden="1" x14ac:dyDescent="0.25">
      <c r="A209" s="708">
        <f t="shared" ref="A209:A221" si="53">A185</f>
        <v>2000</v>
      </c>
      <c r="B209" s="708"/>
      <c r="C209" s="79"/>
      <c r="D209" s="436"/>
      <c r="E209" s="436"/>
      <c r="F209" s="436"/>
      <c r="G209" s="436"/>
      <c r="H209" s="436"/>
      <c r="I209" s="436"/>
      <c r="M209" s="291"/>
      <c r="N209" s="86"/>
    </row>
    <row r="210" spans="1:22" ht="15" hidden="1" x14ac:dyDescent="0.25">
      <c r="A210" s="708">
        <f t="shared" si="53"/>
        <v>2001</v>
      </c>
      <c r="B210" s="708"/>
      <c r="C210" s="79"/>
      <c r="D210" s="436"/>
      <c r="E210" s="436"/>
      <c r="F210" s="436"/>
      <c r="G210" s="436"/>
      <c r="H210" s="436"/>
      <c r="I210" s="436"/>
      <c r="M210" s="291"/>
      <c r="N210" s="86"/>
    </row>
    <row r="211" spans="1:22" ht="15" hidden="1" x14ac:dyDescent="0.25">
      <c r="A211" s="708">
        <f t="shared" si="53"/>
        <v>2002</v>
      </c>
      <c r="B211" s="708"/>
      <c r="C211" s="79"/>
      <c r="D211" s="436"/>
      <c r="E211" s="436"/>
      <c r="F211" s="436"/>
      <c r="G211" s="436"/>
      <c r="H211" s="436"/>
      <c r="I211" s="436"/>
      <c r="M211" s="291"/>
      <c r="N211" s="86"/>
    </row>
    <row r="212" spans="1:22" ht="15" x14ac:dyDescent="0.25">
      <c r="A212" s="708">
        <f t="shared" si="53"/>
        <v>2003</v>
      </c>
      <c r="B212" s="708"/>
      <c r="C212" s="102"/>
      <c r="D212" s="123">
        <f t="shared" ref="D212:I217" si="54">D75</f>
        <v>10505.752979436471</v>
      </c>
      <c r="E212" s="123">
        <f t="shared" si="54"/>
        <v>28463.758536585367</v>
      </c>
      <c r="F212" s="123">
        <f t="shared" si="54"/>
        <v>742518.16842105263</v>
      </c>
      <c r="G212" s="123">
        <f t="shared" si="54"/>
        <v>555.82912214540124</v>
      </c>
      <c r="H212" s="123">
        <f t="shared" si="54"/>
        <v>1345.1296296296296</v>
      </c>
      <c r="I212" s="123">
        <f t="shared" si="54"/>
        <v>9080.4583333333339</v>
      </c>
      <c r="M212" s="291"/>
      <c r="N212" s="86"/>
    </row>
    <row r="213" spans="1:22" ht="15" x14ac:dyDescent="0.25">
      <c r="A213" s="708">
        <f t="shared" si="53"/>
        <v>2004</v>
      </c>
      <c r="B213" s="708"/>
      <c r="C213" s="102"/>
      <c r="D213" s="123">
        <f t="shared" si="54"/>
        <v>10190.178075228736</v>
      </c>
      <c r="E213" s="123">
        <f t="shared" si="54"/>
        <v>27994.63325183374</v>
      </c>
      <c r="F213" s="123">
        <f t="shared" si="54"/>
        <v>754760.71428571432</v>
      </c>
      <c r="G213" s="123">
        <f t="shared" si="54"/>
        <v>567.77281191806333</v>
      </c>
      <c r="H213" s="123">
        <f t="shared" si="54"/>
        <v>1880.7047619047619</v>
      </c>
      <c r="I213" s="123">
        <f t="shared" si="54"/>
        <v>9080.4583333333339</v>
      </c>
      <c r="M213" s="291"/>
      <c r="N213" s="86"/>
    </row>
    <row r="214" spans="1:22" ht="15" x14ac:dyDescent="0.25">
      <c r="A214" s="708">
        <f t="shared" si="53"/>
        <v>2005</v>
      </c>
      <c r="B214" s="708"/>
      <c r="C214" s="102"/>
      <c r="D214" s="123">
        <f t="shared" si="54"/>
        <v>11102.308131939908</v>
      </c>
      <c r="E214" s="123">
        <f t="shared" si="54"/>
        <v>28495.097520661158</v>
      </c>
      <c r="F214" s="123">
        <f t="shared" si="54"/>
        <v>705219.27777777775</v>
      </c>
      <c r="G214" s="123">
        <f t="shared" si="54"/>
        <v>600.54161640530765</v>
      </c>
      <c r="H214" s="123">
        <f t="shared" si="54"/>
        <v>1522.5374999999999</v>
      </c>
      <c r="I214" s="123">
        <f t="shared" si="54"/>
        <v>9080.4583333333339</v>
      </c>
      <c r="M214" s="291"/>
      <c r="N214" s="86"/>
    </row>
    <row r="215" spans="1:22" ht="15" x14ac:dyDescent="0.25">
      <c r="A215" s="708">
        <f t="shared" si="53"/>
        <v>2006</v>
      </c>
      <c r="B215" s="708"/>
      <c r="C215" s="102"/>
      <c r="D215" s="123">
        <f t="shared" si="54"/>
        <v>10207.687380497133</v>
      </c>
      <c r="E215" s="123">
        <f t="shared" si="54"/>
        <v>25209.29776674938</v>
      </c>
      <c r="F215" s="123">
        <f t="shared" si="54"/>
        <v>677407.79487179487</v>
      </c>
      <c r="G215" s="123">
        <f t="shared" si="54"/>
        <v>644.53398617511516</v>
      </c>
      <c r="H215" s="123">
        <f t="shared" si="54"/>
        <v>1607.9691878183717</v>
      </c>
      <c r="I215" s="123">
        <f t="shared" si="54"/>
        <v>9080.4583333333339</v>
      </c>
      <c r="M215" s="291"/>
      <c r="N215" s="86"/>
    </row>
    <row r="216" spans="1:22" ht="14.25" customHeight="1" x14ac:dyDescent="0.25">
      <c r="A216" s="708">
        <f t="shared" si="53"/>
        <v>2007</v>
      </c>
      <c r="B216" s="708"/>
      <c r="C216" s="102"/>
      <c r="D216" s="123">
        <f t="shared" si="54"/>
        <v>10196.131849315068</v>
      </c>
      <c r="E216" s="123">
        <f t="shared" si="54"/>
        <v>28757.533717105263</v>
      </c>
      <c r="F216" s="123">
        <f t="shared" si="54"/>
        <v>684216.48695652175</v>
      </c>
      <c r="G216" s="123">
        <f t="shared" si="54"/>
        <v>558.00946547884189</v>
      </c>
      <c r="H216" s="123">
        <f t="shared" si="54"/>
        <v>1328.6052631578948</v>
      </c>
      <c r="I216" s="123">
        <f t="shared" si="54"/>
        <v>9475.2608695652179</v>
      </c>
      <c r="M216" s="291"/>
      <c r="N216" s="86"/>
    </row>
    <row r="217" spans="1:22" ht="15" x14ac:dyDescent="0.25">
      <c r="A217" s="708">
        <f t="shared" si="53"/>
        <v>2008</v>
      </c>
      <c r="B217" s="708"/>
      <c r="C217" s="102"/>
      <c r="D217" s="123">
        <f t="shared" si="54"/>
        <v>9785.6862882566056</v>
      </c>
      <c r="E217" s="123">
        <f t="shared" si="54"/>
        <v>28608.279005142511</v>
      </c>
      <c r="F217" s="123">
        <f t="shared" si="54"/>
        <v>647616.05276679632</v>
      </c>
      <c r="G217" s="123">
        <f t="shared" si="54"/>
        <v>588.82261872065794</v>
      </c>
      <c r="H217" s="123">
        <f t="shared" si="54"/>
        <v>920.22408865151669</v>
      </c>
      <c r="I217" s="123">
        <f t="shared" si="54"/>
        <v>9603.5856985040427</v>
      </c>
      <c r="M217" s="291"/>
      <c r="N217" s="86"/>
    </row>
    <row r="218" spans="1:22" ht="15" x14ac:dyDescent="0.25">
      <c r="A218" s="708">
        <f t="shared" si="53"/>
        <v>2009</v>
      </c>
      <c r="B218" s="708"/>
      <c r="C218" s="102"/>
      <c r="D218" s="123">
        <f t="shared" ref="D218:G221" si="55">D81</f>
        <v>9719.4688044135473</v>
      </c>
      <c r="E218" s="123">
        <f t="shared" si="55"/>
        <v>27389.327474991864</v>
      </c>
      <c r="F218" s="123">
        <f t="shared" si="55"/>
        <v>616456.21037275461</v>
      </c>
      <c r="G218" s="123">
        <f t="shared" si="55"/>
        <v>603.59785076209096</v>
      </c>
      <c r="H218" s="436"/>
      <c r="I218" s="123">
        <f>I81</f>
        <v>8949.492558290709</v>
      </c>
      <c r="M218" s="291"/>
      <c r="N218" s="86"/>
    </row>
    <row r="219" spans="1:22" ht="15" x14ac:dyDescent="0.25">
      <c r="A219" s="708">
        <f t="shared" si="53"/>
        <v>2010</v>
      </c>
      <c r="B219" s="708"/>
      <c r="C219" s="102"/>
      <c r="D219" s="123">
        <f t="shared" si="55"/>
        <v>10120.771067532742</v>
      </c>
      <c r="E219" s="123">
        <f t="shared" si="55"/>
        <v>27287.14508935545</v>
      </c>
      <c r="F219" s="123">
        <f t="shared" si="55"/>
        <v>633924.73385714972</v>
      </c>
      <c r="G219" s="123">
        <f t="shared" si="55"/>
        <v>591.45738007628279</v>
      </c>
      <c r="H219" s="436"/>
      <c r="I219" s="123">
        <f>I82</f>
        <v>10882.355917525772</v>
      </c>
      <c r="M219" s="291"/>
      <c r="N219" s="86"/>
    </row>
    <row r="220" spans="1:22" ht="15" x14ac:dyDescent="0.25">
      <c r="A220" s="708">
        <f t="shared" si="53"/>
        <v>2011</v>
      </c>
      <c r="B220" s="708"/>
      <c r="C220" s="102"/>
      <c r="D220" s="123">
        <f t="shared" si="55"/>
        <v>10142.502874287427</v>
      </c>
      <c r="E220" s="123">
        <f t="shared" si="55"/>
        <v>27460.254996009582</v>
      </c>
      <c r="F220" s="123">
        <f t="shared" si="55"/>
        <v>682035.55305084749</v>
      </c>
      <c r="G220" s="123">
        <f t="shared" si="55"/>
        <v>592.91803186022605</v>
      </c>
      <c r="H220" s="436"/>
      <c r="I220" s="123">
        <f>I83</f>
        <v>10790.846363636363</v>
      </c>
      <c r="M220" s="451"/>
      <c r="N220" s="452"/>
      <c r="O220" s="108"/>
      <c r="P220" s="108"/>
      <c r="Q220" s="108"/>
      <c r="R220" s="108"/>
      <c r="S220" s="108"/>
      <c r="T220" s="108"/>
      <c r="U220" s="108"/>
      <c r="V220" s="108"/>
    </row>
    <row r="221" spans="1:22" ht="15" x14ac:dyDescent="0.25">
      <c r="A221" s="708">
        <f t="shared" si="53"/>
        <v>2012</v>
      </c>
      <c r="B221" s="708"/>
      <c r="C221" s="420"/>
      <c r="D221" s="123">
        <f t="shared" si="55"/>
        <v>9854.1634071575245</v>
      </c>
      <c r="E221" s="123">
        <f t="shared" si="55"/>
        <v>28405.89282747604</v>
      </c>
      <c r="F221" s="123">
        <f t="shared" si="55"/>
        <v>677114.53683760681</v>
      </c>
      <c r="G221" s="123">
        <f t="shared" si="55"/>
        <v>596.9543355566957</v>
      </c>
      <c r="H221" s="436"/>
      <c r="I221" s="123">
        <f>I84</f>
        <v>10714.24</v>
      </c>
      <c r="M221" s="451"/>
      <c r="N221" s="452"/>
      <c r="O221" s="108"/>
      <c r="P221" s="108"/>
      <c r="Q221" s="108"/>
      <c r="R221" s="108"/>
      <c r="S221" s="108"/>
      <c r="T221" s="108"/>
      <c r="U221" s="108"/>
      <c r="V221" s="108"/>
    </row>
    <row r="222" spans="1:22" ht="15" x14ac:dyDescent="0.25">
      <c r="A222"/>
      <c r="B222"/>
      <c r="L222" s="291"/>
      <c r="M222" s="452"/>
      <c r="N222" s="452"/>
      <c r="O222" s="108"/>
      <c r="P222" s="108"/>
      <c r="Q222" s="108"/>
      <c r="R222" s="108"/>
      <c r="S222" s="108"/>
      <c r="T222" s="108"/>
    </row>
    <row r="223" spans="1:22" ht="15" x14ac:dyDescent="0.25">
      <c r="A223" s="714" t="s">
        <v>415</v>
      </c>
      <c r="B223" s="715"/>
      <c r="C223" s="715"/>
      <c r="D223" s="715"/>
      <c r="E223" s="715"/>
      <c r="F223" s="715"/>
      <c r="G223" s="715"/>
      <c r="H223" s="715"/>
      <c r="I223" s="716"/>
      <c r="J223"/>
      <c r="K223"/>
      <c r="L223" s="291"/>
      <c r="M223" s="452"/>
      <c r="N223" s="452"/>
      <c r="O223" s="108"/>
      <c r="P223" s="108"/>
      <c r="Q223" s="108"/>
      <c r="R223" s="108"/>
      <c r="S223" s="108"/>
      <c r="T223" s="108"/>
    </row>
    <row r="224" spans="1:22" ht="15" x14ac:dyDescent="0.25">
      <c r="A224" s="720" t="s">
        <v>105</v>
      </c>
      <c r="B224" s="720"/>
      <c r="C224" s="98"/>
      <c r="D224" s="77" t="str">
        <f t="shared" ref="D224:F224" si="56">D207</f>
        <v xml:space="preserve">Residential </v>
      </c>
      <c r="E224" s="77" t="str">
        <f t="shared" si="56"/>
        <v>GS&lt;50</v>
      </c>
      <c r="F224" s="77" t="str">
        <f t="shared" si="56"/>
        <v>GS&gt;50</v>
      </c>
      <c r="G224" s="77" t="str">
        <f>G207</f>
        <v>Street Lighting</v>
      </c>
      <c r="H224" s="77" t="str">
        <f>H207</f>
        <v>Sentinels</v>
      </c>
      <c r="I224" s="77" t="str">
        <f>I207</f>
        <v>USL</v>
      </c>
      <c r="J224"/>
      <c r="K224"/>
      <c r="L224" s="291"/>
      <c r="M224" s="86"/>
      <c r="N224" s="86"/>
    </row>
    <row r="225" spans="1:20" ht="15" x14ac:dyDescent="0.25">
      <c r="A225" s="717" t="s">
        <v>129</v>
      </c>
      <c r="B225" s="718"/>
      <c r="C225" s="718"/>
      <c r="D225" s="718"/>
      <c r="E225" s="718"/>
      <c r="F225" s="718"/>
      <c r="G225" s="718"/>
      <c r="H225" s="718"/>
      <c r="I225" s="719"/>
      <c r="J225"/>
      <c r="K225"/>
      <c r="L225" s="291"/>
      <c r="M225" s="86"/>
      <c r="N225" s="86"/>
    </row>
    <row r="226" spans="1:20" ht="15" hidden="1" x14ac:dyDescent="0.25">
      <c r="A226" s="708">
        <f t="shared" ref="A226:A238" si="57">A209</f>
        <v>2000</v>
      </c>
      <c r="B226" s="708"/>
      <c r="C226" s="79"/>
      <c r="D226" s="442"/>
      <c r="E226" s="442"/>
      <c r="F226" s="442"/>
      <c r="G226" s="442"/>
      <c r="H226" s="442"/>
      <c r="I226" s="442"/>
      <c r="J226"/>
      <c r="K226"/>
      <c r="L226" s="291"/>
      <c r="M226" s="86"/>
      <c r="N226" s="86"/>
    </row>
    <row r="227" spans="1:20" ht="15" hidden="1" x14ac:dyDescent="0.25">
      <c r="A227" s="708">
        <f t="shared" si="57"/>
        <v>2001</v>
      </c>
      <c r="B227" s="708"/>
      <c r="C227" s="79"/>
      <c r="D227" s="437"/>
      <c r="E227" s="437"/>
      <c r="F227" s="437"/>
      <c r="G227" s="437"/>
      <c r="H227" s="437"/>
      <c r="I227" s="437"/>
      <c r="L227" s="291"/>
      <c r="M227" s="459">
        <f t="shared" ref="M227:M237" si="58">SUM(D227:I227)</f>
        <v>0</v>
      </c>
      <c r="N227" s="460">
        <f>'Rate Class Energy Model'!W58</f>
        <v>0</v>
      </c>
      <c r="O227" s="443">
        <f>M227-N227</f>
        <v>0</v>
      </c>
    </row>
    <row r="228" spans="1:20" ht="15" hidden="1" x14ac:dyDescent="0.25">
      <c r="A228" s="708">
        <f t="shared" si="57"/>
        <v>2002</v>
      </c>
      <c r="B228" s="708"/>
      <c r="C228" s="79"/>
      <c r="D228" s="437"/>
      <c r="E228" s="437"/>
      <c r="F228" s="437"/>
      <c r="G228" s="437"/>
      <c r="H228" s="437"/>
      <c r="I228" s="437"/>
      <c r="L228" s="291"/>
      <c r="M228" s="459">
        <f t="shared" si="58"/>
        <v>0</v>
      </c>
      <c r="N228" s="460">
        <f>'Rate Class Energy Model'!W59</f>
        <v>0</v>
      </c>
      <c r="O228" s="443">
        <f t="shared" ref="O228:O239" si="59">M228-N228</f>
        <v>0</v>
      </c>
    </row>
    <row r="229" spans="1:20" ht="15" hidden="1" x14ac:dyDescent="0.25">
      <c r="A229" s="708">
        <f t="shared" si="57"/>
        <v>2003</v>
      </c>
      <c r="B229" s="708"/>
      <c r="C229" s="102"/>
      <c r="D229" s="437"/>
      <c r="E229" s="437"/>
      <c r="F229" s="437"/>
      <c r="G229" s="437"/>
      <c r="H229" s="437"/>
      <c r="I229" s="437"/>
      <c r="L229" s="291"/>
      <c r="M229" s="459">
        <f t="shared" si="58"/>
        <v>0</v>
      </c>
      <c r="N229" s="460">
        <f>'Rate Class Energy Model'!W60</f>
        <v>0</v>
      </c>
      <c r="O229" s="443">
        <f t="shared" si="59"/>
        <v>0</v>
      </c>
    </row>
    <row r="230" spans="1:20" ht="15" x14ac:dyDescent="0.25">
      <c r="A230" s="708">
        <f t="shared" si="57"/>
        <v>2004</v>
      </c>
      <c r="B230" s="708"/>
      <c r="C230" s="102"/>
      <c r="D230" s="124">
        <f t="shared" ref="D230:F230" si="60">D213/D212-1</f>
        <v>-3.003829471580266E-2</v>
      </c>
      <c r="E230" s="124">
        <f t="shared" si="60"/>
        <v>-1.6481494675014363E-2</v>
      </c>
      <c r="F230" s="124">
        <f t="shared" si="60"/>
        <v>1.6487873812832232E-2</v>
      </c>
      <c r="G230" s="124">
        <f t="shared" ref="G230:I234" si="61">G213/G212-1</f>
        <v>2.1488060443039636E-2</v>
      </c>
      <c r="H230" s="124">
        <f t="shared" si="61"/>
        <v>0.3981587502630497</v>
      </c>
      <c r="I230" s="124">
        <f t="shared" si="61"/>
        <v>0</v>
      </c>
      <c r="L230" s="291"/>
      <c r="M230" s="459">
        <f t="shared" si="58"/>
        <v>0.38961489512810454</v>
      </c>
      <c r="N230" s="460">
        <f>'Rate Class Energy Model'!W61</f>
        <v>0.38961489512810399</v>
      </c>
      <c r="O230" s="443">
        <f t="shared" si="59"/>
        <v>5.5511151231257827E-16</v>
      </c>
    </row>
    <row r="231" spans="1:20" ht="15" x14ac:dyDescent="0.25">
      <c r="A231" s="708">
        <f t="shared" si="57"/>
        <v>2005</v>
      </c>
      <c r="B231" s="708"/>
      <c r="C231" s="102"/>
      <c r="D231" s="124">
        <f t="shared" ref="D231:F231" si="62">D214/D213-1</f>
        <v>8.9510708250375437E-2</v>
      </c>
      <c r="E231" s="124">
        <f t="shared" si="62"/>
        <v>1.7877150392553665E-2</v>
      </c>
      <c r="F231" s="124">
        <f t="shared" si="62"/>
        <v>-6.5638599850578183E-2</v>
      </c>
      <c r="G231" s="124">
        <f t="shared" si="61"/>
        <v>5.7714641841591474E-2</v>
      </c>
      <c r="H231" s="124">
        <f t="shared" si="61"/>
        <v>-0.19044310896624372</v>
      </c>
      <c r="I231" s="124">
        <f t="shared" si="61"/>
        <v>0</v>
      </c>
      <c r="L231" s="291"/>
      <c r="M231" s="459">
        <f t="shared" si="58"/>
        <v>-9.0979208332301331E-2</v>
      </c>
      <c r="N231" s="460">
        <f>'Rate Class Energy Model'!W62</f>
        <v>-9.0979208332301553E-2</v>
      </c>
      <c r="O231" s="443">
        <f t="shared" si="59"/>
        <v>2.2204460492503131E-16</v>
      </c>
    </row>
    <row r="232" spans="1:20" ht="15" x14ac:dyDescent="0.25">
      <c r="A232" s="708">
        <f t="shared" si="57"/>
        <v>2006</v>
      </c>
      <c r="B232" s="708"/>
      <c r="C232" s="102"/>
      <c r="D232" s="124">
        <f t="shared" ref="D232:F232" si="63">D215/D214-1</f>
        <v>-8.0579708364341474E-2</v>
      </c>
      <c r="E232" s="124">
        <f t="shared" si="63"/>
        <v>-0.11531105487634563</v>
      </c>
      <c r="F232" s="124">
        <f t="shared" si="63"/>
        <v>-3.943664585236506E-2</v>
      </c>
      <c r="G232" s="124">
        <f t="shared" si="61"/>
        <v>7.3254489893864294E-2</v>
      </c>
      <c r="H232" s="124">
        <f t="shared" si="61"/>
        <v>5.6111384986164081E-2</v>
      </c>
      <c r="I232" s="124">
        <f t="shared" si="61"/>
        <v>0</v>
      </c>
      <c r="L232" s="291"/>
      <c r="M232" s="459">
        <f t="shared" si="58"/>
        <v>-0.10596153421302379</v>
      </c>
      <c r="N232" s="460">
        <f>'Rate Class Energy Model'!W63</f>
        <v>-0.10596153421302379</v>
      </c>
      <c r="O232" s="443">
        <f t="shared" si="59"/>
        <v>0</v>
      </c>
    </row>
    <row r="233" spans="1:20" ht="15" x14ac:dyDescent="0.25">
      <c r="A233" s="708">
        <f t="shared" si="57"/>
        <v>2007</v>
      </c>
      <c r="B233" s="708"/>
      <c r="C233" s="102"/>
      <c r="D233" s="124">
        <f t="shared" ref="D233:F233" si="64">D216/D215-1</f>
        <v>-1.1320420337462833E-3</v>
      </c>
      <c r="E233" s="124">
        <f t="shared" si="64"/>
        <v>0.14075108252463675</v>
      </c>
      <c r="F233" s="124">
        <f t="shared" si="64"/>
        <v>1.0051097929889563E-2</v>
      </c>
      <c r="G233" s="124">
        <f t="shared" si="61"/>
        <v>-0.13424353494489771</v>
      </c>
      <c r="H233" s="124">
        <f t="shared" si="61"/>
        <v>-0.17373711310942885</v>
      </c>
      <c r="I233" s="124">
        <f t="shared" si="61"/>
        <v>4.3478260869565188E-2</v>
      </c>
      <c r="L233" s="291"/>
      <c r="M233" s="459">
        <f t="shared" si="58"/>
        <v>-0.11483224876398135</v>
      </c>
      <c r="N233" s="460">
        <f>'Rate Class Energy Model'!W64</f>
        <v>-0.11483224876398079</v>
      </c>
      <c r="O233" s="443">
        <f t="shared" si="59"/>
        <v>-5.5511151231257827E-16</v>
      </c>
    </row>
    <row r="234" spans="1:20" ht="15" x14ac:dyDescent="0.25">
      <c r="A234" s="708">
        <f t="shared" si="57"/>
        <v>2008</v>
      </c>
      <c r="B234" s="708"/>
      <c r="C234" s="102"/>
      <c r="D234" s="124">
        <f t="shared" ref="D234:F234" si="65">D217/D216-1</f>
        <v>-4.0255026820395057E-2</v>
      </c>
      <c r="E234" s="124">
        <f t="shared" si="65"/>
        <v>-5.1901082141120325E-3</v>
      </c>
      <c r="F234" s="124">
        <f t="shared" si="65"/>
        <v>-5.3492476266581379E-2</v>
      </c>
      <c r="G234" s="124">
        <f t="shared" si="61"/>
        <v>5.5219768029157956E-2</v>
      </c>
      <c r="H234" s="124">
        <f t="shared" si="61"/>
        <v>-0.30737585182804217</v>
      </c>
      <c r="I234" s="124">
        <f t="shared" si="61"/>
        <v>1.3543144690718378E-2</v>
      </c>
      <c r="L234" s="291"/>
      <c r="M234" s="459">
        <f t="shared" si="58"/>
        <v>-0.3375505504092543</v>
      </c>
      <c r="N234" s="460">
        <f>'Rate Class Energy Model'!W65</f>
        <v>-0.33755055040925441</v>
      </c>
      <c r="O234" s="443">
        <f t="shared" si="59"/>
        <v>0</v>
      </c>
    </row>
    <row r="235" spans="1:20" ht="15" x14ac:dyDescent="0.25">
      <c r="A235" s="708">
        <f t="shared" si="57"/>
        <v>2009</v>
      </c>
      <c r="B235" s="708"/>
      <c r="C235" s="102"/>
      <c r="D235" s="124">
        <f t="shared" ref="D235:F235" si="66">D218/D217-1</f>
        <v>-6.7667695338367029E-3</v>
      </c>
      <c r="E235" s="124">
        <f t="shared" si="66"/>
        <v>-4.2608348790625694E-2</v>
      </c>
      <c r="F235" s="124">
        <f t="shared" si="66"/>
        <v>-4.8114685021963477E-2</v>
      </c>
      <c r="G235" s="124">
        <f>G218/G217-1</f>
        <v>2.5092840478063483E-2</v>
      </c>
      <c r="H235" s="437"/>
      <c r="I235" s="124">
        <f>I218/I217-1</f>
        <v>-6.810926259711747E-2</v>
      </c>
      <c r="L235" s="291"/>
      <c r="M235" s="459">
        <f t="shared" si="58"/>
        <v>-0.14050622546547986</v>
      </c>
      <c r="N235" s="460">
        <f>'Rate Class Energy Model'!W66</f>
        <v>-0.14050622546547942</v>
      </c>
      <c r="O235" s="443">
        <f t="shared" si="59"/>
        <v>-4.4408920985006262E-16</v>
      </c>
    </row>
    <row r="236" spans="1:20" ht="15" x14ac:dyDescent="0.2">
      <c r="A236" s="708">
        <f t="shared" si="57"/>
        <v>2010</v>
      </c>
      <c r="B236" s="708"/>
      <c r="C236" s="102"/>
      <c r="D236" s="124">
        <f t="shared" ref="D236:F236" si="67">D219/D218-1</f>
        <v>4.128849746777985E-2</v>
      </c>
      <c r="E236" s="124">
        <f t="shared" si="67"/>
        <v>-3.7307373001295163E-3</v>
      </c>
      <c r="F236" s="124">
        <f t="shared" si="67"/>
        <v>2.8337006247098007E-2</v>
      </c>
      <c r="G236" s="124">
        <f>G219/G218-1</f>
        <v>-2.0113508804711411E-2</v>
      </c>
      <c r="H236" s="437"/>
      <c r="I236" s="124">
        <f>I219/I218-1</f>
        <v>0.21597463170629494</v>
      </c>
      <c r="L236" s="464"/>
      <c r="M236" s="459">
        <f t="shared" si="58"/>
        <v>0.26175588931633187</v>
      </c>
      <c r="N236" s="460">
        <f>'Rate Class Energy Model'!W67</f>
        <v>0.26175588931633165</v>
      </c>
      <c r="O236" s="443">
        <f t="shared" si="59"/>
        <v>0</v>
      </c>
      <c r="P236" s="130"/>
      <c r="Q236" s="130"/>
      <c r="R236" s="130"/>
      <c r="S236" s="130"/>
      <c r="T236" s="130"/>
    </row>
    <row r="237" spans="1:20" ht="15" x14ac:dyDescent="0.2">
      <c r="A237" s="708">
        <f t="shared" si="57"/>
        <v>2011</v>
      </c>
      <c r="B237" s="708"/>
      <c r="C237" s="102"/>
      <c r="D237" s="124">
        <f t="shared" ref="D237:F238" si="68">D220/D219-1</f>
        <v>2.1472481305699898E-3</v>
      </c>
      <c r="E237" s="124">
        <f t="shared" si="68"/>
        <v>6.3440094625970556E-3</v>
      </c>
      <c r="F237" s="124">
        <f t="shared" si="68"/>
        <v>7.5893582667085457E-2</v>
      </c>
      <c r="G237" s="124">
        <f>G220/G219-1</f>
        <v>2.4695807900052547E-3</v>
      </c>
      <c r="H237" s="437"/>
      <c r="I237" s="124">
        <f>I220/I219-1</f>
        <v>-8.4089837332038675E-3</v>
      </c>
      <c r="L237" s="464"/>
      <c r="M237" s="459">
        <f t="shared" si="58"/>
        <v>7.844543731705389E-2</v>
      </c>
      <c r="N237" s="460">
        <f>'Rate Class Energy Model'!W68</f>
        <v>7.8445437317054001E-2</v>
      </c>
      <c r="O237" s="443">
        <f t="shared" si="59"/>
        <v>-1.1102230246251565E-16</v>
      </c>
      <c r="P237" s="130"/>
      <c r="Q237" s="130"/>
      <c r="R237" s="130"/>
      <c r="S237" s="130"/>
      <c r="T237" s="130"/>
    </row>
    <row r="238" spans="1:20" ht="15" x14ac:dyDescent="0.2">
      <c r="A238" s="708">
        <f t="shared" si="57"/>
        <v>2012</v>
      </c>
      <c r="B238" s="708"/>
      <c r="C238" s="420"/>
      <c r="D238" s="124">
        <f t="shared" si="68"/>
        <v>-2.84288277463427E-2</v>
      </c>
      <c r="E238" s="124">
        <f t="shared" si="68"/>
        <v>3.4436600519691885E-2</v>
      </c>
      <c r="F238" s="124">
        <f t="shared" si="68"/>
        <v>-7.2151901630761461E-3</v>
      </c>
      <c r="G238" s="124">
        <f>G221/G220-1</f>
        <v>6.8075239402083376E-3</v>
      </c>
      <c r="H238" s="437"/>
      <c r="I238" s="124">
        <f>I221/I220-1</f>
        <v>-7.0991988074741164E-3</v>
      </c>
      <c r="L238" s="464"/>
      <c r="M238" s="459"/>
      <c r="N238" s="460"/>
      <c r="O238" s="443"/>
      <c r="P238" s="130"/>
      <c r="Q238" s="130"/>
      <c r="R238" s="130"/>
      <c r="S238" s="130"/>
      <c r="T238" s="130"/>
    </row>
    <row r="239" spans="1:20" ht="15" x14ac:dyDescent="0.25">
      <c r="A239" s="709" t="str">
        <f>A198</f>
        <v>Geometric Mean</v>
      </c>
      <c r="B239" s="709"/>
      <c r="C239" s="79"/>
      <c r="D239" s="125">
        <f>'Rate Class Energy Model'!H73-1</f>
        <v>-7.0890823017722981E-3</v>
      </c>
      <c r="E239" s="125">
        <f>'Rate Class Energy Model'!I73-1</f>
        <v>-2.2608890504871582E-4</v>
      </c>
      <c r="F239" s="125">
        <f>'Rate Class Energy Model'!J73-1</f>
        <v>-1.0192907499856241E-2</v>
      </c>
      <c r="G239" s="125">
        <f>'Rate Class Energy Model'!K73-1</f>
        <v>7.9626129683743052E-3</v>
      </c>
      <c r="H239" s="438"/>
      <c r="I239" s="125">
        <f>'Rate Class Energy Model'!M73-1</f>
        <v>1.8553237148728474E-2</v>
      </c>
      <c r="L239" s="291"/>
      <c r="M239" s="459">
        <f>SUM(D239:I239)</f>
        <v>9.0077714104255246E-3</v>
      </c>
      <c r="N239" s="460">
        <f>'Rate Class Energy Model'!W73</f>
        <v>9.0077714104257467E-3</v>
      </c>
      <c r="O239" s="443">
        <f t="shared" si="59"/>
        <v>-2.2204460492503131E-16</v>
      </c>
    </row>
    <row r="240" spans="1:20" ht="15" x14ac:dyDescent="0.25">
      <c r="K240" s="131"/>
      <c r="L240" s="291"/>
      <c r="M240" s="461"/>
      <c r="N240" s="461"/>
      <c r="O240" s="213"/>
    </row>
    <row r="241" spans="1:15" ht="15" customHeight="1" x14ac:dyDescent="0.25">
      <c r="A241" s="714" t="s">
        <v>416</v>
      </c>
      <c r="B241" s="715"/>
      <c r="C241" s="715"/>
      <c r="D241" s="715"/>
      <c r="E241" s="715"/>
      <c r="F241" s="715"/>
      <c r="G241" s="715"/>
      <c r="H241" s="715"/>
      <c r="I241" s="716"/>
      <c r="J241"/>
      <c r="K241"/>
      <c r="L241" s="291"/>
      <c r="M241" s="86" t="str">
        <f>A241</f>
        <v>Table 3.2.13: Forecast Annual kWh Usage per Customer/Connection</v>
      </c>
      <c r="N241" s="86"/>
    </row>
    <row r="242" spans="1:15" ht="48" customHeight="1" x14ac:dyDescent="0.25">
      <c r="A242" s="720" t="s">
        <v>105</v>
      </c>
      <c r="B242" s="720"/>
      <c r="C242" s="98"/>
      <c r="D242" s="77" t="str">
        <f t="shared" ref="D242:F242" si="69">D224</f>
        <v xml:space="preserve">Residential </v>
      </c>
      <c r="E242" s="77" t="str">
        <f t="shared" si="69"/>
        <v>GS&lt;50</v>
      </c>
      <c r="F242" s="77" t="str">
        <f t="shared" si="69"/>
        <v>GS&gt;50</v>
      </c>
      <c r="G242" s="77" t="str">
        <f>G224</f>
        <v>Street Lighting</v>
      </c>
      <c r="H242" s="77" t="str">
        <f>H224</f>
        <v>Sentinels</v>
      </c>
      <c r="I242" s="77" t="str">
        <f>I224</f>
        <v>USL</v>
      </c>
      <c r="L242" s="291"/>
      <c r="M242" s="86"/>
      <c r="N242" s="86"/>
    </row>
    <row r="243" spans="1:15" ht="15" customHeight="1" x14ac:dyDescent="0.25">
      <c r="A243" s="717" t="s">
        <v>130</v>
      </c>
      <c r="B243" s="718"/>
      <c r="C243" s="718"/>
      <c r="D243" s="718"/>
      <c r="E243" s="718"/>
      <c r="F243" s="718"/>
      <c r="G243" s="718"/>
      <c r="H243" s="718"/>
      <c r="I243" s="719"/>
      <c r="J243"/>
      <c r="K243"/>
      <c r="L243" s="291"/>
      <c r="M243" s="86"/>
      <c r="N243" s="86"/>
    </row>
    <row r="244" spans="1:15" ht="15" customHeight="1" x14ac:dyDescent="0.25">
      <c r="A244" s="709">
        <v>2013</v>
      </c>
      <c r="B244" s="709"/>
      <c r="C244" s="110"/>
      <c r="D244" s="126">
        <f>D221*(1+D239)</f>
        <v>9784.3064317490716</v>
      </c>
      <c r="E244" s="126">
        <f t="shared" ref="E244:I244" si="70">E221*(1+E239)</f>
        <v>28399.470570269747</v>
      </c>
      <c r="F244" s="126">
        <f t="shared" si="70"/>
        <v>670212.77099681308</v>
      </c>
      <c r="G244" s="126">
        <f t="shared" si="70"/>
        <v>601.70765189052668</v>
      </c>
      <c r="H244" s="439"/>
      <c r="I244" s="126">
        <f t="shared" si="70"/>
        <v>10913.023835588392</v>
      </c>
      <c r="L244" s="291"/>
      <c r="M244" s="86"/>
      <c r="N244" s="86"/>
    </row>
    <row r="245" spans="1:15" ht="15" customHeight="1" x14ac:dyDescent="0.25">
      <c r="A245" s="709">
        <v>2014</v>
      </c>
      <c r="B245" s="709"/>
      <c r="C245" s="79"/>
      <c r="D245" s="126">
        <f t="shared" ref="D245:F245" si="71">D244*(1+D239)</f>
        <v>9714.9446781886418</v>
      </c>
      <c r="E245" s="126">
        <f t="shared" si="71"/>
        <v>28393.049765064552</v>
      </c>
      <c r="F245" s="126">
        <f t="shared" si="71"/>
        <v>663381.35421682021</v>
      </c>
      <c r="G245" s="126">
        <f>G244*(1+G239)</f>
        <v>606.49881704264021</v>
      </c>
      <c r="H245" s="439"/>
      <c r="I245" s="126">
        <f>I244*(1+I239)</f>
        <v>11115.495754819791</v>
      </c>
      <c r="L245" s="451"/>
      <c r="M245" s="452"/>
      <c r="N245" s="452"/>
      <c r="O245" s="108"/>
    </row>
    <row r="246" spans="1:15" ht="15" x14ac:dyDescent="0.25">
      <c r="H246"/>
      <c r="I246"/>
      <c r="J246"/>
      <c r="L246" s="291"/>
      <c r="M246" s="86"/>
      <c r="N246" s="86"/>
    </row>
    <row r="247" spans="1:15" ht="15" x14ac:dyDescent="0.25">
      <c r="A247" s="714" t="s">
        <v>417</v>
      </c>
      <c r="B247" s="715"/>
      <c r="C247" s="715"/>
      <c r="D247" s="715"/>
      <c r="E247" s="715"/>
      <c r="F247" s="715"/>
      <c r="G247" s="715"/>
      <c r="H247" s="715"/>
      <c r="I247" s="715"/>
      <c r="J247" s="716"/>
      <c r="K247"/>
      <c r="L247" s="291"/>
      <c r="M247" s="86"/>
      <c r="N247" s="86"/>
    </row>
    <row r="248" spans="1:15" ht="15" x14ac:dyDescent="0.25">
      <c r="A248" s="720" t="s">
        <v>105</v>
      </c>
      <c r="B248" s="720"/>
      <c r="C248" s="98"/>
      <c r="D248" s="77" t="str">
        <f t="shared" ref="D248:F248" si="72">D242</f>
        <v xml:space="preserve">Residential </v>
      </c>
      <c r="E248" s="77" t="str">
        <f t="shared" si="72"/>
        <v>GS&lt;50</v>
      </c>
      <c r="F248" s="77" t="str">
        <f t="shared" si="72"/>
        <v>GS&gt;50</v>
      </c>
      <c r="G248" s="77" t="str">
        <f>G242</f>
        <v>Street Lighting</v>
      </c>
      <c r="H248" s="77" t="str">
        <f>H242</f>
        <v>Sentinels</v>
      </c>
      <c r="I248" s="77" t="str">
        <f>I242</f>
        <v>USL</v>
      </c>
      <c r="J248" s="77" t="s">
        <v>9</v>
      </c>
      <c r="K248"/>
      <c r="L248" s="291"/>
      <c r="M248" s="86"/>
      <c r="N248" s="86"/>
    </row>
    <row r="249" spans="1:15" ht="15" x14ac:dyDescent="0.25">
      <c r="A249" s="100" t="s">
        <v>371</v>
      </c>
      <c r="B249" s="100"/>
      <c r="C249" s="100"/>
      <c r="D249" s="100"/>
      <c r="E249" s="100"/>
      <c r="F249" s="100"/>
      <c r="G249" s="100"/>
      <c r="H249" s="100"/>
      <c r="I249" s="100"/>
      <c r="J249" s="100"/>
      <c r="K249" s="531" t="s">
        <v>378</v>
      </c>
      <c r="L249" s="291"/>
      <c r="M249" s="86"/>
      <c r="N249" s="86"/>
    </row>
    <row r="250" spans="1:15" ht="15" x14ac:dyDescent="0.25">
      <c r="A250" s="709" t="s">
        <v>131</v>
      </c>
      <c r="B250" s="709"/>
      <c r="C250" s="79"/>
      <c r="D250" s="126">
        <f t="shared" ref="D250:G251" si="73">D244*D203</f>
        <v>68149274.171685174</v>
      </c>
      <c r="E250" s="126">
        <f t="shared" si="73"/>
        <v>35607664.530967675</v>
      </c>
      <c r="F250" s="126">
        <f t="shared" si="73"/>
        <v>80589441.562272295</v>
      </c>
      <c r="G250" s="126">
        <f t="shared" si="73"/>
        <v>1205214.7617062805</v>
      </c>
      <c r="H250" s="439"/>
      <c r="I250" s="126">
        <f>I244*I203</f>
        <v>238006.56062295177</v>
      </c>
      <c r="J250" s="126">
        <f>SUM(D250:I250)</f>
        <v>185789601.58725438</v>
      </c>
      <c r="K250" s="532">
        <f>J250-'Rate Class Energy Model'!G76</f>
        <v>0</v>
      </c>
      <c r="L250" s="291"/>
      <c r="M250" s="86"/>
      <c r="N250" s="86"/>
    </row>
    <row r="251" spans="1:15" ht="15" x14ac:dyDescent="0.25">
      <c r="A251" s="709" t="s">
        <v>339</v>
      </c>
      <c r="B251" s="709"/>
      <c r="C251" s="79"/>
      <c r="D251" s="126">
        <f t="shared" si="73"/>
        <v>69126682.170419186</v>
      </c>
      <c r="E251" s="126">
        <f t="shared" si="73"/>
        <v>35651204.416060172</v>
      </c>
      <c r="F251" s="126">
        <f t="shared" si="73"/>
        <v>81980071.607462585</v>
      </c>
      <c r="G251" s="126">
        <f t="shared" si="73"/>
        <v>1248463.7443313473</v>
      </c>
      <c r="H251" s="439"/>
      <c r="I251" s="126">
        <f>I245*I204</f>
        <v>240322.1528272265</v>
      </c>
      <c r="J251" s="126">
        <f>SUM(D251:I251)</f>
        <v>188246744.09110054</v>
      </c>
      <c r="K251" s="533">
        <f>J251-'Rate Class Energy Model'!G77</f>
        <v>0</v>
      </c>
      <c r="L251" s="291"/>
      <c r="M251" s="86"/>
      <c r="N251" s="86"/>
    </row>
    <row r="252" spans="1:15" ht="15" x14ac:dyDescent="0.2">
      <c r="A252" s="74"/>
      <c r="B252" s="74"/>
      <c r="C252" s="74"/>
      <c r="D252" s="129"/>
      <c r="E252" s="129"/>
      <c r="F252" s="129"/>
      <c r="G252" s="129"/>
      <c r="H252" s="129"/>
      <c r="I252" s="129"/>
      <c r="J252" s="129"/>
      <c r="K252" s="129"/>
      <c r="L252" s="465"/>
      <c r="M252" s="86"/>
      <c r="N252" s="86"/>
    </row>
    <row r="253" spans="1:15" ht="15" x14ac:dyDescent="0.25">
      <c r="L253" s="291"/>
      <c r="M253" s="86"/>
      <c r="N253" s="86"/>
    </row>
    <row r="254" spans="1:15" ht="15" x14ac:dyDescent="0.25">
      <c r="D254" s="714" t="s">
        <v>418</v>
      </c>
      <c r="E254" s="715"/>
      <c r="F254" s="715"/>
      <c r="G254" s="715"/>
      <c r="H254" s="715"/>
      <c r="I254" s="716"/>
      <c r="J254"/>
      <c r="K254"/>
      <c r="L254" s="291"/>
      <c r="M254" s="86"/>
      <c r="N254" s="86"/>
    </row>
    <row r="255" spans="1:15" ht="15" x14ac:dyDescent="0.25">
      <c r="D255" s="77" t="str">
        <f t="shared" ref="D255:F255" si="74">D248</f>
        <v xml:space="preserve">Residential </v>
      </c>
      <c r="E255" s="77" t="str">
        <f t="shared" si="74"/>
        <v>GS&lt;50</v>
      </c>
      <c r="F255" s="77" t="str">
        <f t="shared" si="74"/>
        <v>GS&gt;50</v>
      </c>
      <c r="G255" s="77" t="str">
        <f>G248</f>
        <v>Street Lighting</v>
      </c>
      <c r="H255" s="77" t="str">
        <f>H248</f>
        <v>Sentinels</v>
      </c>
      <c r="I255" s="77" t="str">
        <f>I248</f>
        <v>USL</v>
      </c>
      <c r="J255"/>
      <c r="K255"/>
      <c r="L255" s="291"/>
      <c r="M255" s="86"/>
      <c r="N255" s="86"/>
    </row>
    <row r="256" spans="1:15" ht="15" x14ac:dyDescent="0.25">
      <c r="D256" s="717" t="s">
        <v>132</v>
      </c>
      <c r="E256" s="718"/>
      <c r="F256" s="718"/>
      <c r="G256" s="718"/>
      <c r="H256" s="718"/>
      <c r="I256" s="719"/>
      <c r="J256"/>
      <c r="K256"/>
      <c r="L256" s="291"/>
      <c r="M256" s="86"/>
      <c r="N256" s="86"/>
    </row>
    <row r="257" spans="2:14" ht="15" x14ac:dyDescent="0.25">
      <c r="D257" s="133">
        <f>'Rate Class Energy Model'!H84</f>
        <v>0.88178909296841312</v>
      </c>
      <c r="E257" s="133">
        <f>'Rate Class Energy Model'!I84</f>
        <v>0.88178909296841312</v>
      </c>
      <c r="F257" s="133">
        <f>'Rate Class Energy Model'!J84</f>
        <v>0.76357818593682636</v>
      </c>
      <c r="G257" s="133">
        <f>'Rate Class Energy Model'!K84</f>
        <v>0</v>
      </c>
      <c r="H257" s="444"/>
      <c r="I257" s="133">
        <f>'Rate Class Energy Model'!M84</f>
        <v>0</v>
      </c>
      <c r="L257" s="291"/>
      <c r="M257" s="86"/>
      <c r="N257" s="86"/>
    </row>
    <row r="258" spans="2:14" ht="15" x14ac:dyDescent="0.25">
      <c r="D258" s="134"/>
      <c r="E258" s="134"/>
      <c r="F258" s="134"/>
      <c r="G258" s="134"/>
      <c r="H258" s="134"/>
      <c r="I258"/>
      <c r="J258"/>
      <c r="L258" s="291"/>
      <c r="M258" s="86"/>
      <c r="N258" s="86"/>
    </row>
    <row r="259" spans="2:14" ht="15" x14ac:dyDescent="0.25">
      <c r="D259" s="731" t="s">
        <v>159</v>
      </c>
      <c r="E259" s="732"/>
      <c r="F259" s="732"/>
      <c r="G259" s="732"/>
      <c r="H259" s="733"/>
      <c r="L259" s="291"/>
      <c r="M259" s="86"/>
      <c r="N259" s="86"/>
    </row>
    <row r="260" spans="2:14" ht="26.25" x14ac:dyDescent="0.25">
      <c r="D260" s="562"/>
      <c r="E260" s="563" t="s">
        <v>133</v>
      </c>
      <c r="F260" s="563" t="s">
        <v>134</v>
      </c>
      <c r="G260" s="563" t="s">
        <v>102</v>
      </c>
      <c r="H260" s="563" t="s">
        <v>103</v>
      </c>
      <c r="L260" s="291"/>
      <c r="M260" s="86"/>
      <c r="N260" s="86"/>
    </row>
    <row r="261" spans="2:14" ht="15" x14ac:dyDescent="0.25">
      <c r="D261" s="564">
        <v>2006</v>
      </c>
      <c r="E261" s="436">
        <f>'DATA-CDM'!B24</f>
        <v>668000</v>
      </c>
      <c r="F261" s="436">
        <f>'DATA-CDM'!C24</f>
        <v>598000</v>
      </c>
      <c r="G261" s="436">
        <f t="shared" ref="G261:G268" si="75">E261-F261</f>
        <v>70000</v>
      </c>
      <c r="H261" s="565">
        <f t="shared" ref="H261:H270" si="76">G261/F261</f>
        <v>0.11705685618729098</v>
      </c>
      <c r="K261" s="72" t="s">
        <v>205</v>
      </c>
      <c r="L261" s="291"/>
      <c r="M261" s="86"/>
      <c r="N261" s="86"/>
    </row>
    <row r="262" spans="2:14" ht="15" x14ac:dyDescent="0.25">
      <c r="D262" s="564">
        <v>2007</v>
      </c>
      <c r="E262" s="436">
        <f>'DATA-CDM'!B25</f>
        <v>2091000</v>
      </c>
      <c r="F262" s="436">
        <f>'DATA-CDM'!C25</f>
        <v>1008000</v>
      </c>
      <c r="G262" s="436">
        <f t="shared" si="75"/>
        <v>1083000</v>
      </c>
      <c r="H262" s="565">
        <f t="shared" si="76"/>
        <v>1.0744047619047619</v>
      </c>
      <c r="L262" s="291"/>
      <c r="M262" s="86"/>
      <c r="N262" s="86"/>
    </row>
    <row r="263" spans="2:14" ht="15" x14ac:dyDescent="0.25">
      <c r="D263" s="564">
        <v>2008</v>
      </c>
      <c r="E263" s="436">
        <f>'DATA-CDM'!B26</f>
        <v>2561000</v>
      </c>
      <c r="F263" s="436">
        <f>'DATA-CDM'!C26</f>
        <v>1672000</v>
      </c>
      <c r="G263" s="436">
        <f t="shared" si="75"/>
        <v>889000</v>
      </c>
      <c r="H263" s="565">
        <f t="shared" si="76"/>
        <v>0.53169856459330145</v>
      </c>
      <c r="L263" s="291"/>
      <c r="M263" s="86"/>
      <c r="N263" s="86"/>
    </row>
    <row r="264" spans="2:14" ht="15" x14ac:dyDescent="0.25">
      <c r="D264" s="564">
        <v>2009</v>
      </c>
      <c r="E264" s="436">
        <f>'DATA-CDM'!B27</f>
        <v>3048000</v>
      </c>
      <c r="F264" s="436">
        <f>'DATA-CDM'!C27</f>
        <v>2056000</v>
      </c>
      <c r="G264" s="436">
        <f t="shared" si="75"/>
        <v>992000</v>
      </c>
      <c r="H264" s="565">
        <f t="shared" si="76"/>
        <v>0.48249027237354086</v>
      </c>
      <c r="L264" s="291"/>
      <c r="M264" s="86"/>
      <c r="N264" s="86"/>
    </row>
    <row r="265" spans="2:14" ht="15" x14ac:dyDescent="0.25">
      <c r="D265" s="564">
        <v>2010</v>
      </c>
      <c r="E265" s="436">
        <f>'DATA-CDM'!B28</f>
        <v>3317000</v>
      </c>
      <c r="F265" s="436">
        <f>'DATA-CDM'!C28</f>
        <v>2111000</v>
      </c>
      <c r="G265" s="436">
        <f t="shared" si="75"/>
        <v>1206000</v>
      </c>
      <c r="H265" s="565">
        <f t="shared" si="76"/>
        <v>0.57129322595926102</v>
      </c>
      <c r="L265" s="291"/>
      <c r="M265" s="86"/>
      <c r="N265" s="86"/>
    </row>
    <row r="266" spans="2:14" ht="15" x14ac:dyDescent="0.25">
      <c r="D266" s="564">
        <v>2011</v>
      </c>
      <c r="E266" s="436">
        <f>'DATA-CDM'!B29</f>
        <v>3111000</v>
      </c>
      <c r="F266" s="436">
        <f>'DATA-CDM'!C29</f>
        <v>1902000</v>
      </c>
      <c r="G266" s="436">
        <f t="shared" si="75"/>
        <v>1209000</v>
      </c>
      <c r="H266" s="565">
        <f t="shared" si="76"/>
        <v>0.63564668769716093</v>
      </c>
      <c r="L266" s="291"/>
      <c r="M266" s="86"/>
      <c r="N266" s="86"/>
    </row>
    <row r="267" spans="2:14" ht="15" x14ac:dyDescent="0.25">
      <c r="D267" s="564">
        <v>2012</v>
      </c>
      <c r="E267" s="436">
        <f>'DATA-CDM'!B30</f>
        <v>3000000</v>
      </c>
      <c r="F267" s="436">
        <f>'DATA-CDM'!C30</f>
        <v>1855000</v>
      </c>
      <c r="G267" s="436">
        <f t="shared" si="75"/>
        <v>1145000</v>
      </c>
      <c r="H267" s="565">
        <f t="shared" si="76"/>
        <v>0.61725067385444743</v>
      </c>
      <c r="L267" s="291"/>
      <c r="M267" s="86"/>
      <c r="N267" s="86"/>
    </row>
    <row r="268" spans="2:14" ht="15" x14ac:dyDescent="0.25">
      <c r="D268" s="564">
        <v>2013</v>
      </c>
      <c r="E268" s="436">
        <f>'DATA-CDM'!B31</f>
        <v>2973000</v>
      </c>
      <c r="F268" s="436">
        <f>'DATA-CDM'!C31</f>
        <v>1841000</v>
      </c>
      <c r="G268" s="436">
        <f t="shared" si="75"/>
        <v>1132000</v>
      </c>
      <c r="H268" s="565">
        <f t="shared" si="76"/>
        <v>0.61488321564367188</v>
      </c>
      <c r="L268" s="291"/>
      <c r="M268" s="86"/>
      <c r="N268" s="86"/>
    </row>
    <row r="269" spans="2:14" ht="15" x14ac:dyDescent="0.25">
      <c r="D269" s="564">
        <v>2014</v>
      </c>
      <c r="E269" s="436">
        <f>'DATA-CDM'!B32</f>
        <v>2760000</v>
      </c>
      <c r="F269" s="436">
        <f>'DATA-CDM'!C32</f>
        <v>1732000</v>
      </c>
      <c r="G269" s="436">
        <f t="shared" ref="G269" si="77">E269-F269</f>
        <v>1028000</v>
      </c>
      <c r="H269" s="565">
        <f t="shared" ref="H269" si="78">G269/F269</f>
        <v>0.59353348729792144</v>
      </c>
      <c r="L269" s="291"/>
      <c r="M269" s="86"/>
      <c r="N269" s="86"/>
    </row>
    <row r="270" spans="2:14" ht="15" x14ac:dyDescent="0.25">
      <c r="D270" s="564" t="s">
        <v>9</v>
      </c>
      <c r="E270" s="436">
        <f>SUM(E261:E269)</f>
        <v>23529000</v>
      </c>
      <c r="F270" s="436">
        <f t="shared" ref="F270:G270" si="79">SUM(F261:F269)</f>
        <v>14775000</v>
      </c>
      <c r="G270" s="436">
        <f t="shared" si="79"/>
        <v>8754000</v>
      </c>
      <c r="H270" s="565">
        <f t="shared" si="76"/>
        <v>0.59248730964467</v>
      </c>
      <c r="L270" s="291"/>
      <c r="M270" s="86"/>
      <c r="N270" s="86"/>
    </row>
    <row r="271" spans="2:14" ht="15" x14ac:dyDescent="0.25">
      <c r="L271" s="291"/>
      <c r="M271" s="86"/>
      <c r="N271" s="86"/>
    </row>
    <row r="272" spans="2:14" ht="15" x14ac:dyDescent="0.25">
      <c r="B272" s="734" t="s">
        <v>419</v>
      </c>
      <c r="C272" s="735"/>
      <c r="D272" s="735"/>
      <c r="E272" s="735"/>
      <c r="F272" s="735"/>
      <c r="G272" s="735"/>
      <c r="H272" s="736"/>
      <c r="L272" s="291"/>
      <c r="M272" s="86"/>
      <c r="N272" s="86"/>
    </row>
    <row r="273" spans="1:19" ht="15" x14ac:dyDescent="0.25">
      <c r="B273" s="729" t="s">
        <v>135</v>
      </c>
      <c r="C273" s="729"/>
      <c r="D273" s="729"/>
      <c r="E273" s="729"/>
      <c r="F273" s="729"/>
      <c r="G273" s="729"/>
      <c r="H273" s="729"/>
      <c r="L273" s="291"/>
      <c r="M273" s="86"/>
      <c r="N273" s="86"/>
    </row>
    <row r="274" spans="1:19" x14ac:dyDescent="0.2">
      <c r="B274" s="737">
        <f>'DATA-CDM'!Q23</f>
        <v>8270000</v>
      </c>
      <c r="C274" s="738"/>
      <c r="D274" s="738"/>
      <c r="E274" s="738"/>
      <c r="F274" s="738"/>
      <c r="G274" s="738"/>
      <c r="H274" s="739"/>
    </row>
    <row r="275" spans="1:19" x14ac:dyDescent="0.2">
      <c r="B275" s="101"/>
      <c r="C275" s="101"/>
      <c r="D275" s="62">
        <v>2011</v>
      </c>
      <c r="E275" s="62">
        <v>2012</v>
      </c>
      <c r="F275" s="62">
        <v>2013</v>
      </c>
      <c r="G275" s="62">
        <v>2014</v>
      </c>
      <c r="H275" s="62" t="s">
        <v>9</v>
      </c>
    </row>
    <row r="276" spans="1:19" x14ac:dyDescent="0.2">
      <c r="B276" s="135" t="s">
        <v>136</v>
      </c>
      <c r="C276" s="101"/>
      <c r="D276" s="118">
        <f>'DATA-CDM'!Q27</f>
        <v>0.12368500604594922</v>
      </c>
      <c r="E276" s="118">
        <f>'DATA-CDM'!R27</f>
        <v>0.12368500604594922</v>
      </c>
      <c r="F276" s="118">
        <f>'DATA-CDM'!S27</f>
        <v>0.12064752116082225</v>
      </c>
      <c r="G276" s="118">
        <f>'DATA-CDM'!T27</f>
        <v>0.10019189842805321</v>
      </c>
      <c r="H276" s="67">
        <f>SUM(D276:G276)</f>
        <v>0.46820943168077389</v>
      </c>
      <c r="L276" s="72" t="s">
        <v>205</v>
      </c>
    </row>
    <row r="277" spans="1:19" x14ac:dyDescent="0.2">
      <c r="B277" s="135" t="s">
        <v>137</v>
      </c>
      <c r="C277" s="101"/>
      <c r="D277" s="67"/>
      <c r="E277" s="67">
        <f>'DATA-CDM'!R28</f>
        <v>0.1062304715840387</v>
      </c>
      <c r="F277" s="67">
        <f>'DATA-CDM'!S28</f>
        <v>0.1062304715840387</v>
      </c>
      <c r="G277" s="67">
        <f>'DATA-CDM'!T28</f>
        <v>0.10520906892382104</v>
      </c>
      <c r="H277" s="67">
        <f>SUM(D277:G277)</f>
        <v>0.31767001209189843</v>
      </c>
    </row>
    <row r="278" spans="1:19" x14ac:dyDescent="0.2">
      <c r="B278" s="135" t="s">
        <v>138</v>
      </c>
      <c r="C278" s="101"/>
      <c r="D278" s="68"/>
      <c r="E278" s="67"/>
      <c r="F278" s="67">
        <f>'DATA-CDM'!S29</f>
        <v>7.1373518742442563E-2</v>
      </c>
      <c r="G278" s="67">
        <f>'DATA-CDM'!T29</f>
        <v>7.1373518742442563E-2</v>
      </c>
      <c r="H278" s="67">
        <f>SUM(D278:G278)</f>
        <v>0.14274703748488513</v>
      </c>
      <c r="L278" s="72" t="s">
        <v>445</v>
      </c>
    </row>
    <row r="279" spans="1:19" x14ac:dyDescent="0.2">
      <c r="B279" s="135" t="s">
        <v>139</v>
      </c>
      <c r="C279" s="101"/>
      <c r="D279" s="68"/>
      <c r="E279" s="68"/>
      <c r="F279" s="67"/>
      <c r="G279" s="67">
        <f>'DATA-CDM'!T30</f>
        <v>7.1373518742442563E-2</v>
      </c>
      <c r="H279" s="67">
        <f>SUM(D279:G279)</f>
        <v>7.1373518742442563E-2</v>
      </c>
    </row>
    <row r="280" spans="1:19" x14ac:dyDescent="0.2">
      <c r="B280" s="135"/>
      <c r="C280" s="101"/>
      <c r="D280" s="67">
        <f>SUM(D276:D279)</f>
        <v>0.12368500604594922</v>
      </c>
      <c r="E280" s="67">
        <f>SUM(E276:E279)</f>
        <v>0.22991547762998793</v>
      </c>
      <c r="F280" s="67">
        <f>SUM(F276:F279)</f>
        <v>0.2982515114873035</v>
      </c>
      <c r="G280" s="67">
        <f>SUM(G276:G279)</f>
        <v>0.34814800483675939</v>
      </c>
      <c r="H280" s="67">
        <f>SUM(D280:G280)</f>
        <v>1</v>
      </c>
      <c r="K280" s="479"/>
      <c r="L280" s="480" t="s">
        <v>435</v>
      </c>
      <c r="M280" s="481"/>
      <c r="N280" s="480"/>
      <c r="O280" s="482"/>
      <c r="P280" s="482"/>
      <c r="Q280" s="482"/>
      <c r="R280" s="482"/>
    </row>
    <row r="281" spans="1:19" x14ac:dyDescent="0.2">
      <c r="B281" s="729" t="s">
        <v>140</v>
      </c>
      <c r="C281" s="729"/>
      <c r="D281" s="729"/>
      <c r="E281" s="729"/>
      <c r="F281" s="729"/>
      <c r="G281" s="729"/>
      <c r="H281" s="729"/>
      <c r="K281" s="479"/>
      <c r="L281" s="483" t="s">
        <v>363</v>
      </c>
      <c r="M281" s="483" t="s">
        <v>152</v>
      </c>
      <c r="N281" s="483" t="s">
        <v>153</v>
      </c>
      <c r="O281" s="482" t="s">
        <v>364</v>
      </c>
      <c r="P281" s="482" t="s">
        <v>365</v>
      </c>
      <c r="Q281" s="482" t="s">
        <v>155</v>
      </c>
      <c r="R281" s="482" t="s">
        <v>9</v>
      </c>
    </row>
    <row r="282" spans="1:19" ht="15" x14ac:dyDescent="0.25">
      <c r="B282" s="135" t="s">
        <v>136</v>
      </c>
      <c r="C282" s="101"/>
      <c r="D282" s="64">
        <f>'DATA-CDM'!Q33</f>
        <v>1022875</v>
      </c>
      <c r="E282" s="448">
        <f>'DATA-CDM'!R33</f>
        <v>1022875</v>
      </c>
      <c r="F282" s="448">
        <f>'DATA-CDM'!S33</f>
        <v>997755</v>
      </c>
      <c r="G282" s="448">
        <f>'DATA-CDM'!T33</f>
        <v>828587</v>
      </c>
      <c r="H282" s="64">
        <f>SUM(D282:G282)</f>
        <v>3872092</v>
      </c>
      <c r="K282" s="480" t="s">
        <v>136</v>
      </c>
      <c r="L282" s="606">
        <f>[13]Breakdown!$B$51</f>
        <v>0.21</v>
      </c>
      <c r="M282" s="606">
        <f>[13]Breakdown!$C$51</f>
        <v>0.56999999999999995</v>
      </c>
      <c r="N282" s="606">
        <f>[13]Breakdown!$D$51</f>
        <v>0.22</v>
      </c>
      <c r="O282" s="607">
        <v>0</v>
      </c>
      <c r="P282" s="608"/>
      <c r="Q282" s="607">
        <v>0</v>
      </c>
      <c r="R282" s="606">
        <f>SUM(L282:Q282)</f>
        <v>0.99999999999999989</v>
      </c>
    </row>
    <row r="283" spans="1:19" ht="15" x14ac:dyDescent="0.25">
      <c r="B283" s="135" t="s">
        <v>137</v>
      </c>
      <c r="C283" s="101"/>
      <c r="D283" s="64"/>
      <c r="E283" s="448">
        <f>'DATA-CDM'!R34</f>
        <v>878526</v>
      </c>
      <c r="F283" s="448">
        <f>'DATA-CDM'!S34</f>
        <v>878526</v>
      </c>
      <c r="G283" s="448">
        <f>'DATA-CDM'!T34</f>
        <v>870079</v>
      </c>
      <c r="H283" s="64">
        <f>SUM(D283:G283)</f>
        <v>2627131</v>
      </c>
      <c r="K283" s="480" t="s">
        <v>137</v>
      </c>
      <c r="L283" s="606">
        <f>[13]Breakdown!$B$53</f>
        <v>0.14000000000000001</v>
      </c>
      <c r="M283" s="606">
        <f>[13]Breakdown!$C$53</f>
        <v>0.37</v>
      </c>
      <c r="N283" s="606">
        <f>[13]Breakdown!$D$53</f>
        <v>0.49</v>
      </c>
      <c r="O283" s="607">
        <f t="shared" ref="O283:O285" si="80">O282</f>
        <v>0</v>
      </c>
      <c r="P283" s="608"/>
      <c r="Q283" s="607">
        <v>0</v>
      </c>
      <c r="R283" s="606">
        <f t="shared" ref="R283:R285" si="81">SUM(L283:Q283)</f>
        <v>1</v>
      </c>
    </row>
    <row r="284" spans="1:19" ht="15" x14ac:dyDescent="0.25">
      <c r="B284" s="135" t="s">
        <v>138</v>
      </c>
      <c r="C284" s="101"/>
      <c r="D284" s="64"/>
      <c r="E284" s="64"/>
      <c r="F284" s="448">
        <f>'DATA-CDM'!S35</f>
        <v>590259</v>
      </c>
      <c r="G284" s="448">
        <f>'DATA-CDM'!T35</f>
        <v>590259</v>
      </c>
      <c r="H284" s="64">
        <f>SUM(D284:G284)</f>
        <v>1180518</v>
      </c>
      <c r="K284" s="480" t="s">
        <v>138</v>
      </c>
      <c r="L284" s="606">
        <f>[13]Breakdown!$B$55</f>
        <v>0.14000000000000001</v>
      </c>
      <c r="M284" s="606">
        <f>[13]Breakdown!$C$55</f>
        <v>0.37</v>
      </c>
      <c r="N284" s="606">
        <f>[13]Breakdown!$D$55</f>
        <v>0.49</v>
      </c>
      <c r="O284" s="607">
        <f t="shared" si="80"/>
        <v>0</v>
      </c>
      <c r="P284" s="608"/>
      <c r="Q284" s="607">
        <v>0</v>
      </c>
      <c r="R284" s="606">
        <f t="shared" si="81"/>
        <v>1</v>
      </c>
      <c r="S284" s="480" t="s">
        <v>436</v>
      </c>
    </row>
    <row r="285" spans="1:19" ht="15" x14ac:dyDescent="0.25">
      <c r="B285" s="135" t="s">
        <v>139</v>
      </c>
      <c r="C285" s="101"/>
      <c r="D285" s="64"/>
      <c r="E285" s="64"/>
      <c r="F285" s="64"/>
      <c r="G285" s="448">
        <f>'DATA-CDM'!T36</f>
        <v>590259</v>
      </c>
      <c r="H285" s="64">
        <f>SUM(D285:G285)</f>
        <v>590259</v>
      </c>
      <c r="K285" s="480" t="s">
        <v>139</v>
      </c>
      <c r="L285" s="606">
        <f>[13]Breakdown!$B$57</f>
        <v>0.14000000000000001</v>
      </c>
      <c r="M285" s="606">
        <f>[13]Breakdown!$C$57</f>
        <v>0.37</v>
      </c>
      <c r="N285" s="606">
        <f>[13]Breakdown!$D$57</f>
        <v>0.49</v>
      </c>
      <c r="O285" s="607">
        <f t="shared" si="80"/>
        <v>0</v>
      </c>
      <c r="P285" s="608"/>
      <c r="Q285" s="607">
        <v>0</v>
      </c>
      <c r="R285" s="606">
        <f t="shared" si="81"/>
        <v>1</v>
      </c>
      <c r="S285" s="480" t="s">
        <v>436</v>
      </c>
    </row>
    <row r="286" spans="1:19" x14ac:dyDescent="0.2">
      <c r="B286" s="101"/>
      <c r="C286" s="101"/>
      <c r="D286" s="64">
        <f>SUM(D282:D285)</f>
        <v>1022875</v>
      </c>
      <c r="E286" s="64">
        <f>SUM(E282:E285)</f>
        <v>1901401</v>
      </c>
      <c r="F286" s="64">
        <f>SUM(F282:F285)</f>
        <v>2466540</v>
      </c>
      <c r="G286" s="64">
        <f>SUM(G282:G285)</f>
        <v>2879184</v>
      </c>
      <c r="H286" s="64">
        <f>SUM(D286:G286)</f>
        <v>8270000</v>
      </c>
    </row>
    <row r="287" spans="1:19" ht="15" x14ac:dyDescent="0.25">
      <c r="G287" s="588"/>
      <c r="M287" s="86"/>
      <c r="N287" s="291"/>
    </row>
    <row r="288" spans="1:19" ht="15" x14ac:dyDescent="0.25">
      <c r="A288" s="101"/>
      <c r="B288" s="714" t="s">
        <v>420</v>
      </c>
      <c r="C288" s="715"/>
      <c r="D288" s="715"/>
      <c r="E288" s="715"/>
      <c r="F288" s="715"/>
      <c r="G288" s="715"/>
      <c r="H288" s="715"/>
      <c r="I288" s="715"/>
      <c r="J288" s="716"/>
      <c r="K288"/>
      <c r="L288"/>
      <c r="M288" s="86"/>
      <c r="N288" s="291"/>
    </row>
    <row r="289" spans="1:14" ht="15" x14ac:dyDescent="0.25">
      <c r="A289" s="136"/>
      <c r="B289" s="136"/>
      <c r="C289" s="98"/>
      <c r="D289" s="77" t="str">
        <f>D248</f>
        <v xml:space="preserve">Residential </v>
      </c>
      <c r="E289" s="77" t="str">
        <f t="shared" ref="E289:F289" si="82">E248</f>
        <v>GS&lt;50</v>
      </c>
      <c r="F289" s="77" t="str">
        <f t="shared" si="82"/>
        <v>GS&gt;50</v>
      </c>
      <c r="G289" s="77" t="str">
        <f>G248</f>
        <v>Street Lighting</v>
      </c>
      <c r="H289" s="77" t="str">
        <f>H248</f>
        <v>Sentinels</v>
      </c>
      <c r="I289" s="77" t="str">
        <f>I248</f>
        <v>USL</v>
      </c>
      <c r="J289" s="77" t="str">
        <f>J248</f>
        <v>Total</v>
      </c>
      <c r="K289" s="474" t="s">
        <v>256</v>
      </c>
      <c r="M289" s="86"/>
      <c r="N289" s="291"/>
    </row>
    <row r="290" spans="1:14" ht="15" x14ac:dyDescent="0.25">
      <c r="A290" s="101"/>
      <c r="B290" s="79" t="s">
        <v>140</v>
      </c>
      <c r="C290" s="102"/>
      <c r="D290" s="127">
        <f>$G282*L282+$G283*L283+$G284*L284+$G285*L285</f>
        <v>461086.85000000003</v>
      </c>
      <c r="E290" s="127">
        <f>$G282*M282+$G283*M283+$G284*M284+$G285*M285</f>
        <v>1231015.48</v>
      </c>
      <c r="F290" s="127">
        <f>$G282*N282+$G283*N283+$G284*N284+$G285*N285</f>
        <v>1187081.67</v>
      </c>
      <c r="G290" s="127">
        <f>$G282*O282+$G283*O283+$G284*O284+$G285*O285</f>
        <v>0</v>
      </c>
      <c r="H290" s="449"/>
      <c r="I290" s="127">
        <f>$G282*Q282+$G283*Q283+$G284*Q284+$G285*Q285</f>
        <v>0</v>
      </c>
      <c r="J290" s="127">
        <f>SUM(D290:I290)</f>
        <v>2879184</v>
      </c>
      <c r="K290" s="475">
        <f>J290-G286</f>
        <v>0</v>
      </c>
      <c r="M290" s="86"/>
      <c r="N290" s="291"/>
    </row>
    <row r="291" spans="1:14" ht="15" x14ac:dyDescent="0.25">
      <c r="A291" s="101"/>
      <c r="B291" s="79" t="s">
        <v>141</v>
      </c>
      <c r="C291" s="102"/>
      <c r="D291" s="132"/>
      <c r="E291" s="132"/>
      <c r="F291" s="127">
        <f>[13]Breakdown!$D$62+[13]Breakdown!$D$64+[13]Breakdown!$D$66+[13]Breakdown!$D$68</f>
        <v>1104.1599999999999</v>
      </c>
      <c r="G291" s="127">
        <f>G290*'Rate Class Load Model'!C34</f>
        <v>0</v>
      </c>
      <c r="H291" s="449"/>
      <c r="I291" s="127"/>
      <c r="J291" s="127">
        <f>SUM(D291:I291)</f>
        <v>1104.1599999999999</v>
      </c>
      <c r="M291" s="86"/>
      <c r="N291" s="291" t="s">
        <v>189</v>
      </c>
    </row>
    <row r="292" spans="1:14" ht="15" x14ac:dyDescent="0.25">
      <c r="M292" s="86"/>
      <c r="N292" s="291"/>
    </row>
    <row r="293" spans="1:14" ht="15" x14ac:dyDescent="0.25">
      <c r="A293" s="714" t="s">
        <v>421</v>
      </c>
      <c r="B293" s="715"/>
      <c r="C293" s="715"/>
      <c r="D293" s="715"/>
      <c r="E293" s="715"/>
      <c r="F293" s="715"/>
      <c r="G293" s="715"/>
      <c r="H293" s="715"/>
      <c r="I293" s="715"/>
      <c r="J293" s="716"/>
      <c r="K293"/>
      <c r="L293"/>
      <c r="M293" s="86"/>
      <c r="N293" s="291"/>
    </row>
    <row r="294" spans="1:14" ht="15" x14ac:dyDescent="0.25">
      <c r="A294" s="720" t="s">
        <v>105</v>
      </c>
      <c r="B294" s="720"/>
      <c r="C294" s="98"/>
      <c r="D294" s="77" t="str">
        <f t="shared" ref="D294:F294" si="83">D255</f>
        <v xml:space="preserve">Residential </v>
      </c>
      <c r="E294" s="77" t="str">
        <f t="shared" si="83"/>
        <v>GS&lt;50</v>
      </c>
      <c r="F294" s="77" t="str">
        <f t="shared" si="83"/>
        <v>GS&gt;50</v>
      </c>
      <c r="G294" s="77" t="str">
        <f>G255</f>
        <v>Street Lighting</v>
      </c>
      <c r="H294" s="77" t="str">
        <f>H255</f>
        <v>Sentinels</v>
      </c>
      <c r="I294" s="77" t="str">
        <f>I255</f>
        <v>USL</v>
      </c>
      <c r="J294" s="77" t="str">
        <f>J289</f>
        <v>Total</v>
      </c>
      <c r="K294"/>
      <c r="L294"/>
      <c r="M294" s="86"/>
      <c r="N294" s="291"/>
    </row>
    <row r="295" spans="1:14" ht="15" x14ac:dyDescent="0.25">
      <c r="A295" s="717" t="s">
        <v>342</v>
      </c>
      <c r="B295" s="718"/>
      <c r="C295" s="718"/>
      <c r="D295" s="718"/>
      <c r="E295" s="718"/>
      <c r="F295" s="718"/>
      <c r="G295" s="718"/>
      <c r="H295" s="718"/>
      <c r="I295" s="718"/>
      <c r="J295" s="719"/>
      <c r="K295"/>
      <c r="L295"/>
      <c r="M295" s="86"/>
      <c r="N295" s="291"/>
    </row>
    <row r="296" spans="1:14" ht="15" x14ac:dyDescent="0.25">
      <c r="A296" s="79" t="s">
        <v>340</v>
      </c>
      <c r="B296" s="102"/>
      <c r="C296" s="102"/>
      <c r="D296" s="126">
        <f>D250</f>
        <v>68149274.171685174</v>
      </c>
      <c r="E296" s="126">
        <f t="shared" ref="E296:F296" si="84">E250</f>
        <v>35607664.530967675</v>
      </c>
      <c r="F296" s="126">
        <f t="shared" si="84"/>
        <v>80589441.562272295</v>
      </c>
      <c r="G296" s="126">
        <f>G250</f>
        <v>1205214.7617062805</v>
      </c>
      <c r="H296" s="439"/>
      <c r="I296" s="126">
        <f>I250</f>
        <v>238006.56062295177</v>
      </c>
      <c r="J296" s="126">
        <f>SUM(D296:I296)</f>
        <v>185789601.58725438</v>
      </c>
      <c r="K296"/>
      <c r="L296"/>
      <c r="M296" s="86"/>
      <c r="N296" s="291"/>
    </row>
    <row r="297" spans="1:14" ht="15" x14ac:dyDescent="0.25">
      <c r="A297" s="79" t="s">
        <v>341</v>
      </c>
      <c r="B297" s="102"/>
      <c r="C297" s="102"/>
      <c r="D297" s="126">
        <f>D251</f>
        <v>69126682.170419186</v>
      </c>
      <c r="E297" s="126">
        <f t="shared" ref="E297:F297" si="85">E251</f>
        <v>35651204.416060172</v>
      </c>
      <c r="F297" s="126">
        <f t="shared" si="85"/>
        <v>81980071.607462585</v>
      </c>
      <c r="G297" s="126">
        <f>G251</f>
        <v>1248463.7443313473</v>
      </c>
      <c r="H297" s="439"/>
      <c r="I297" s="126">
        <f>I251</f>
        <v>240322.1528272265</v>
      </c>
      <c r="J297" s="126">
        <f>SUM(D297:I297)</f>
        <v>188246744.09110054</v>
      </c>
      <c r="K297"/>
      <c r="L297"/>
      <c r="M297" s="86"/>
      <c r="N297" s="291"/>
    </row>
    <row r="298" spans="1:14" ht="15" x14ac:dyDescent="0.25">
      <c r="A298" s="717" t="s">
        <v>343</v>
      </c>
      <c r="B298" s="718"/>
      <c r="C298" s="718"/>
      <c r="D298" s="718"/>
      <c r="E298" s="718"/>
      <c r="F298" s="718"/>
      <c r="G298" s="718"/>
      <c r="H298" s="718"/>
      <c r="I298" s="718"/>
      <c r="J298" s="719"/>
      <c r="K298"/>
      <c r="L298"/>
      <c r="M298" s="86"/>
      <c r="N298" s="291"/>
    </row>
    <row r="299" spans="1:14" ht="15" x14ac:dyDescent="0.25">
      <c r="A299" s="730">
        <f>A244</f>
        <v>2013</v>
      </c>
      <c r="B299" s="730"/>
      <c r="C299" s="110"/>
      <c r="D299" s="126">
        <f>'Rate Class Energy Model'!H89</f>
        <v>-1704842.7536278646</v>
      </c>
      <c r="E299" s="126">
        <f>'Rate Class Energy Model'!I89</f>
        <v>-890772.05277784506</v>
      </c>
      <c r="F299" s="126">
        <f>'Rate Class Energy Model'!J89</f>
        <v>-1745782.0744231478</v>
      </c>
      <c r="G299" s="126">
        <f>'Rate Class Energy Model'!K89</f>
        <v>0</v>
      </c>
      <c r="H299" s="439"/>
      <c r="I299" s="126">
        <f>'Rate Class Energy Model'!M89</f>
        <v>0</v>
      </c>
      <c r="J299" s="126">
        <f>SUM(D299:I299)</f>
        <v>-4341396.8808288574</v>
      </c>
      <c r="K299"/>
      <c r="L299"/>
      <c r="M299" s="86"/>
      <c r="N299" s="291"/>
    </row>
    <row r="300" spans="1:14" ht="15" x14ac:dyDescent="0.25">
      <c r="A300" s="730">
        <f>A245</f>
        <v>2014</v>
      </c>
      <c r="B300" s="730"/>
      <c r="C300" s="102"/>
      <c r="D300" s="126">
        <f>'Rate Class Energy Model'!H90</f>
        <v>-1119320.760406872</v>
      </c>
      <c r="E300" s="126">
        <f>'Rate Class Energy Model'!I90</f>
        <v>-577275.40196456271</v>
      </c>
      <c r="F300" s="126">
        <f>'Rate Class Energy Model'!J90</f>
        <v>-1149491.9377255957</v>
      </c>
      <c r="G300" s="126">
        <f>'Rate Class Energy Model'!K90</f>
        <v>0</v>
      </c>
      <c r="H300" s="439"/>
      <c r="I300" s="126">
        <f>'Rate Class Energy Model'!M90</f>
        <v>0</v>
      </c>
      <c r="J300" s="126">
        <f>SUM(D300:I300)</f>
        <v>-2846088.1000970304</v>
      </c>
      <c r="K300"/>
      <c r="L300"/>
      <c r="M300" s="86"/>
      <c r="N300" s="291"/>
    </row>
    <row r="301" spans="1:14" ht="15" customHeight="1" x14ac:dyDescent="0.25">
      <c r="A301" s="717" t="s">
        <v>430</v>
      </c>
      <c r="B301" s="718"/>
      <c r="C301" s="718"/>
      <c r="D301" s="718"/>
      <c r="E301" s="718"/>
      <c r="F301" s="718"/>
      <c r="G301" s="718"/>
      <c r="H301" s="718"/>
      <c r="I301" s="718"/>
      <c r="J301" s="719"/>
      <c r="K301"/>
      <c r="L301"/>
      <c r="M301" s="86"/>
      <c r="N301" s="291"/>
    </row>
    <row r="302" spans="1:14" ht="15" x14ac:dyDescent="0.25">
      <c r="A302" s="730">
        <f>A299</f>
        <v>2013</v>
      </c>
      <c r="B302" s="730"/>
      <c r="C302" s="102"/>
      <c r="D302" s="126">
        <f>'Rate Class Energy Model'!H93</f>
        <v>-73439.25</v>
      </c>
      <c r="E302" s="126">
        <f>'Rate Class Energy Model'!I93</f>
        <v>-514074.74999999994</v>
      </c>
      <c r="F302" s="126">
        <f>'Rate Class Energy Model'!J93</f>
        <v>-146878.5</v>
      </c>
      <c r="G302" s="126">
        <f>'Rate Class Energy Model'!K93</f>
        <v>0</v>
      </c>
      <c r="H302" s="439"/>
      <c r="I302" s="126">
        <f>'Rate Class Energy Model'!M93</f>
        <v>0</v>
      </c>
      <c r="J302" s="126">
        <f>SUM(D302:I302)</f>
        <v>-734392.5</v>
      </c>
      <c r="K302"/>
      <c r="L302"/>
      <c r="M302" s="86"/>
      <c r="N302" s="291"/>
    </row>
    <row r="303" spans="1:14" ht="15" x14ac:dyDescent="0.25">
      <c r="A303" s="730">
        <f>A300</f>
        <v>2014</v>
      </c>
      <c r="B303" s="730"/>
      <c r="C303" s="102"/>
      <c r="D303" s="126">
        <f>'Rate Class Energy Model'!H94</f>
        <v>-132042.80000000002</v>
      </c>
      <c r="E303" s="126">
        <f>'Rate Class Energy Model'!I94</f>
        <v>-924299.6</v>
      </c>
      <c r="F303" s="126">
        <f>'Rate Class Energy Model'!J94</f>
        <v>-264085.60000000003</v>
      </c>
      <c r="G303" s="126">
        <f>'Rate Class Energy Model'!K94</f>
        <v>0</v>
      </c>
      <c r="H303" s="439"/>
      <c r="I303" s="126">
        <f>'Rate Class Energy Model'!M94</f>
        <v>0</v>
      </c>
      <c r="J303" s="126">
        <f>SUM(D303:I303)</f>
        <v>-1320428</v>
      </c>
      <c r="K303"/>
      <c r="L303"/>
      <c r="M303" s="86"/>
      <c r="N303" s="291"/>
    </row>
    <row r="304" spans="1:14" ht="15" x14ac:dyDescent="0.25">
      <c r="A304" s="717" t="s">
        <v>431</v>
      </c>
      <c r="B304" s="718"/>
      <c r="C304" s="718"/>
      <c r="D304" s="718"/>
      <c r="E304" s="718"/>
      <c r="F304" s="718"/>
      <c r="G304" s="718"/>
      <c r="H304" s="718"/>
      <c r="I304" s="718"/>
      <c r="J304" s="719"/>
      <c r="K304"/>
      <c r="L304"/>
      <c r="M304" s="86"/>
      <c r="N304" s="291"/>
    </row>
    <row r="305" spans="1:14" ht="15" x14ac:dyDescent="0.25">
      <c r="A305" s="730">
        <f>A302</f>
        <v>2013</v>
      </c>
      <c r="B305" s="730"/>
      <c r="C305" s="561"/>
      <c r="D305" s="126">
        <v>0</v>
      </c>
      <c r="E305" s="126">
        <v>0</v>
      </c>
      <c r="F305" s="126">
        <v>0</v>
      </c>
      <c r="G305" s="126">
        <v>0</v>
      </c>
      <c r="H305" s="566"/>
      <c r="I305" s="126">
        <v>0</v>
      </c>
      <c r="J305" s="126">
        <f t="shared" ref="J305:J306" si="86">SUM(D305:I305)</f>
        <v>0</v>
      </c>
      <c r="K305"/>
      <c r="L305"/>
      <c r="M305" s="86"/>
      <c r="N305" s="291"/>
    </row>
    <row r="306" spans="1:14" ht="15" x14ac:dyDescent="0.25">
      <c r="A306" s="730">
        <f>A303</f>
        <v>2014</v>
      </c>
      <c r="B306" s="730"/>
      <c r="C306" s="561"/>
      <c r="D306" s="126">
        <v>0</v>
      </c>
      <c r="E306" s="126">
        <f>'Rate Class Energy Model'!I100</f>
        <v>3744552.2687999993</v>
      </c>
      <c r="F306" s="126">
        <f>+'Rate Class Energy Model'!J100</f>
        <v>151969.91666666672</v>
      </c>
      <c r="G306" s="126">
        <v>0</v>
      </c>
      <c r="H306" s="566"/>
      <c r="I306" s="126">
        <v>0</v>
      </c>
      <c r="J306" s="126">
        <f t="shared" si="86"/>
        <v>3896522.1854666658</v>
      </c>
      <c r="K306"/>
      <c r="L306"/>
      <c r="M306" s="86"/>
      <c r="N306" s="291"/>
    </row>
    <row r="307" spans="1:14" ht="15" x14ac:dyDescent="0.25">
      <c r="A307" s="717" t="s">
        <v>360</v>
      </c>
      <c r="B307" s="718"/>
      <c r="C307" s="718"/>
      <c r="D307" s="718"/>
      <c r="E307" s="718"/>
      <c r="F307" s="718"/>
      <c r="G307" s="718"/>
      <c r="H307" s="718"/>
      <c r="I307" s="718"/>
      <c r="J307" s="719"/>
      <c r="K307" s="474" t="s">
        <v>377</v>
      </c>
      <c r="L307"/>
      <c r="M307" s="86"/>
      <c r="N307" s="291"/>
    </row>
    <row r="308" spans="1:14" ht="15" x14ac:dyDescent="0.25">
      <c r="A308" s="79" t="s">
        <v>345</v>
      </c>
      <c r="B308" s="110"/>
      <c r="C308" s="110"/>
      <c r="D308" s="126">
        <f>D296+D299+D302+D305</f>
        <v>66370992.168057308</v>
      </c>
      <c r="E308" s="126">
        <f t="shared" ref="E308:I308" si="87">E296+E299+E302+E305</f>
        <v>34202817.728189833</v>
      </c>
      <c r="F308" s="126">
        <f t="shared" si="87"/>
        <v>78696780.987849146</v>
      </c>
      <c r="G308" s="126">
        <f t="shared" si="87"/>
        <v>1205214.7617062805</v>
      </c>
      <c r="H308" s="439"/>
      <c r="I308" s="126">
        <f t="shared" si="87"/>
        <v>238006.56062295177</v>
      </c>
      <c r="J308" s="126">
        <f>SUM(D308:I308)</f>
        <v>180713812.20642555</v>
      </c>
      <c r="K308" s="475">
        <f>J308-Summary!O8</f>
        <v>0</v>
      </c>
      <c r="M308" s="86"/>
      <c r="N308" s="291"/>
    </row>
    <row r="309" spans="1:14" ht="15" x14ac:dyDescent="0.25">
      <c r="A309" s="79" t="s">
        <v>344</v>
      </c>
      <c r="B309" s="102"/>
      <c r="C309" s="102"/>
      <c r="D309" s="126">
        <f>D297+D300+D303+D306</f>
        <v>67875318.610012323</v>
      </c>
      <c r="E309" s="126">
        <f t="shared" ref="E309:G309" si="88">E297+E300+E303+E306</f>
        <v>37894181.682895608</v>
      </c>
      <c r="F309" s="126">
        <f t="shared" si="88"/>
        <v>80718463.986403674</v>
      </c>
      <c r="G309" s="126">
        <f t="shared" si="88"/>
        <v>1248463.7443313473</v>
      </c>
      <c r="H309" s="439"/>
      <c r="I309" s="126">
        <f>I297+I300+I303+I306</f>
        <v>240322.1528272265</v>
      </c>
      <c r="J309" s="126">
        <f>SUM(D309:I309)</f>
        <v>187976750.17647019</v>
      </c>
      <c r="K309" s="475">
        <f>J309-Summary!P8</f>
        <v>0</v>
      </c>
      <c r="M309" s="86"/>
      <c r="N309" s="291"/>
    </row>
    <row r="310" spans="1:14" ht="15" x14ac:dyDescent="0.25">
      <c r="M310" s="86"/>
      <c r="N310" s="291"/>
    </row>
    <row r="311" spans="1:14" ht="15" x14ac:dyDescent="0.25">
      <c r="A311" s="714" t="s">
        <v>422</v>
      </c>
      <c r="B311" s="715"/>
      <c r="C311" s="715"/>
      <c r="D311" s="715"/>
      <c r="E311" s="715"/>
      <c r="F311" s="715"/>
      <c r="G311" s="716"/>
      <c r="H311"/>
      <c r="I311"/>
      <c r="M311" s="86"/>
      <c r="N311" s="291"/>
    </row>
    <row r="312" spans="1:14" ht="15" x14ac:dyDescent="0.25">
      <c r="A312" s="720" t="s">
        <v>105</v>
      </c>
      <c r="B312" s="720"/>
      <c r="C312" s="98"/>
      <c r="D312" s="77" t="str">
        <f>F294</f>
        <v>GS&gt;50</v>
      </c>
      <c r="E312" s="77" t="str">
        <f>G294</f>
        <v>Street Lighting</v>
      </c>
      <c r="F312" s="77" t="str">
        <f>H294</f>
        <v>Sentinels</v>
      </c>
      <c r="G312" s="77" t="str">
        <f>J294</f>
        <v>Total</v>
      </c>
      <c r="H312"/>
      <c r="I312"/>
      <c r="M312" s="86"/>
      <c r="N312" s="291"/>
    </row>
    <row r="313" spans="1:14" ht="15" x14ac:dyDescent="0.25">
      <c r="A313" s="717" t="s">
        <v>142</v>
      </c>
      <c r="B313" s="718"/>
      <c r="C313" s="718"/>
      <c r="D313" s="718"/>
      <c r="E313" s="718"/>
      <c r="F313" s="718"/>
      <c r="G313" s="719"/>
      <c r="H313"/>
      <c r="I313"/>
      <c r="M313" s="86"/>
      <c r="N313" s="291"/>
    </row>
    <row r="314" spans="1:14" ht="15" hidden="1" x14ac:dyDescent="0.25">
      <c r="A314" s="727">
        <f t="shared" ref="A314:A326" si="89">A226</f>
        <v>2000</v>
      </c>
      <c r="B314" s="728"/>
      <c r="C314" s="79"/>
      <c r="D314" s="436"/>
      <c r="E314" s="436"/>
      <c r="F314" s="436"/>
      <c r="G314" s="436"/>
      <c r="K314" s="108"/>
      <c r="L314" s="108"/>
      <c r="M314" s="86"/>
      <c r="N314" s="291"/>
    </row>
    <row r="315" spans="1:14" ht="15" hidden="1" x14ac:dyDescent="0.25">
      <c r="A315" s="708">
        <f t="shared" si="89"/>
        <v>2001</v>
      </c>
      <c r="B315" s="708"/>
      <c r="C315" s="79"/>
      <c r="D315" s="436"/>
      <c r="E315" s="436"/>
      <c r="F315" s="436"/>
      <c r="G315" s="436"/>
      <c r="K315" s="108"/>
      <c r="L315" s="108"/>
      <c r="M315" s="86"/>
      <c r="N315" s="291"/>
    </row>
    <row r="316" spans="1:14" ht="15" hidden="1" x14ac:dyDescent="0.25">
      <c r="A316" s="708">
        <f t="shared" si="89"/>
        <v>2002</v>
      </c>
      <c r="B316" s="708"/>
      <c r="C316" s="79"/>
      <c r="D316" s="436"/>
      <c r="E316" s="436"/>
      <c r="F316" s="436"/>
      <c r="G316" s="436"/>
      <c r="K316" s="108"/>
      <c r="L316" s="108"/>
      <c r="M316" s="86"/>
      <c r="N316" s="291"/>
    </row>
    <row r="317" spans="1:14" ht="15" x14ac:dyDescent="0.25">
      <c r="A317" s="708">
        <f t="shared" si="89"/>
        <v>2003</v>
      </c>
      <c r="B317" s="708"/>
      <c r="C317" s="79"/>
      <c r="D317" s="123">
        <f>'Rate Class Load Model'!B6</f>
        <v>177667.12</v>
      </c>
      <c r="E317" s="123">
        <f>'Rate Class Load Model'!C6</f>
        <v>2379.9104000000002</v>
      </c>
      <c r="F317" s="123">
        <f>'Rate Class Load Model'!D6</f>
        <v>422.24788414519463</v>
      </c>
      <c r="G317" s="123">
        <f t="shared" ref="G317:G326" si="90">SUM(D317:F317)</f>
        <v>180469.27828414517</v>
      </c>
      <c r="K317" s="108"/>
      <c r="L317" s="108"/>
      <c r="M317" s="86"/>
      <c r="N317" s="291"/>
    </row>
    <row r="318" spans="1:14" ht="15" x14ac:dyDescent="0.25">
      <c r="A318" s="708">
        <f t="shared" si="89"/>
        <v>2004</v>
      </c>
      <c r="B318" s="708"/>
      <c r="C318" s="102"/>
      <c r="D318" s="123">
        <f>'Rate Class Load Model'!B7</f>
        <v>184830.88</v>
      </c>
      <c r="E318" s="123">
        <f>'Rate Class Load Model'!C7</f>
        <v>2576.6799999999998</v>
      </c>
      <c r="F318" s="123">
        <f>'Rate Class Load Model'!D7</f>
        <v>401.14632311453829</v>
      </c>
      <c r="G318" s="123">
        <f t="shared" si="90"/>
        <v>187808.70632311454</v>
      </c>
      <c r="K318" s="108"/>
      <c r="L318" s="108"/>
      <c r="M318" s="86"/>
      <c r="N318" s="291"/>
    </row>
    <row r="319" spans="1:14" ht="15" x14ac:dyDescent="0.25">
      <c r="A319" s="708">
        <f t="shared" si="89"/>
        <v>2005</v>
      </c>
      <c r="B319" s="708"/>
      <c r="C319" s="102"/>
      <c r="D319" s="123">
        <f>'Rate Class Load Model'!B8</f>
        <v>167126</v>
      </c>
      <c r="E319" s="123">
        <f>'Rate Class Load Model'!C8</f>
        <v>2626</v>
      </c>
      <c r="F319" s="123">
        <f>'Rate Class Load Model'!D8</f>
        <v>337</v>
      </c>
      <c r="G319" s="123">
        <f t="shared" si="90"/>
        <v>170089</v>
      </c>
      <c r="K319" s="108"/>
      <c r="L319" s="108"/>
      <c r="M319" s="86"/>
      <c r="N319" s="291"/>
    </row>
    <row r="320" spans="1:14" ht="15" x14ac:dyDescent="0.25">
      <c r="A320" s="708">
        <f t="shared" si="89"/>
        <v>2006</v>
      </c>
      <c r="B320" s="708"/>
      <c r="C320" s="102"/>
      <c r="D320" s="123">
        <f>'Rate Class Load Model'!B9</f>
        <v>186383</v>
      </c>
      <c r="E320" s="123">
        <f>'Rate Class Load Model'!C9</f>
        <v>2644</v>
      </c>
      <c r="F320" s="123">
        <f>'Rate Class Load Model'!D9</f>
        <v>251</v>
      </c>
      <c r="G320" s="123">
        <f t="shared" si="90"/>
        <v>189278</v>
      </c>
      <c r="K320" s="108"/>
      <c r="L320" s="108"/>
      <c r="M320" s="86"/>
      <c r="N320" s="291"/>
    </row>
    <row r="321" spans="1:14" ht="14.85" customHeight="1" x14ac:dyDescent="0.25">
      <c r="A321" s="708">
        <f t="shared" si="89"/>
        <v>2007</v>
      </c>
      <c r="B321" s="708"/>
      <c r="C321" s="102"/>
      <c r="D321" s="123">
        <f>'Rate Class Load Model'!B10</f>
        <v>188388</v>
      </c>
      <c r="E321" s="123">
        <f>'Rate Class Load Model'!C10</f>
        <v>2899</v>
      </c>
      <c r="F321" s="123">
        <f>'Rate Class Load Model'!D10</f>
        <v>257</v>
      </c>
      <c r="G321" s="123">
        <f t="shared" si="90"/>
        <v>191544</v>
      </c>
      <c r="K321" s="108"/>
      <c r="L321" s="108"/>
      <c r="M321" s="86"/>
      <c r="N321" s="291"/>
    </row>
    <row r="322" spans="1:14" ht="15" x14ac:dyDescent="0.25">
      <c r="A322" s="708">
        <f t="shared" si="89"/>
        <v>2008</v>
      </c>
      <c r="B322" s="708"/>
      <c r="C322" s="102"/>
      <c r="D322" s="123">
        <f>'Rate Class Load Model'!B11</f>
        <v>191442.06025278466</v>
      </c>
      <c r="E322" s="123">
        <f>'Rate Class Load Model'!C11</f>
        <v>3094.7685294731714</v>
      </c>
      <c r="F322" s="123">
        <f>'Rate Class Load Model'!D11</f>
        <v>244.58537744657013</v>
      </c>
      <c r="G322" s="123">
        <f t="shared" si="90"/>
        <v>194781.41415970441</v>
      </c>
      <c r="K322" s="108"/>
      <c r="L322" s="108"/>
      <c r="M322" s="86"/>
      <c r="N322" s="291"/>
    </row>
    <row r="323" spans="1:14" ht="15" x14ac:dyDescent="0.25">
      <c r="A323" s="708">
        <f t="shared" si="89"/>
        <v>2009</v>
      </c>
      <c r="B323" s="708"/>
      <c r="C323" s="102"/>
      <c r="D323" s="123">
        <f>'Rate Class Load Model'!B12</f>
        <v>192430.14550135657</v>
      </c>
      <c r="E323" s="123">
        <f>'Rate Class Load Model'!C12</f>
        <v>2883.032223061407</v>
      </c>
      <c r="F323" s="123">
        <f>'Rate Class Load Model'!D12</f>
        <v>102.41462255342987</v>
      </c>
      <c r="G323" s="123">
        <f t="shared" si="90"/>
        <v>195415.59234697139</v>
      </c>
      <c r="K323" s="108"/>
      <c r="L323" s="108"/>
      <c r="M323" s="86"/>
      <c r="N323" s="291"/>
    </row>
    <row r="324" spans="1:14" ht="15" x14ac:dyDescent="0.25">
      <c r="A324" s="708">
        <f t="shared" si="89"/>
        <v>2010</v>
      </c>
      <c r="B324" s="708"/>
      <c r="C324" s="102"/>
      <c r="D324" s="123">
        <f>'Rate Class Load Model'!B13</f>
        <v>197719.76424585879</v>
      </c>
      <c r="E324" s="123">
        <f>'Rate Class Load Model'!C13</f>
        <v>3197.9392474654219</v>
      </c>
      <c r="F324" s="436"/>
      <c r="G324" s="123">
        <f t="shared" si="90"/>
        <v>200917.70349332422</v>
      </c>
      <c r="K324" s="108"/>
      <c r="L324" s="108"/>
      <c r="M324" s="86"/>
      <c r="N324" s="291"/>
    </row>
    <row r="325" spans="1:14" ht="15" x14ac:dyDescent="0.25">
      <c r="A325" s="708">
        <f t="shared" si="89"/>
        <v>2011</v>
      </c>
      <c r="B325" s="708"/>
      <c r="C325" s="102"/>
      <c r="D325" s="123">
        <f>'Rate Class Load Model'!B14</f>
        <v>200689.96</v>
      </c>
      <c r="E325" s="123">
        <f>'Rate Class Load Model'!C14</f>
        <v>3221.49</v>
      </c>
      <c r="F325" s="436"/>
      <c r="G325" s="123">
        <f t="shared" si="90"/>
        <v>203911.44999999998</v>
      </c>
      <c r="K325" s="108"/>
      <c r="L325" s="108"/>
      <c r="M325" s="86"/>
      <c r="N325" s="291"/>
    </row>
    <row r="326" spans="1:14" ht="15" x14ac:dyDescent="0.25">
      <c r="A326" s="708">
        <f t="shared" si="89"/>
        <v>2012</v>
      </c>
      <c r="B326" s="708"/>
      <c r="C326" s="420"/>
      <c r="D326" s="123">
        <f>'Rate Class Load Model'!B15</f>
        <v>202737.31</v>
      </c>
      <c r="E326" s="123">
        <f>'Rate Class Load Model'!C15</f>
        <v>3238</v>
      </c>
      <c r="F326" s="436"/>
      <c r="G326" s="123">
        <f t="shared" si="90"/>
        <v>205975.31</v>
      </c>
      <c r="K326" s="108"/>
      <c r="L326" s="108"/>
      <c r="M326" s="86"/>
      <c r="N326" s="291"/>
    </row>
    <row r="327" spans="1:14" ht="15" x14ac:dyDescent="0.25">
      <c r="A327"/>
      <c r="B327"/>
      <c r="C327"/>
      <c r="D327"/>
      <c r="E327"/>
      <c r="F327"/>
      <c r="G327"/>
      <c r="M327" s="86"/>
      <c r="N327" s="291"/>
    </row>
    <row r="328" spans="1:14" ht="15" customHeight="1" x14ac:dyDescent="0.25">
      <c r="A328" s="721" t="s">
        <v>423</v>
      </c>
      <c r="B328" s="722"/>
      <c r="C328" s="722"/>
      <c r="D328" s="722"/>
      <c r="E328" s="722"/>
      <c r="F328" s="723"/>
      <c r="G328"/>
      <c r="H328"/>
      <c r="M328" s="86"/>
      <c r="N328" s="291"/>
    </row>
    <row r="329" spans="1:14" ht="15" x14ac:dyDescent="0.25">
      <c r="A329" s="720" t="s">
        <v>105</v>
      </c>
      <c r="B329" s="720"/>
      <c r="C329" s="98"/>
      <c r="D329" s="77" t="str">
        <f>D312</f>
        <v>GS&gt;50</v>
      </c>
      <c r="E329" s="77" t="str">
        <f>E312</f>
        <v>Street Lighting</v>
      </c>
      <c r="F329" s="77" t="str">
        <f>F312</f>
        <v>Sentinels</v>
      </c>
      <c r="G329"/>
      <c r="H329"/>
      <c r="M329" s="86"/>
      <c r="N329" s="291"/>
    </row>
    <row r="330" spans="1:14" ht="15" customHeight="1" x14ac:dyDescent="0.25">
      <c r="A330" s="724" t="s">
        <v>143</v>
      </c>
      <c r="B330" s="725"/>
      <c r="C330" s="725"/>
      <c r="D330" s="725"/>
      <c r="E330" s="725"/>
      <c r="F330" s="726"/>
      <c r="G330"/>
      <c r="H330"/>
      <c r="M330" s="86"/>
      <c r="N330" s="291"/>
    </row>
    <row r="331" spans="1:14" ht="15" hidden="1" x14ac:dyDescent="0.25">
      <c r="A331" s="708">
        <f t="shared" ref="A331:A343" si="91">A314</f>
        <v>2000</v>
      </c>
      <c r="B331" s="708"/>
      <c r="C331" s="100"/>
      <c r="D331" s="445"/>
      <c r="E331" s="445"/>
      <c r="F331" s="445"/>
      <c r="M331" s="86"/>
      <c r="N331" s="291"/>
    </row>
    <row r="332" spans="1:14" ht="15" hidden="1" x14ac:dyDescent="0.25">
      <c r="A332" s="708">
        <f t="shared" si="91"/>
        <v>2001</v>
      </c>
      <c r="B332" s="708"/>
      <c r="C332" s="100"/>
      <c r="D332" s="445"/>
      <c r="E332" s="445"/>
      <c r="F332" s="445"/>
      <c r="M332" s="86"/>
      <c r="N332" s="291"/>
    </row>
    <row r="333" spans="1:14" ht="15" hidden="1" x14ac:dyDescent="0.25">
      <c r="A333" s="708">
        <f t="shared" si="91"/>
        <v>2002</v>
      </c>
      <c r="B333" s="708"/>
      <c r="C333" s="100"/>
      <c r="D333" s="445"/>
      <c r="E333" s="445"/>
      <c r="F333" s="445"/>
      <c r="M333" s="86"/>
      <c r="N333" s="291"/>
    </row>
    <row r="334" spans="1:14" ht="15" x14ac:dyDescent="0.25">
      <c r="A334" s="708">
        <f t="shared" si="91"/>
        <v>2003</v>
      </c>
      <c r="B334" s="708"/>
      <c r="C334" s="100"/>
      <c r="D334" s="137">
        <f>'Rate Class Load Model'!B23</f>
        <v>2.5186995955980575E-3</v>
      </c>
      <c r="E334" s="137">
        <f>'Rate Class Load Model'!C23</f>
        <v>2.691219554338372E-3</v>
      </c>
      <c r="F334" s="137">
        <f>'Rate Class Load Model'!D23</f>
        <v>2.9065619735478792E-3</v>
      </c>
      <c r="M334" s="86"/>
      <c r="N334" s="291"/>
    </row>
    <row r="335" spans="1:14" ht="15" x14ac:dyDescent="0.25">
      <c r="A335" s="708">
        <f t="shared" si="91"/>
        <v>2004</v>
      </c>
      <c r="B335" s="708"/>
      <c r="C335" s="102"/>
      <c r="D335" s="137">
        <f>'Rate Class Load Model'!B24</f>
        <v>2.498844139682059E-3</v>
      </c>
      <c r="E335" s="137">
        <f>'Rate Class Load Model'!C24</f>
        <v>2.8170227467032255E-3</v>
      </c>
      <c r="F335" s="137">
        <f>'Rate Class Load Model'!D24</f>
        <v>2.0313880466012652E-3</v>
      </c>
      <c r="M335" s="86"/>
      <c r="N335" s="291"/>
    </row>
    <row r="336" spans="1:14" ht="15" x14ac:dyDescent="0.25">
      <c r="A336" s="708">
        <f t="shared" si="91"/>
        <v>2005</v>
      </c>
      <c r="B336" s="708"/>
      <c r="C336" s="102"/>
      <c r="D336" s="137">
        <f>'Rate Class Load Model'!B25</f>
        <v>2.1943004278600921E-3</v>
      </c>
      <c r="E336" s="137">
        <f>'Rate Class Load Model'!C25</f>
        <v>2.6373458618978848E-3</v>
      </c>
      <c r="F336" s="137">
        <f>'Rate Class Load Model'!D25</f>
        <v>2.7667627234140373E-3</v>
      </c>
      <c r="M336" s="86"/>
      <c r="N336" s="291"/>
    </row>
    <row r="337" spans="1:19" ht="15" x14ac:dyDescent="0.25">
      <c r="A337" s="708">
        <f t="shared" si="91"/>
        <v>2006</v>
      </c>
      <c r="B337" s="708"/>
      <c r="C337" s="102"/>
      <c r="D337" s="137">
        <f>'Rate Class Load Model'!B26</f>
        <v>2.3516367926037607E-3</v>
      </c>
      <c r="E337" s="137">
        <f>'Rate Class Load Model'!C26</f>
        <v>2.3630118928136376E-3</v>
      </c>
      <c r="F337" s="137">
        <f>'Rate Class Load Model'!D26</f>
        <v>2.027240499653445E-3</v>
      </c>
      <c r="M337" s="86"/>
      <c r="N337" s="291"/>
    </row>
    <row r="338" spans="1:19" ht="15" x14ac:dyDescent="0.25">
      <c r="A338" s="708">
        <f t="shared" si="91"/>
        <v>2007</v>
      </c>
      <c r="B338" s="708"/>
      <c r="C338" s="102"/>
      <c r="D338" s="137">
        <f>'Rate Class Load Model'!B27</f>
        <v>2.3942079049071884E-3</v>
      </c>
      <c r="E338" s="137">
        <f>'Rate Class Load Model'!C27</f>
        <v>2.8926794953027636E-3</v>
      </c>
      <c r="F338" s="137">
        <f>'Rate Class Load Model'!D27</f>
        <v>2.5452096579317448E-3</v>
      </c>
      <c r="M338" s="86"/>
      <c r="N338" s="291"/>
    </row>
    <row r="339" spans="1:19" ht="14.85" customHeight="1" x14ac:dyDescent="0.25">
      <c r="A339" s="708">
        <f t="shared" si="91"/>
        <v>2008</v>
      </c>
      <c r="B339" s="708"/>
      <c r="C339" s="102"/>
      <c r="D339" s="137">
        <f>'Rate Class Load Model'!B28</f>
        <v>2.570525483893425E-3</v>
      </c>
      <c r="E339" s="137">
        <f>'Rate Class Load Model'!C28</f>
        <v>2.7604300306274254E-3</v>
      </c>
      <c r="F339" s="137">
        <f>'Rate Class Load Model'!D28</f>
        <v>3.7435060802706306E-3</v>
      </c>
      <c r="M339" s="86"/>
      <c r="N339" s="291"/>
    </row>
    <row r="340" spans="1:19" ht="15" x14ac:dyDescent="0.25">
      <c r="A340" s="708">
        <f t="shared" si="91"/>
        <v>2009</v>
      </c>
      <c r="B340" s="708"/>
      <c r="C340" s="102"/>
      <c r="D340" s="137">
        <f>'Rate Class Load Model'!B29</f>
        <v>2.5797968359201309E-3</v>
      </c>
      <c r="E340" s="137">
        <f>'Rate Class Load Model'!C29</f>
        <v>2.4942100994623023E-3</v>
      </c>
      <c r="F340" s="137">
        <f>'Rate Class Load Model'!D29</f>
        <v>1.8732902829360167E-2</v>
      </c>
      <c r="M340" s="86"/>
      <c r="N340" s="291"/>
    </row>
    <row r="341" spans="1:19" ht="15" x14ac:dyDescent="0.25">
      <c r="A341" s="708">
        <f t="shared" si="91"/>
        <v>2010</v>
      </c>
      <c r="B341" s="708"/>
      <c r="C341" s="102"/>
      <c r="D341" s="137">
        <f>'Rate Class Load Model'!B30</f>
        <v>2.577668216939691E-3</v>
      </c>
      <c r="E341" s="137">
        <f>'Rate Class Load Model'!C30</f>
        <v>2.816083481518294E-3</v>
      </c>
      <c r="F341" s="445"/>
      <c r="M341" s="86"/>
      <c r="N341" s="291"/>
    </row>
    <row r="342" spans="1:19" ht="15" x14ac:dyDescent="0.25">
      <c r="A342" s="708">
        <f t="shared" si="91"/>
        <v>2011</v>
      </c>
      <c r="B342" s="708"/>
      <c r="C342" s="102"/>
      <c r="D342" s="137">
        <f>'Rate Class Load Model'!B31</f>
        <v>2.4936564747594027E-3</v>
      </c>
      <c r="E342" s="137">
        <f>'Rate Class Load Model'!C31</f>
        <v>2.792024939728605E-3</v>
      </c>
      <c r="F342" s="445"/>
      <c r="M342" s="86"/>
      <c r="N342" s="291"/>
    </row>
    <row r="343" spans="1:19" ht="15" x14ac:dyDescent="0.25">
      <c r="A343" s="708">
        <f t="shared" si="91"/>
        <v>2012</v>
      </c>
      <c r="B343" s="708"/>
      <c r="C343" s="420"/>
      <c r="D343" s="137">
        <f>'Rate Class Load Model'!B32</f>
        <v>2.5590907107981647E-3</v>
      </c>
      <c r="E343" s="137">
        <f>'Rate Class Load Model'!C32</f>
        <v>2.7830684920203807E-3</v>
      </c>
      <c r="F343" s="445"/>
      <c r="M343" s="86"/>
      <c r="N343" s="291"/>
    </row>
    <row r="344" spans="1:19" ht="15" x14ac:dyDescent="0.25">
      <c r="A344" s="709" t="s">
        <v>424</v>
      </c>
      <c r="B344" s="709"/>
      <c r="C344" s="79"/>
      <c r="D344" s="138">
        <f>AVERAGE(D331:D343)</f>
        <v>2.4738426582961966E-3</v>
      </c>
      <c r="E344" s="138">
        <f>AVERAGE(E331:E343)</f>
        <v>2.7047096594412894E-3</v>
      </c>
      <c r="F344" s="446"/>
      <c r="M344" s="86"/>
      <c r="N344" s="291"/>
    </row>
    <row r="345" spans="1:19" ht="15" x14ac:dyDescent="0.25">
      <c r="A345" s="305"/>
      <c r="B345" s="305"/>
      <c r="H345"/>
      <c r="I345"/>
      <c r="K345" s="166"/>
      <c r="L345" s="166"/>
      <c r="M345" s="462"/>
      <c r="N345" s="463"/>
      <c r="O345" s="166"/>
    </row>
    <row r="346" spans="1:19" ht="15" x14ac:dyDescent="0.25">
      <c r="A346" s="714" t="s">
        <v>425</v>
      </c>
      <c r="B346" s="715"/>
      <c r="C346" s="715"/>
      <c r="D346" s="715"/>
      <c r="E346" s="715"/>
      <c r="F346" s="715"/>
      <c r="G346" s="716"/>
      <c r="H346" s="551"/>
      <c r="I346" s="551"/>
      <c r="J346" s="588"/>
      <c r="K346" s="588"/>
      <c r="M346" s="86"/>
      <c r="N346" s="291"/>
    </row>
    <row r="347" spans="1:19" ht="15" x14ac:dyDescent="0.25">
      <c r="A347" s="712" t="s">
        <v>105</v>
      </c>
      <c r="B347" s="712"/>
      <c r="C347" s="98"/>
      <c r="D347" s="77" t="str">
        <f t="shared" ref="D347" si="92">D312</f>
        <v>GS&gt;50</v>
      </c>
      <c r="E347" s="77" t="str">
        <f>E312</f>
        <v>Street Lighting</v>
      </c>
      <c r="F347" s="77" t="str">
        <f>F312</f>
        <v>Sentinels</v>
      </c>
      <c r="G347" s="77" t="str">
        <f>G312</f>
        <v>Total</v>
      </c>
      <c r="H347" s="551"/>
      <c r="I347" s="551"/>
      <c r="J347" s="588"/>
      <c r="K347" s="588"/>
      <c r="M347" s="86"/>
      <c r="N347" s="291"/>
    </row>
    <row r="348" spans="1:19" ht="15" x14ac:dyDescent="0.25">
      <c r="A348" s="717" t="s">
        <v>144</v>
      </c>
      <c r="B348" s="718"/>
      <c r="C348" s="718"/>
      <c r="D348" s="718"/>
      <c r="E348" s="718"/>
      <c r="F348" s="718"/>
      <c r="G348" s="719"/>
      <c r="H348" s="551"/>
      <c r="I348" s="551"/>
      <c r="J348" s="588"/>
      <c r="K348" s="588"/>
      <c r="M348" s="86"/>
      <c r="N348" s="291"/>
    </row>
    <row r="349" spans="1:19" ht="15" x14ac:dyDescent="0.25">
      <c r="A349" s="417" t="s">
        <v>345</v>
      </c>
      <c r="B349" s="102"/>
      <c r="C349" s="102"/>
      <c r="D349" s="126">
        <f>D344*F308</f>
        <v>194683.45387833432</v>
      </c>
      <c r="E349" s="126">
        <f>E344*G308</f>
        <v>3259.7560076882087</v>
      </c>
      <c r="F349" s="439"/>
      <c r="G349" s="126">
        <f>SUM(D349:F349)</f>
        <v>197943.20988602252</v>
      </c>
      <c r="H349" s="588"/>
      <c r="I349" s="588"/>
      <c r="J349" s="595"/>
      <c r="K349" s="595"/>
      <c r="M349" s="452"/>
      <c r="N349" s="451"/>
      <c r="O349" s="108"/>
      <c r="P349" s="108"/>
      <c r="Q349" s="108"/>
      <c r="R349" s="108"/>
      <c r="S349" s="108"/>
    </row>
    <row r="350" spans="1:19" ht="15" x14ac:dyDescent="0.25">
      <c r="A350" s="417" t="s">
        <v>344</v>
      </c>
      <c r="B350" s="102"/>
      <c r="C350" s="102"/>
      <c r="D350" s="126">
        <f>J372</f>
        <v>199308.82985908294</v>
      </c>
      <c r="E350" s="126">
        <f>E344*G309</f>
        <v>3376.7319487552354</v>
      </c>
      <c r="F350" s="439"/>
      <c r="G350" s="126">
        <f>SUM(D350:F350)</f>
        <v>202685.56180783818</v>
      </c>
      <c r="H350" s="588"/>
      <c r="I350" s="588"/>
      <c r="J350" s="595"/>
      <c r="K350" s="551"/>
      <c r="M350" s="452"/>
      <c r="N350" s="451"/>
      <c r="O350" s="108"/>
      <c r="P350" s="108"/>
      <c r="Q350" s="108"/>
      <c r="R350" s="108"/>
      <c r="S350" s="108"/>
    </row>
    <row r="351" spans="1:19" ht="15" x14ac:dyDescent="0.25">
      <c r="A351" s="74"/>
      <c r="B351" s="139"/>
      <c r="C351" s="139"/>
      <c r="D351" s="140"/>
      <c r="E351" s="140"/>
      <c r="F351" s="140"/>
      <c r="G351" s="140"/>
      <c r="M351" s="86"/>
      <c r="N351" s="291"/>
    </row>
    <row r="352" spans="1:19" ht="15" x14ac:dyDescent="0.25">
      <c r="A352" s="714" t="s">
        <v>426</v>
      </c>
      <c r="B352" s="715"/>
      <c r="C352" s="715"/>
      <c r="D352" s="715"/>
      <c r="E352" s="715"/>
      <c r="F352" s="715"/>
      <c r="G352" s="715"/>
      <c r="H352" s="715"/>
      <c r="I352" s="715"/>
      <c r="J352" s="716"/>
      <c r="M352" s="86"/>
      <c r="N352" s="291"/>
    </row>
    <row r="353" spans="1:14" ht="45" x14ac:dyDescent="0.25">
      <c r="A353" s="712"/>
      <c r="B353" s="712"/>
      <c r="C353" s="98"/>
      <c r="D353" s="141" t="s">
        <v>110</v>
      </c>
      <c r="E353" s="141" t="s">
        <v>145</v>
      </c>
      <c r="F353" s="141" t="s">
        <v>146</v>
      </c>
      <c r="G353" s="141" t="s">
        <v>147</v>
      </c>
      <c r="H353" s="141" t="s">
        <v>346</v>
      </c>
      <c r="I353" s="141" t="s">
        <v>347</v>
      </c>
      <c r="J353" s="141" t="s">
        <v>348</v>
      </c>
      <c r="M353" s="86"/>
      <c r="N353" s="291"/>
    </row>
    <row r="354" spans="1:14" ht="15" x14ac:dyDescent="0.25">
      <c r="A354" s="711"/>
      <c r="B354" s="711"/>
      <c r="C354" s="102"/>
      <c r="D354" s="105"/>
      <c r="E354" s="105"/>
      <c r="F354" s="105"/>
      <c r="G354" s="105"/>
      <c r="H354" s="105"/>
      <c r="I354" s="105"/>
      <c r="J354" s="101"/>
      <c r="M354" s="86"/>
      <c r="N354" s="291"/>
    </row>
    <row r="355" spans="1:14" ht="15" x14ac:dyDescent="0.25">
      <c r="A355" s="709" t="s">
        <v>148</v>
      </c>
      <c r="B355" s="709"/>
      <c r="C355" s="709"/>
      <c r="D355" s="709"/>
      <c r="E355" s="709"/>
      <c r="F355" s="709"/>
      <c r="G355" s="709"/>
      <c r="H355" s="709"/>
      <c r="I355" s="709"/>
      <c r="J355" s="74"/>
      <c r="M355" s="86"/>
      <c r="N355" s="291"/>
    </row>
    <row r="356" spans="1:14" ht="15" x14ac:dyDescent="0.25">
      <c r="A356" s="102" t="s">
        <v>60</v>
      </c>
      <c r="B356" s="102"/>
      <c r="C356" s="102"/>
      <c r="D356" s="105"/>
      <c r="E356" s="105">
        <f>Summary!K4</f>
        <v>178335380.82587692</v>
      </c>
      <c r="F356" s="105">
        <f>Summary!L4</f>
        <v>186321134.65720975</v>
      </c>
      <c r="G356" s="105">
        <f>Summary!M4</f>
        <v>188636352</v>
      </c>
      <c r="H356" s="105">
        <f>Summary!N4</f>
        <v>189168670.89000002</v>
      </c>
      <c r="I356" s="105"/>
      <c r="J356" s="101"/>
      <c r="M356" s="86"/>
      <c r="N356" s="291"/>
    </row>
    <row r="357" spans="1:14" ht="15" x14ac:dyDescent="0.25">
      <c r="A357" s="102" t="s">
        <v>61</v>
      </c>
      <c r="B357" s="102"/>
      <c r="C357" s="102"/>
      <c r="D357" s="105"/>
      <c r="E357" s="105">
        <f>Summary!K5</f>
        <v>178435180.31848434</v>
      </c>
      <c r="F357" s="105">
        <f>Summary!L5</f>
        <v>184469801.87037647</v>
      </c>
      <c r="G357" s="105">
        <f>Summary!M5</f>
        <v>186686295.30929995</v>
      </c>
      <c r="H357" s="105">
        <f>Summary!N5</f>
        <v>190091284.75565851</v>
      </c>
      <c r="I357" s="105">
        <f>Summary!O5</f>
        <v>189087891.90591452</v>
      </c>
      <c r="J357" s="105">
        <f>Summary!P5</f>
        <v>193206757.02486607</v>
      </c>
      <c r="M357" s="86"/>
      <c r="N357" s="291"/>
    </row>
    <row r="358" spans="1:14" ht="15" x14ac:dyDescent="0.25">
      <c r="A358" s="142" t="s">
        <v>149</v>
      </c>
      <c r="B358" s="142"/>
      <c r="C358" s="110"/>
      <c r="D358" s="143"/>
      <c r="E358" s="144">
        <f>E357/E356-1</f>
        <v>5.5961689792138891E-4</v>
      </c>
      <c r="F358" s="144">
        <f>F357/F356-1</f>
        <v>-9.9362468473548349E-3</v>
      </c>
      <c r="G358" s="144">
        <f>G357/G356-1</f>
        <v>-1.0337650564298695E-2</v>
      </c>
      <c r="H358" s="144">
        <f>H357/H356-1</f>
        <v>4.8772022413530181E-3</v>
      </c>
      <c r="I358" s="101"/>
      <c r="J358" s="101"/>
      <c r="M358" s="86"/>
      <c r="N358" s="291"/>
    </row>
    <row r="359" spans="1:14" ht="12.75" customHeight="1" x14ac:dyDescent="0.25">
      <c r="A359" s="711"/>
      <c r="B359" s="711"/>
      <c r="C359" s="102"/>
      <c r="D359" s="119"/>
      <c r="E359" s="144"/>
      <c r="F359" s="109"/>
      <c r="G359" s="109"/>
      <c r="H359" s="109"/>
      <c r="I359" s="109"/>
      <c r="J359" s="101"/>
      <c r="M359" s="86"/>
      <c r="N359" s="291"/>
    </row>
    <row r="360" spans="1:14" ht="15" x14ac:dyDescent="0.25">
      <c r="A360" s="709" t="s">
        <v>150</v>
      </c>
      <c r="B360" s="709"/>
      <c r="C360" s="709"/>
      <c r="D360" s="709"/>
      <c r="E360" s="709"/>
      <c r="F360" s="709"/>
      <c r="G360" s="709"/>
      <c r="H360" s="709"/>
      <c r="I360" s="709"/>
      <c r="J360" s="74"/>
      <c r="M360" s="86"/>
      <c r="N360" s="291"/>
    </row>
    <row r="361" spans="1:14" ht="15" x14ac:dyDescent="0.25">
      <c r="A361" s="145" t="s">
        <v>151</v>
      </c>
      <c r="B361" s="102"/>
      <c r="C361" s="102"/>
      <c r="D361" s="105"/>
      <c r="E361" s="105"/>
      <c r="F361" s="146"/>
      <c r="G361" s="146"/>
      <c r="H361" s="146"/>
      <c r="I361" s="146"/>
      <c r="J361" s="101"/>
      <c r="M361" s="86"/>
      <c r="N361" s="291"/>
    </row>
    <row r="362" spans="1:14" ht="15" x14ac:dyDescent="0.25">
      <c r="A362" s="102" t="s">
        <v>47</v>
      </c>
      <c r="B362" s="102"/>
      <c r="C362" s="102"/>
      <c r="D362" s="105">
        <f>D48</f>
        <v>6584</v>
      </c>
      <c r="E362" s="105">
        <f>Summary!K12</f>
        <v>6507</v>
      </c>
      <c r="F362" s="105">
        <f>Summary!L12</f>
        <v>6537</v>
      </c>
      <c r="G362" s="105">
        <f>Summary!M12</f>
        <v>6666</v>
      </c>
      <c r="H362" s="105">
        <f>Summary!N12</f>
        <v>6818</v>
      </c>
      <c r="I362" s="105">
        <f>Summary!O12</f>
        <v>6965.1614702650531</v>
      </c>
      <c r="J362" s="105">
        <f>Summary!P12</f>
        <v>7115.4993116551541</v>
      </c>
      <c r="M362" s="86"/>
      <c r="N362" s="291"/>
    </row>
    <row r="363" spans="1:14" ht="15" x14ac:dyDescent="0.25">
      <c r="A363" s="708" t="s">
        <v>48</v>
      </c>
      <c r="B363" s="708"/>
      <c r="C363" s="102"/>
      <c r="D363" s="105">
        <f>D28</f>
        <v>66607551</v>
      </c>
      <c r="E363" s="105">
        <f>Summary!K13</f>
        <v>63244583.51031895</v>
      </c>
      <c r="F363" s="105">
        <f>Summary!L13</f>
        <v>66159480.468461536</v>
      </c>
      <c r="G363" s="105">
        <f>Summary!M13</f>
        <v>67609924.159999996</v>
      </c>
      <c r="H363" s="105">
        <f>Summary!N13</f>
        <v>67185686.109999999</v>
      </c>
      <c r="I363" s="105">
        <f>Summary!O13</f>
        <v>66370992.168057308</v>
      </c>
      <c r="J363" s="105">
        <f>Summary!P13</f>
        <v>67875318.610012323</v>
      </c>
      <c r="M363" s="86"/>
      <c r="N363" s="291"/>
    </row>
    <row r="364" spans="1:14" ht="15" x14ac:dyDescent="0.25">
      <c r="A364" s="711"/>
      <c r="B364" s="711"/>
      <c r="C364" s="102"/>
      <c r="D364" s="105"/>
      <c r="E364" s="105"/>
      <c r="F364" s="146"/>
      <c r="G364" s="146"/>
      <c r="H364" s="146"/>
      <c r="I364" s="146"/>
      <c r="J364" s="146"/>
      <c r="M364" s="86"/>
      <c r="N364" s="291"/>
    </row>
    <row r="365" spans="1:14" ht="15" x14ac:dyDescent="0.25">
      <c r="A365" s="710" t="str">
        <f>E294</f>
        <v>GS&lt;50</v>
      </c>
      <c r="B365" s="710"/>
      <c r="C365" s="102"/>
      <c r="D365" s="105"/>
      <c r="E365" s="105"/>
      <c r="F365" s="146"/>
      <c r="G365" s="146"/>
      <c r="H365" s="146"/>
      <c r="I365" s="146"/>
      <c r="J365" s="146"/>
      <c r="M365" s="86"/>
      <c r="N365" s="291"/>
    </row>
    <row r="366" spans="1:14" ht="15" x14ac:dyDescent="0.25">
      <c r="A366" s="102" t="s">
        <v>47</v>
      </c>
      <c r="B366" s="102"/>
      <c r="C366" s="102"/>
      <c r="D366" s="105">
        <f>E48</f>
        <v>1209</v>
      </c>
      <c r="E366" s="105">
        <f>Summary!K16</f>
        <v>1230</v>
      </c>
      <c r="F366" s="105">
        <f>Summary!L16</f>
        <v>1225</v>
      </c>
      <c r="G366" s="105">
        <f>Summary!M16</f>
        <v>1253</v>
      </c>
      <c r="H366" s="105">
        <f>Summary!N16</f>
        <v>1252</v>
      </c>
      <c r="I366" s="105">
        <f>Summary!O16</f>
        <v>1257.8143780836497</v>
      </c>
      <c r="J366" s="105">
        <f>Summary!P16</f>
        <v>1350.6313855345761</v>
      </c>
      <c r="M366" s="86"/>
      <c r="N366" s="291"/>
    </row>
    <row r="367" spans="1:14" ht="15" x14ac:dyDescent="0.25">
      <c r="A367" s="708" t="s">
        <v>48</v>
      </c>
      <c r="B367" s="708"/>
      <c r="C367" s="102"/>
      <c r="D367" s="105">
        <f>E28</f>
        <v>34497593</v>
      </c>
      <c r="E367" s="105">
        <f>Summary!K17</f>
        <v>33688872.79423999</v>
      </c>
      <c r="F367" s="105">
        <f>Summary!L17</f>
        <v>33426752.734460428</v>
      </c>
      <c r="G367" s="105">
        <f>Summary!M17</f>
        <v>34407699.510000005</v>
      </c>
      <c r="H367" s="105">
        <f>Summary!N17</f>
        <v>35564177.82</v>
      </c>
      <c r="I367" s="105">
        <f>Summary!O17</f>
        <v>34202817.728189833</v>
      </c>
      <c r="J367" s="105">
        <f>Summary!P17</f>
        <v>37894181.682895608</v>
      </c>
      <c r="M367" s="86"/>
      <c r="N367" s="291"/>
    </row>
    <row r="368" spans="1:14" ht="15" x14ac:dyDescent="0.25">
      <c r="A368" s="711"/>
      <c r="B368" s="711"/>
      <c r="C368" s="102"/>
      <c r="D368" s="105"/>
      <c r="E368" s="105"/>
      <c r="F368" s="146"/>
      <c r="G368" s="146"/>
      <c r="H368" s="146"/>
      <c r="I368" s="146"/>
      <c r="J368" s="146"/>
      <c r="M368" s="86"/>
      <c r="N368" s="291"/>
    </row>
    <row r="369" spans="1:14" ht="15" x14ac:dyDescent="0.25">
      <c r="A369" s="710" t="s">
        <v>153</v>
      </c>
      <c r="B369" s="710"/>
      <c r="C369" s="102"/>
      <c r="D369" s="105"/>
      <c r="E369" s="105"/>
      <c r="F369" s="146"/>
      <c r="G369" s="146"/>
      <c r="H369" s="146"/>
      <c r="I369" s="146"/>
      <c r="J369" s="146"/>
      <c r="M369" s="86"/>
      <c r="N369" s="291"/>
    </row>
    <row r="370" spans="1:14" ht="15" x14ac:dyDescent="0.25">
      <c r="A370" s="102" t="s">
        <v>47</v>
      </c>
      <c r="B370" s="102"/>
      <c r="C370" s="102"/>
      <c r="D370" s="105">
        <f>F48</f>
        <v>123</v>
      </c>
      <c r="E370" s="105">
        <f>Summary!K20</f>
        <v>121</v>
      </c>
      <c r="F370" s="105">
        <f>Summary!L20</f>
        <v>121</v>
      </c>
      <c r="G370" s="105">
        <f>Summary!M20</f>
        <v>118</v>
      </c>
      <c r="H370" s="105">
        <f>Summary!N20</f>
        <v>117</v>
      </c>
      <c r="I370" s="105">
        <f>Summary!O20</f>
        <v>120.24456269672531</v>
      </c>
      <c r="J370" s="105">
        <f>Summary!P20</f>
        <v>125.5791013515103</v>
      </c>
      <c r="M370" s="86"/>
      <c r="N370" s="291"/>
    </row>
    <row r="371" spans="1:14" ht="15" x14ac:dyDescent="0.25">
      <c r="A371" s="708" t="s">
        <v>48</v>
      </c>
      <c r="B371" s="708"/>
      <c r="C371" s="102"/>
      <c r="D371" s="105">
        <f>F28</f>
        <v>80852618</v>
      </c>
      <c r="E371" s="105">
        <f>Summary!K21</f>
        <v>74591201.455103308</v>
      </c>
      <c r="F371" s="105">
        <f>Summary!L21</f>
        <v>76704892.796715111</v>
      </c>
      <c r="G371" s="105">
        <f>Summary!M21</f>
        <v>80480195.260000005</v>
      </c>
      <c r="H371" s="105">
        <f>Summary!N21</f>
        <v>79222400.810000002</v>
      </c>
      <c r="I371" s="105">
        <f>Summary!O21</f>
        <v>78696780.987849146</v>
      </c>
      <c r="J371" s="105">
        <f>Summary!P21</f>
        <v>80718463.986403674</v>
      </c>
      <c r="M371" s="86"/>
      <c r="N371" s="291"/>
    </row>
    <row r="372" spans="1:14" ht="15" x14ac:dyDescent="0.25">
      <c r="A372" s="708" t="s">
        <v>49</v>
      </c>
      <c r="B372" s="708"/>
      <c r="C372" s="102"/>
      <c r="D372" s="105">
        <v>208072</v>
      </c>
      <c r="E372" s="105">
        <f>Summary!K22</f>
        <v>192430.14550135657</v>
      </c>
      <c r="F372" s="105">
        <f>Summary!L22</f>
        <v>197719.76424585879</v>
      </c>
      <c r="G372" s="105">
        <f>Summary!M22</f>
        <v>200689.96</v>
      </c>
      <c r="H372" s="105">
        <f>Summary!N22</f>
        <v>202737.31</v>
      </c>
      <c r="I372" s="105">
        <f>Summary!O22</f>
        <v>194683.45387833432</v>
      </c>
      <c r="J372" s="105">
        <f>Summary!P22</f>
        <v>199308.82985908294</v>
      </c>
      <c r="M372" s="86"/>
      <c r="N372" s="291"/>
    </row>
    <row r="373" spans="1:14" ht="15" x14ac:dyDescent="0.25">
      <c r="A373" s="711"/>
      <c r="B373" s="711"/>
      <c r="C373" s="102"/>
      <c r="D373" s="105"/>
      <c r="E373" s="105"/>
      <c r="F373" s="105"/>
      <c r="G373" s="105"/>
      <c r="H373" s="105"/>
      <c r="I373" s="105"/>
      <c r="J373" s="105"/>
      <c r="M373" s="86"/>
      <c r="N373" s="291"/>
    </row>
    <row r="374" spans="1:14" ht="15" x14ac:dyDescent="0.25">
      <c r="A374" s="706"/>
      <c r="B374" s="707"/>
      <c r="C374" s="102"/>
      <c r="D374" s="105"/>
      <c r="E374" s="105"/>
      <c r="F374" s="105"/>
      <c r="G374" s="105"/>
      <c r="H374" s="105"/>
      <c r="I374" s="105"/>
      <c r="J374" s="105"/>
      <c r="M374" s="86"/>
      <c r="N374" s="291"/>
    </row>
    <row r="375" spans="1:14" ht="15" x14ac:dyDescent="0.25">
      <c r="A375" s="145" t="s">
        <v>113</v>
      </c>
      <c r="B375" s="102"/>
      <c r="C375" s="102"/>
      <c r="D375" s="105"/>
      <c r="E375" s="105"/>
      <c r="F375" s="146"/>
      <c r="G375" s="146"/>
      <c r="H375" s="146"/>
      <c r="I375" s="146"/>
      <c r="J375" s="146"/>
      <c r="M375" s="86"/>
      <c r="N375" s="291"/>
    </row>
    <row r="376" spans="1:14" ht="15" x14ac:dyDescent="0.25">
      <c r="A376" s="102" t="str">
        <f>A381</f>
        <v xml:space="preserve">  Connections</v>
      </c>
      <c r="B376" s="102"/>
      <c r="C376" s="102"/>
      <c r="D376" s="105">
        <f>G48</f>
        <v>1953</v>
      </c>
      <c r="E376" s="105">
        <f>Summary!K35</f>
        <v>1915</v>
      </c>
      <c r="F376" s="105">
        <f>Summary!L35</f>
        <v>1920</v>
      </c>
      <c r="G376" s="105">
        <f>Summary!M35</f>
        <v>1946</v>
      </c>
      <c r="H376" s="105">
        <f>Summary!N35</f>
        <v>1949</v>
      </c>
      <c r="I376" s="105">
        <f>Summary!O35</f>
        <v>2002.9905850782741</v>
      </c>
      <c r="J376" s="105">
        <f>Summary!P35</f>
        <v>2058.4768003654217</v>
      </c>
      <c r="M376" s="86"/>
      <c r="N376" s="291"/>
    </row>
    <row r="377" spans="1:14" ht="15" x14ac:dyDescent="0.25">
      <c r="A377" s="708" t="s">
        <v>48</v>
      </c>
      <c r="B377" s="708"/>
      <c r="C377" s="102"/>
      <c r="D377" s="105">
        <f>G28</f>
        <v>1086069</v>
      </c>
      <c r="E377" s="105">
        <f>Summary!K36</f>
        <v>1155889.8842094042</v>
      </c>
      <c r="F377" s="105">
        <f>Summary!L36</f>
        <v>1135598.169746463</v>
      </c>
      <c r="G377" s="105">
        <f>Summary!M36</f>
        <v>1153818.49</v>
      </c>
      <c r="H377" s="105">
        <f>Summary!N36</f>
        <v>1163464</v>
      </c>
      <c r="I377" s="105">
        <f>Summary!O36</f>
        <v>1205214.7617062805</v>
      </c>
      <c r="J377" s="105">
        <f>Summary!P36</f>
        <v>1248463.7443313473</v>
      </c>
      <c r="M377" s="86"/>
      <c r="N377" s="291"/>
    </row>
    <row r="378" spans="1:14" ht="15" x14ac:dyDescent="0.25">
      <c r="A378" s="708" t="s">
        <v>49</v>
      </c>
      <c r="B378" s="708"/>
      <c r="C378" s="102"/>
      <c r="D378" s="105">
        <v>2900</v>
      </c>
      <c r="E378" s="105">
        <f>Summary!K37</f>
        <v>2883.032223061407</v>
      </c>
      <c r="F378" s="105">
        <f>Summary!L37</f>
        <v>3197.9392474654219</v>
      </c>
      <c r="G378" s="105">
        <f>Summary!M37</f>
        <v>3221.49</v>
      </c>
      <c r="H378" s="105">
        <f>Summary!N37</f>
        <v>3238</v>
      </c>
      <c r="I378" s="105">
        <f>Summary!O37</f>
        <v>3259.7560076882087</v>
      </c>
      <c r="J378" s="105">
        <f>Summary!P37</f>
        <v>3376.7319487552354</v>
      </c>
      <c r="M378" s="86"/>
      <c r="N378" s="291"/>
    </row>
    <row r="379" spans="1:14" ht="15" x14ac:dyDescent="0.25">
      <c r="A379" s="706"/>
      <c r="B379" s="707"/>
      <c r="C379" s="102"/>
      <c r="D379" s="105"/>
      <c r="E379" s="105"/>
      <c r="F379" s="105"/>
      <c r="G379" s="105"/>
      <c r="H379" s="105"/>
      <c r="I379" s="105"/>
      <c r="J379" s="105"/>
      <c r="M379" s="86"/>
      <c r="N379" s="291"/>
    </row>
    <row r="380" spans="1:14" ht="15" x14ac:dyDescent="0.25">
      <c r="A380" s="710" t="s">
        <v>154</v>
      </c>
      <c r="B380" s="710"/>
      <c r="C380" s="102"/>
      <c r="D380" s="105"/>
      <c r="E380" s="105"/>
      <c r="F380" s="105"/>
      <c r="G380" s="105"/>
      <c r="H380" s="105"/>
      <c r="I380" s="105"/>
      <c r="J380" s="101"/>
      <c r="M380" s="86"/>
      <c r="N380" s="291"/>
    </row>
    <row r="381" spans="1:14" ht="15" x14ac:dyDescent="0.25">
      <c r="A381" s="102" t="s">
        <v>69</v>
      </c>
      <c r="B381" s="102"/>
      <c r="C381" s="102"/>
      <c r="D381" s="429"/>
      <c r="E381" s="105">
        <f>Summary!K40</f>
        <v>0</v>
      </c>
      <c r="F381" s="429"/>
      <c r="G381" s="429"/>
      <c r="H381" s="429"/>
      <c r="I381" s="429"/>
      <c r="J381" s="429"/>
      <c r="M381" s="86"/>
      <c r="N381" s="291"/>
    </row>
    <row r="382" spans="1:14" ht="15" x14ac:dyDescent="0.25">
      <c r="A382" s="708" t="s">
        <v>48</v>
      </c>
      <c r="B382" s="708"/>
      <c r="C382" s="102"/>
      <c r="D382" s="429"/>
      <c r="E382" s="105">
        <f>Summary!K41</f>
        <v>5467.0983715836583</v>
      </c>
      <c r="F382" s="429"/>
      <c r="G382" s="429"/>
      <c r="H382" s="429"/>
      <c r="I382" s="429"/>
      <c r="J382" s="429"/>
      <c r="M382" s="86"/>
      <c r="N382" s="291"/>
    </row>
    <row r="383" spans="1:14" ht="15" x14ac:dyDescent="0.25">
      <c r="A383" s="708" t="s">
        <v>49</v>
      </c>
      <c r="B383" s="708"/>
      <c r="C383" s="102"/>
      <c r="D383" s="429"/>
      <c r="E383" s="105">
        <f>Summary!K42</f>
        <v>102.41462255342987</v>
      </c>
      <c r="F383" s="429"/>
      <c r="G383" s="429"/>
      <c r="H383" s="429"/>
      <c r="I383" s="429"/>
      <c r="J383" s="429"/>
      <c r="M383" s="86"/>
      <c r="N383" s="291"/>
    </row>
    <row r="384" spans="1:14" ht="15" x14ac:dyDescent="0.25">
      <c r="A384" s="711"/>
      <c r="B384" s="711"/>
      <c r="C384" s="102"/>
      <c r="D384" s="105"/>
      <c r="E384" s="105"/>
      <c r="F384" s="105"/>
      <c r="G384" s="105"/>
      <c r="H384" s="105"/>
      <c r="I384" s="105"/>
      <c r="J384" s="101"/>
      <c r="M384" s="86"/>
      <c r="N384" s="291"/>
    </row>
    <row r="385" spans="1:14" ht="15" x14ac:dyDescent="0.25">
      <c r="A385" s="710" t="s">
        <v>155</v>
      </c>
      <c r="B385" s="710"/>
      <c r="C385" s="102"/>
      <c r="D385" s="105"/>
      <c r="E385" s="105"/>
      <c r="F385" s="105"/>
      <c r="G385" s="105"/>
      <c r="H385" s="105"/>
      <c r="I385" s="105"/>
      <c r="J385" s="101"/>
      <c r="M385" s="86"/>
      <c r="N385" s="291"/>
    </row>
    <row r="386" spans="1:14" ht="15" x14ac:dyDescent="0.25">
      <c r="A386" s="102" t="str">
        <f>A376</f>
        <v xml:space="preserve">  Connections</v>
      </c>
      <c r="B386" s="102"/>
      <c r="C386" s="102"/>
      <c r="D386" s="105">
        <f>I48</f>
        <v>32</v>
      </c>
      <c r="E386" s="105">
        <f>Summary!K45</f>
        <v>22</v>
      </c>
      <c r="F386" s="105">
        <f>Summary!L45</f>
        <v>20</v>
      </c>
      <c r="G386" s="105">
        <f>Summary!M45</f>
        <v>22</v>
      </c>
      <c r="H386" s="105">
        <f>Summary!N45</f>
        <v>22</v>
      </c>
      <c r="I386" s="105">
        <f>Summary!N45</f>
        <v>22</v>
      </c>
      <c r="J386" s="105">
        <f>Summary!O45</f>
        <v>21.809405368179451</v>
      </c>
      <c r="M386" s="86"/>
      <c r="N386" s="291"/>
    </row>
    <row r="387" spans="1:14" ht="15" x14ac:dyDescent="0.25">
      <c r="A387" s="708" t="s">
        <v>48</v>
      </c>
      <c r="B387" s="708"/>
      <c r="C387" s="102"/>
      <c r="D387" s="105">
        <f>I28</f>
        <v>302169</v>
      </c>
      <c r="E387" s="105">
        <f>Summary!K46</f>
        <v>196888.83628239558</v>
      </c>
      <c r="F387" s="105">
        <f>Summary!L46</f>
        <v>217647.11835051546</v>
      </c>
      <c r="G387" s="105">
        <f>Summary!M46</f>
        <v>237398.62</v>
      </c>
      <c r="H387" s="105">
        <f>Summary!N46</f>
        <v>235713.28</v>
      </c>
      <c r="I387" s="105">
        <f>Summary!O46</f>
        <v>238006.56062295177</v>
      </c>
      <c r="J387" s="105">
        <f>Summary!P46</f>
        <v>240322.1528272265</v>
      </c>
      <c r="M387" s="86"/>
      <c r="N387" s="291"/>
    </row>
    <row r="388" spans="1:14" ht="15" x14ac:dyDescent="0.25">
      <c r="A388" s="711"/>
      <c r="B388" s="711"/>
      <c r="C388" s="102"/>
      <c r="D388" s="105"/>
      <c r="E388" s="105"/>
      <c r="F388" s="105"/>
      <c r="G388" s="105"/>
      <c r="H388" s="105"/>
      <c r="I388" s="105"/>
      <c r="J388" s="105"/>
      <c r="M388" s="86"/>
      <c r="N388" s="291"/>
    </row>
    <row r="389" spans="1:14" ht="15" x14ac:dyDescent="0.25">
      <c r="A389" s="710" t="s">
        <v>70</v>
      </c>
      <c r="B389" s="710"/>
      <c r="C389" s="102"/>
      <c r="D389" s="105"/>
      <c r="E389" s="105"/>
      <c r="F389" s="105"/>
      <c r="G389" s="105"/>
      <c r="H389" s="105"/>
      <c r="I389" s="105"/>
      <c r="J389" s="105"/>
      <c r="M389" s="86"/>
      <c r="N389" s="291"/>
    </row>
    <row r="390" spans="1:14" ht="15" x14ac:dyDescent="0.25">
      <c r="A390" s="142" t="s">
        <v>59</v>
      </c>
      <c r="B390" s="102"/>
      <c r="C390" s="102"/>
      <c r="D390" s="147">
        <f>D362+D366+D370+D381+D376+D386</f>
        <v>9901</v>
      </c>
      <c r="E390" s="147">
        <f t="shared" ref="E390:J390" si="93">E362+E366+E370+E381+E376+E386</f>
        <v>9795</v>
      </c>
      <c r="F390" s="147">
        <f t="shared" si="93"/>
        <v>9823</v>
      </c>
      <c r="G390" s="147">
        <f t="shared" si="93"/>
        <v>10005</v>
      </c>
      <c r="H390" s="147">
        <f t="shared" si="93"/>
        <v>10158</v>
      </c>
      <c r="I390" s="147">
        <f t="shared" si="93"/>
        <v>10368.210996123702</v>
      </c>
      <c r="J390" s="147">
        <f t="shared" si="93"/>
        <v>10671.996004274841</v>
      </c>
      <c r="M390" s="86"/>
      <c r="N390" s="291"/>
    </row>
    <row r="391" spans="1:14" ht="15" x14ac:dyDescent="0.25">
      <c r="A391" s="713" t="s">
        <v>48</v>
      </c>
      <c r="B391" s="713"/>
      <c r="C391" s="102"/>
      <c r="D391" s="147">
        <f>D363+D367+D371+D382+D377+D387</f>
        <v>183346000</v>
      </c>
      <c r="E391" s="147">
        <f t="shared" ref="E391:J391" si="94">E363+E367+E371+E382+E377+E387</f>
        <v>172882903.57852563</v>
      </c>
      <c r="F391" s="147">
        <f t="shared" si="94"/>
        <v>177644371.28773403</v>
      </c>
      <c r="G391" s="147">
        <f t="shared" si="94"/>
        <v>183889036.04000002</v>
      </c>
      <c r="H391" s="147">
        <f t="shared" si="94"/>
        <v>183371442.02000001</v>
      </c>
      <c r="I391" s="147">
        <f t="shared" si="94"/>
        <v>180713812.20642555</v>
      </c>
      <c r="J391" s="147">
        <f t="shared" si="94"/>
        <v>187976750.17647019</v>
      </c>
      <c r="M391" s="86"/>
      <c r="N391" s="291"/>
    </row>
    <row r="392" spans="1:14" ht="15" x14ac:dyDescent="0.25">
      <c r="A392" s="713" t="s">
        <v>58</v>
      </c>
      <c r="B392" s="713"/>
      <c r="C392" s="102"/>
      <c r="D392" s="147">
        <f>D364+D368+D372+D383+D378+D388</f>
        <v>210972</v>
      </c>
      <c r="E392" s="147">
        <f t="shared" ref="E392:J392" si="95">E364+E368+E372+E383+E378+E388</f>
        <v>195415.59234697139</v>
      </c>
      <c r="F392" s="147">
        <f t="shared" si="95"/>
        <v>200917.70349332422</v>
      </c>
      <c r="G392" s="147">
        <f t="shared" si="95"/>
        <v>203911.44999999998</v>
      </c>
      <c r="H392" s="147">
        <f t="shared" si="95"/>
        <v>205975.31</v>
      </c>
      <c r="I392" s="147">
        <f t="shared" si="95"/>
        <v>197943.20988602252</v>
      </c>
      <c r="J392" s="147">
        <f t="shared" si="95"/>
        <v>202685.56180783818</v>
      </c>
      <c r="M392" s="86"/>
      <c r="N392" s="291"/>
    </row>
    <row r="393" spans="1:14" ht="15" x14ac:dyDescent="0.25">
      <c r="A393" s="148"/>
      <c r="B393" s="149"/>
      <c r="C393" s="81"/>
      <c r="D393" s="105"/>
      <c r="E393" s="105"/>
      <c r="F393" s="105"/>
      <c r="G393" s="105"/>
      <c r="H393" s="105"/>
      <c r="I393" s="105"/>
      <c r="J393" s="101"/>
      <c r="M393" s="291"/>
      <c r="N393" s="291"/>
    </row>
    <row r="394" spans="1:14" customFormat="1" ht="15" x14ac:dyDescent="0.25">
      <c r="E394" s="66"/>
      <c r="F394" s="66"/>
      <c r="G394" s="66"/>
      <c r="H394" s="66"/>
      <c r="I394" s="66"/>
      <c r="J394" s="66"/>
      <c r="M394" s="291"/>
      <c r="N394" s="34"/>
    </row>
    <row r="395" spans="1:14" customFormat="1" ht="15" x14ac:dyDescent="0.25">
      <c r="D395" s="163">
        <f>G6</f>
        <v>9901</v>
      </c>
      <c r="E395" s="66">
        <f>Summary!K49</f>
        <v>9795</v>
      </c>
      <c r="F395" s="66">
        <f>Summary!L49</f>
        <v>9823</v>
      </c>
      <c r="G395" s="66">
        <f>Summary!M49</f>
        <v>10005</v>
      </c>
      <c r="H395" s="66">
        <f>Summary!N49</f>
        <v>10158</v>
      </c>
      <c r="I395" s="66">
        <f>Summary!O49</f>
        <v>10368.020401491882</v>
      </c>
      <c r="J395" s="66">
        <f>Summary!P49</f>
        <v>10671.807060839095</v>
      </c>
      <c r="M395" s="291"/>
      <c r="N395" s="34"/>
    </row>
    <row r="396" spans="1:14" customFormat="1" ht="15" x14ac:dyDescent="0.25">
      <c r="D396" s="66">
        <f>D6</f>
        <v>183346000</v>
      </c>
      <c r="E396" s="66">
        <f>Summary!K50</f>
        <v>172882903.57852563</v>
      </c>
      <c r="F396" s="66">
        <f>Summary!L50</f>
        <v>177644371.28773403</v>
      </c>
      <c r="G396" s="66">
        <f>Summary!M50</f>
        <v>183889036.04000002</v>
      </c>
      <c r="H396" s="66">
        <f>Summary!N50</f>
        <v>183371442.02000001</v>
      </c>
      <c r="I396" s="66">
        <f>Summary!O50</f>
        <v>180713812.20642555</v>
      </c>
      <c r="J396" s="66">
        <f>Summary!P50</f>
        <v>187976750.17647019</v>
      </c>
      <c r="M396" s="291"/>
      <c r="N396" s="34"/>
    </row>
    <row r="397" spans="1:14" customFormat="1" ht="15" x14ac:dyDescent="0.25">
      <c r="D397" s="447">
        <f>2900+208072</f>
        <v>210972</v>
      </c>
      <c r="E397" s="66">
        <f>Summary!K51</f>
        <v>195415.59234697139</v>
      </c>
      <c r="F397" s="66">
        <f>Summary!L51</f>
        <v>200917.70349332422</v>
      </c>
      <c r="G397" s="66">
        <f>Summary!M51</f>
        <v>203911.44999999998</v>
      </c>
      <c r="H397" s="66">
        <f>Summary!N51</f>
        <v>205975.31</v>
      </c>
      <c r="I397" s="66">
        <f>Summary!O51</f>
        <v>197943.20988602252</v>
      </c>
      <c r="J397" s="66">
        <f>Summary!P51</f>
        <v>202685.56180783818</v>
      </c>
      <c r="M397" s="291"/>
      <c r="N397" s="34"/>
    </row>
    <row r="398" spans="1:14" customFormat="1" ht="15" x14ac:dyDescent="0.25">
      <c r="E398" s="66"/>
      <c r="F398" s="66"/>
      <c r="G398" s="66"/>
      <c r="H398" s="66"/>
      <c r="I398" s="66"/>
      <c r="J398" s="66"/>
      <c r="M398" s="291"/>
      <c r="N398" s="34"/>
    </row>
    <row r="399" spans="1:14" customFormat="1" ht="15" x14ac:dyDescent="0.25">
      <c r="D399" s="66">
        <f t="shared" ref="D399:G399" si="96">D390-D395</f>
        <v>0</v>
      </c>
      <c r="E399" s="66">
        <f t="shared" si="96"/>
        <v>0</v>
      </c>
      <c r="F399" s="66">
        <f t="shared" si="96"/>
        <v>0</v>
      </c>
      <c r="G399" s="66">
        <f t="shared" si="96"/>
        <v>0</v>
      </c>
      <c r="H399" s="66">
        <f t="shared" ref="H399" si="97">H390-H395</f>
        <v>0</v>
      </c>
      <c r="I399" s="66">
        <f t="shared" ref="I399:J401" si="98">I390-I395</f>
        <v>0.19059463182020409</v>
      </c>
      <c r="J399" s="66">
        <f t="shared" si="98"/>
        <v>0.18894343574538652</v>
      </c>
      <c r="M399" s="291"/>
      <c r="N399" s="34"/>
    </row>
    <row r="400" spans="1:14" customFormat="1" ht="15" x14ac:dyDescent="0.25">
      <c r="D400" s="66">
        <f>D391-D396</f>
        <v>0</v>
      </c>
      <c r="E400" s="66">
        <f t="shared" ref="E400:G401" si="99">E391-E396</f>
        <v>0</v>
      </c>
      <c r="F400" s="66">
        <f t="shared" si="99"/>
        <v>0</v>
      </c>
      <c r="G400" s="66">
        <f t="shared" si="99"/>
        <v>0</v>
      </c>
      <c r="H400" s="66">
        <f t="shared" ref="H400" si="100">H391-H396</f>
        <v>0</v>
      </c>
      <c r="I400" s="66">
        <f t="shared" si="98"/>
        <v>0</v>
      </c>
      <c r="J400" s="66">
        <f t="shared" si="98"/>
        <v>0</v>
      </c>
      <c r="M400" s="291"/>
      <c r="N400" s="34"/>
    </row>
    <row r="401" spans="1:14" customFormat="1" ht="15" x14ac:dyDescent="0.25">
      <c r="D401" s="66">
        <f>D392-D397</f>
        <v>0</v>
      </c>
      <c r="E401" s="66">
        <f t="shared" si="99"/>
        <v>0</v>
      </c>
      <c r="F401" s="66">
        <f t="shared" si="99"/>
        <v>0</v>
      </c>
      <c r="G401" s="66">
        <f t="shared" si="99"/>
        <v>0</v>
      </c>
      <c r="H401" s="66">
        <f t="shared" ref="H401" si="101">H392-H397</f>
        <v>0</v>
      </c>
      <c r="I401" s="66">
        <f t="shared" si="98"/>
        <v>0</v>
      </c>
      <c r="J401" s="66">
        <f t="shared" si="98"/>
        <v>0</v>
      </c>
      <c r="M401" s="291"/>
      <c r="N401" s="34"/>
    </row>
    <row r="402" spans="1:14" customFormat="1" ht="12.75" x14ac:dyDescent="0.2"/>
    <row r="403" spans="1:14" customFormat="1" ht="12.75" x14ac:dyDescent="0.2"/>
    <row r="404" spans="1:14" customFormat="1" ht="12.75" x14ac:dyDescent="0.2"/>
    <row r="405" spans="1:14" customFormat="1" ht="12.75" x14ac:dyDescent="0.2"/>
    <row r="406" spans="1:14" customFormat="1" ht="12.75" x14ac:dyDescent="0.2"/>
    <row r="407" spans="1:14" customFormat="1" ht="12.75" x14ac:dyDescent="0.2"/>
    <row r="408" spans="1:14" customFormat="1" ht="12.75" x14ac:dyDescent="0.2"/>
    <row r="409" spans="1:14" customFormat="1" ht="12.75" x14ac:dyDescent="0.2"/>
    <row r="410" spans="1:14" customFormat="1" ht="12.75" x14ac:dyDescent="0.2"/>
    <row r="411" spans="1:14" customFormat="1" ht="12.75" x14ac:dyDescent="0.2"/>
    <row r="412" spans="1:14" customFormat="1" ht="12.75" x14ac:dyDescent="0.2"/>
    <row r="413" spans="1:14" customFormat="1" ht="12.75" x14ac:dyDescent="0.2"/>
    <row r="414" spans="1:14" customFormat="1" ht="15" x14ac:dyDescent="0.2">
      <c r="A414" s="714" t="s">
        <v>473</v>
      </c>
      <c r="B414" s="715"/>
      <c r="C414" s="715"/>
      <c r="D414" s="715"/>
      <c r="E414" s="715"/>
      <c r="F414" s="715"/>
      <c r="G414" s="715"/>
      <c r="H414" s="715"/>
      <c r="I414" s="716"/>
    </row>
    <row r="415" spans="1:14" customFormat="1" ht="15" x14ac:dyDescent="0.2">
      <c r="A415" s="720" t="s">
        <v>105</v>
      </c>
      <c r="B415" s="720"/>
      <c r="C415" s="645"/>
      <c r="D415" s="77" t="s">
        <v>94</v>
      </c>
      <c r="E415" s="77" t="s">
        <v>152</v>
      </c>
      <c r="F415" s="77" t="s">
        <v>153</v>
      </c>
      <c r="G415" s="77" t="s">
        <v>113</v>
      </c>
      <c r="H415" s="77" t="s">
        <v>154</v>
      </c>
      <c r="I415" s="77" t="s">
        <v>155</v>
      </c>
    </row>
    <row r="416" spans="1:14" customFormat="1" ht="15" x14ac:dyDescent="0.2">
      <c r="A416" s="717" t="s">
        <v>128</v>
      </c>
      <c r="B416" s="718"/>
      <c r="C416" s="718"/>
      <c r="D416" s="718"/>
      <c r="E416" s="718"/>
      <c r="F416" s="718"/>
      <c r="G416" s="718"/>
      <c r="H416" s="718"/>
      <c r="I416" s="719"/>
    </row>
    <row r="417" spans="1:9" customFormat="1" ht="15" x14ac:dyDescent="0.2">
      <c r="A417" s="528" t="s">
        <v>472</v>
      </c>
      <c r="B417" s="643"/>
      <c r="C417" s="643"/>
      <c r="D417" s="643"/>
      <c r="E417" s="643"/>
      <c r="F417" s="643"/>
      <c r="G417" s="643"/>
      <c r="H417" s="643"/>
      <c r="I417" s="644"/>
    </row>
    <row r="418" spans="1:9" customFormat="1" x14ac:dyDescent="0.2">
      <c r="A418" s="708">
        <f>A217</f>
        <v>2008</v>
      </c>
      <c r="B418" s="708">
        <f t="shared" ref="B418:I418" si="102">B217</f>
        <v>0</v>
      </c>
      <c r="C418" s="646">
        <f t="shared" si="102"/>
        <v>0</v>
      </c>
      <c r="D418" s="123">
        <f t="shared" si="102"/>
        <v>9785.6862882566056</v>
      </c>
      <c r="E418" s="123">
        <f t="shared" si="102"/>
        <v>28608.279005142511</v>
      </c>
      <c r="F418" s="123">
        <f t="shared" si="102"/>
        <v>647616.05276679632</v>
      </c>
      <c r="G418" s="123">
        <f t="shared" si="102"/>
        <v>588.82261872065794</v>
      </c>
      <c r="H418" s="123">
        <f t="shared" si="102"/>
        <v>920.22408865151669</v>
      </c>
      <c r="I418" s="123">
        <f t="shared" si="102"/>
        <v>9603.5856985040427</v>
      </c>
    </row>
    <row r="419" spans="1:9" customFormat="1" x14ac:dyDescent="0.2">
      <c r="A419" s="708">
        <f t="shared" ref="A419:I419" si="103">A218</f>
        <v>2009</v>
      </c>
      <c r="B419" s="708">
        <f t="shared" si="103"/>
        <v>0</v>
      </c>
      <c r="C419" s="646">
        <f t="shared" si="103"/>
        <v>0</v>
      </c>
      <c r="D419" s="123">
        <f t="shared" si="103"/>
        <v>9719.4688044135473</v>
      </c>
      <c r="E419" s="123">
        <f t="shared" si="103"/>
        <v>27389.327474991864</v>
      </c>
      <c r="F419" s="123">
        <f t="shared" si="103"/>
        <v>616456.21037275461</v>
      </c>
      <c r="G419" s="123">
        <f t="shared" si="103"/>
        <v>603.59785076209096</v>
      </c>
      <c r="H419" s="436"/>
      <c r="I419" s="123">
        <f t="shared" si="103"/>
        <v>8949.492558290709</v>
      </c>
    </row>
    <row r="420" spans="1:9" customFormat="1" x14ac:dyDescent="0.2">
      <c r="A420" s="708">
        <f t="shared" ref="A420:I420" si="104">A219</f>
        <v>2010</v>
      </c>
      <c r="B420" s="708">
        <f t="shared" si="104"/>
        <v>0</v>
      </c>
      <c r="C420" s="646">
        <f t="shared" si="104"/>
        <v>0</v>
      </c>
      <c r="D420" s="123">
        <f t="shared" si="104"/>
        <v>10120.771067532742</v>
      </c>
      <c r="E420" s="123">
        <f t="shared" si="104"/>
        <v>27287.14508935545</v>
      </c>
      <c r="F420" s="123">
        <f t="shared" si="104"/>
        <v>633924.73385714972</v>
      </c>
      <c r="G420" s="123">
        <f t="shared" si="104"/>
        <v>591.45738007628279</v>
      </c>
      <c r="H420" s="436"/>
      <c r="I420" s="123">
        <f t="shared" si="104"/>
        <v>10882.355917525772</v>
      </c>
    </row>
    <row r="421" spans="1:9" customFormat="1" x14ac:dyDescent="0.2">
      <c r="A421" s="708">
        <f t="shared" ref="A421:I421" si="105">A220</f>
        <v>2011</v>
      </c>
      <c r="B421" s="708">
        <f t="shared" si="105"/>
        <v>0</v>
      </c>
      <c r="C421" s="646">
        <f t="shared" si="105"/>
        <v>0</v>
      </c>
      <c r="D421" s="123">
        <f t="shared" si="105"/>
        <v>10142.502874287427</v>
      </c>
      <c r="E421" s="123">
        <f t="shared" si="105"/>
        <v>27460.254996009582</v>
      </c>
      <c r="F421" s="123">
        <f t="shared" si="105"/>
        <v>682035.55305084749</v>
      </c>
      <c r="G421" s="123">
        <f t="shared" si="105"/>
        <v>592.91803186022605</v>
      </c>
      <c r="H421" s="436"/>
      <c r="I421" s="123">
        <f t="shared" si="105"/>
        <v>10790.846363636363</v>
      </c>
    </row>
    <row r="422" spans="1:9" customFormat="1" x14ac:dyDescent="0.2">
      <c r="A422" s="708">
        <f t="shared" ref="A422:I422" si="106">A221</f>
        <v>2012</v>
      </c>
      <c r="B422" s="708">
        <f t="shared" si="106"/>
        <v>0</v>
      </c>
      <c r="C422" s="646">
        <f t="shared" si="106"/>
        <v>0</v>
      </c>
      <c r="D422" s="123">
        <f t="shared" si="106"/>
        <v>9854.1634071575245</v>
      </c>
      <c r="E422" s="123">
        <f t="shared" si="106"/>
        <v>28405.89282747604</v>
      </c>
      <c r="F422" s="123">
        <f t="shared" si="106"/>
        <v>677114.53683760681</v>
      </c>
      <c r="G422" s="123">
        <f t="shared" si="106"/>
        <v>596.9543355566957</v>
      </c>
      <c r="H422" s="436"/>
      <c r="I422" s="123">
        <f t="shared" si="106"/>
        <v>10714.24</v>
      </c>
    </row>
    <row r="423" spans="1:9" customFormat="1" ht="12.75" x14ac:dyDescent="0.2">
      <c r="A423" s="528" t="s">
        <v>471</v>
      </c>
    </row>
    <row r="424" spans="1:9" customFormat="1" x14ac:dyDescent="0.2">
      <c r="A424" s="708">
        <v>2013</v>
      </c>
      <c r="B424" s="708"/>
      <c r="D424" s="123">
        <f>I363/I362</f>
        <v>9528.9954800619453</v>
      </c>
      <c r="E424" s="123">
        <f>I367/I366</f>
        <v>27192.26169150629</v>
      </c>
      <c r="F424" s="123">
        <f>I371/I370</f>
        <v>654472.67820611689</v>
      </c>
      <c r="G424" s="123">
        <f>I377/I376</f>
        <v>601.70765189052668</v>
      </c>
      <c r="H424" s="436"/>
      <c r="I424" s="123">
        <f>I387/I386</f>
        <v>10818.480028315989</v>
      </c>
    </row>
    <row r="425" spans="1:9" customFormat="1" x14ac:dyDescent="0.2">
      <c r="A425" s="708">
        <v>2014</v>
      </c>
      <c r="B425" s="708"/>
      <c r="D425" s="123">
        <f>J363/J362</f>
        <v>9539.0802018395079</v>
      </c>
      <c r="E425" s="123">
        <f>J367/J366</f>
        <v>28056.642314658784</v>
      </c>
      <c r="F425" s="123">
        <f>J371/J370</f>
        <v>642769.88063852629</v>
      </c>
      <c r="G425" s="123">
        <f>J377/J376</f>
        <v>606.49881704264021</v>
      </c>
      <c r="H425" s="436"/>
      <c r="I425" s="123">
        <f>J387/J386</f>
        <v>11019.197853870121</v>
      </c>
    </row>
    <row r="426" spans="1:9" customFormat="1" ht="12.75" x14ac:dyDescent="0.2"/>
    <row r="427" spans="1:9" customFormat="1" ht="12.75" x14ac:dyDescent="0.2"/>
    <row r="428" spans="1:9" customFormat="1" ht="12.75" x14ac:dyDescent="0.2"/>
    <row r="429" spans="1:9" customFormat="1" ht="12.75" x14ac:dyDescent="0.2"/>
    <row r="430" spans="1:9" customFormat="1" ht="12.75" x14ac:dyDescent="0.2"/>
    <row r="431" spans="1:9" customFormat="1" ht="12.75" x14ac:dyDescent="0.2"/>
    <row r="432" spans="1:9"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sheetData>
  <mergeCells count="234">
    <mergeCell ref="A425:B425"/>
    <mergeCell ref="A414:I414"/>
    <mergeCell ref="A415:B415"/>
    <mergeCell ref="A416:I416"/>
    <mergeCell ref="A418:B418"/>
    <mergeCell ref="A419:B419"/>
    <mergeCell ref="A420:B420"/>
    <mergeCell ref="A421:B421"/>
    <mergeCell ref="A422:B422"/>
    <mergeCell ref="A424:B424"/>
    <mergeCell ref="A305:B305"/>
    <mergeCell ref="A306:B306"/>
    <mergeCell ref="A307:J307"/>
    <mergeCell ref="A157:B157"/>
    <mergeCell ref="A161:D161"/>
    <mergeCell ref="A165:J165"/>
    <mergeCell ref="A167:J167"/>
    <mergeCell ref="A180:B180"/>
    <mergeCell ref="A182:I182"/>
    <mergeCell ref="A184:I184"/>
    <mergeCell ref="A166:B166"/>
    <mergeCell ref="A169:B169"/>
    <mergeCell ref="A168:B168"/>
    <mergeCell ref="A173:B173"/>
    <mergeCell ref="A174:B174"/>
    <mergeCell ref="A175:B175"/>
    <mergeCell ref="A176:B176"/>
    <mergeCell ref="A177:B177"/>
    <mergeCell ref="A178:B178"/>
    <mergeCell ref="A179:B179"/>
    <mergeCell ref="A183:B183"/>
    <mergeCell ref="A187:B187"/>
    <mergeCell ref="A188:B188"/>
    <mergeCell ref="A210:B210"/>
    <mergeCell ref="A68:I68"/>
    <mergeCell ref="A69:I69"/>
    <mergeCell ref="A71:I71"/>
    <mergeCell ref="A87:I87"/>
    <mergeCell ref="A88:I88"/>
    <mergeCell ref="D108:H108"/>
    <mergeCell ref="D109:H109"/>
    <mergeCell ref="D110:H110"/>
    <mergeCell ref="A304:J304"/>
    <mergeCell ref="D112:H112"/>
    <mergeCell ref="A122:D122"/>
    <mergeCell ref="A89:I89"/>
    <mergeCell ref="A91:I91"/>
    <mergeCell ref="A123:B123"/>
    <mergeCell ref="A124:B124"/>
    <mergeCell ref="A127:B127"/>
    <mergeCell ref="A250:B250"/>
    <mergeCell ref="A247:J247"/>
    <mergeCell ref="A211:B211"/>
    <mergeCell ref="A212:B212"/>
    <mergeCell ref="A213:B213"/>
    <mergeCell ref="A214:B214"/>
    <mergeCell ref="A215:B215"/>
    <mergeCell ref="A209:B209"/>
    <mergeCell ref="A311:G311"/>
    <mergeCell ref="A313:G313"/>
    <mergeCell ref="A138:F138"/>
    <mergeCell ref="A125:B125"/>
    <mergeCell ref="A128:B128"/>
    <mergeCell ref="D116:H116"/>
    <mergeCell ref="D114:H114"/>
    <mergeCell ref="A139:B139"/>
    <mergeCell ref="A140:F140"/>
    <mergeCell ref="A147:B147"/>
    <mergeCell ref="A148:B148"/>
    <mergeCell ref="A145:B145"/>
    <mergeCell ref="A146:B146"/>
    <mergeCell ref="A141:B141"/>
    <mergeCell ref="A142:B142"/>
    <mergeCell ref="A143:B143"/>
    <mergeCell ref="A144:B144"/>
    <mergeCell ref="A208:I208"/>
    <mergeCell ref="A221:B221"/>
    <mergeCell ref="A223:I223"/>
    <mergeCell ref="A225:I225"/>
    <mergeCell ref="A238:B238"/>
    <mergeCell ref="A241:I241"/>
    <mergeCell ref="A243:I243"/>
    <mergeCell ref="A216:B216"/>
    <mergeCell ref="A217:B217"/>
    <mergeCell ref="A242:B242"/>
    <mergeCell ref="A244:B244"/>
    <mergeCell ref="A245:B245"/>
    <mergeCell ref="A232:B232"/>
    <mergeCell ref="A2:I2"/>
    <mergeCell ref="A29:B29"/>
    <mergeCell ref="A49:B49"/>
    <mergeCell ref="A4:I4"/>
    <mergeCell ref="A5:B5"/>
    <mergeCell ref="A7:B7"/>
    <mergeCell ref="A25:B25"/>
    <mergeCell ref="A27:B27"/>
    <mergeCell ref="A67:B67"/>
    <mergeCell ref="A24:J24"/>
    <mergeCell ref="A45:J45"/>
    <mergeCell ref="A46:J46"/>
    <mergeCell ref="A47:J47"/>
    <mergeCell ref="A66:I66"/>
    <mergeCell ref="A149:B149"/>
    <mergeCell ref="A150:B150"/>
    <mergeCell ref="A151:B151"/>
    <mergeCell ref="A152:B152"/>
    <mergeCell ref="A153:B153"/>
    <mergeCell ref="A154:B154"/>
    <mergeCell ref="A170:B170"/>
    <mergeCell ref="A171:B171"/>
    <mergeCell ref="A172:B172"/>
    <mergeCell ref="A158:D158"/>
    <mergeCell ref="A159:D159"/>
    <mergeCell ref="A160:D160"/>
    <mergeCell ref="A155:B155"/>
    <mergeCell ref="A156:B156"/>
    <mergeCell ref="A189:B189"/>
    <mergeCell ref="A190:B190"/>
    <mergeCell ref="A191:B191"/>
    <mergeCell ref="A185:B185"/>
    <mergeCell ref="A186:B186"/>
    <mergeCell ref="A192:B192"/>
    <mergeCell ref="A193:B193"/>
    <mergeCell ref="A194:B194"/>
    <mergeCell ref="A195:B195"/>
    <mergeCell ref="A196:B196"/>
    <mergeCell ref="A198:B198"/>
    <mergeCell ref="A201:B201"/>
    <mergeCell ref="A203:B203"/>
    <mergeCell ref="A204:B204"/>
    <mergeCell ref="A207:B207"/>
    <mergeCell ref="A197:B197"/>
    <mergeCell ref="A205:I205"/>
    <mergeCell ref="A206:I206"/>
    <mergeCell ref="A200:J200"/>
    <mergeCell ref="A202:J202"/>
    <mergeCell ref="A233:B233"/>
    <mergeCell ref="A234:B234"/>
    <mergeCell ref="A235:B235"/>
    <mergeCell ref="A218:B218"/>
    <mergeCell ref="A219:B219"/>
    <mergeCell ref="A220:B220"/>
    <mergeCell ref="A236:B236"/>
    <mergeCell ref="A237:B237"/>
    <mergeCell ref="A224:B224"/>
    <mergeCell ref="A228:B228"/>
    <mergeCell ref="A229:B229"/>
    <mergeCell ref="A230:B230"/>
    <mergeCell ref="A231:B231"/>
    <mergeCell ref="A226:B226"/>
    <mergeCell ref="A227:B227"/>
    <mergeCell ref="A239:B239"/>
    <mergeCell ref="A248:B248"/>
    <mergeCell ref="D259:H259"/>
    <mergeCell ref="B272:H272"/>
    <mergeCell ref="B273:H273"/>
    <mergeCell ref="A251:B251"/>
    <mergeCell ref="D254:I254"/>
    <mergeCell ref="D256:I256"/>
    <mergeCell ref="B274:H274"/>
    <mergeCell ref="B281:H281"/>
    <mergeCell ref="A294:B294"/>
    <mergeCell ref="A299:B299"/>
    <mergeCell ref="A300:B300"/>
    <mergeCell ref="A293:J293"/>
    <mergeCell ref="A295:J295"/>
    <mergeCell ref="A298:J298"/>
    <mergeCell ref="A302:B302"/>
    <mergeCell ref="A303:B303"/>
    <mergeCell ref="A301:J301"/>
    <mergeCell ref="B288:J288"/>
    <mergeCell ref="A312:B312"/>
    <mergeCell ref="A316:B316"/>
    <mergeCell ref="A317:B317"/>
    <mergeCell ref="A318:B318"/>
    <mergeCell ref="A319:B319"/>
    <mergeCell ref="A320:B320"/>
    <mergeCell ref="A321:B321"/>
    <mergeCell ref="A322:B322"/>
    <mergeCell ref="A323:B323"/>
    <mergeCell ref="A314:B314"/>
    <mergeCell ref="A344:B344"/>
    <mergeCell ref="A346:G346"/>
    <mergeCell ref="A348:G348"/>
    <mergeCell ref="A352:J352"/>
    <mergeCell ref="A324:B324"/>
    <mergeCell ref="A325:B325"/>
    <mergeCell ref="A329:B329"/>
    <mergeCell ref="A333:B333"/>
    <mergeCell ref="A334:B334"/>
    <mergeCell ref="A335:B335"/>
    <mergeCell ref="A336:B336"/>
    <mergeCell ref="A337:B337"/>
    <mergeCell ref="A338:B338"/>
    <mergeCell ref="A328:F328"/>
    <mergeCell ref="A330:F330"/>
    <mergeCell ref="A326:B326"/>
    <mergeCell ref="A343:B343"/>
    <mergeCell ref="A387:B387"/>
    <mergeCell ref="A388:B388"/>
    <mergeCell ref="A389:B389"/>
    <mergeCell ref="A391:B391"/>
    <mergeCell ref="A392:B392"/>
    <mergeCell ref="A383:B383"/>
    <mergeCell ref="A384:B384"/>
    <mergeCell ref="A377:B377"/>
    <mergeCell ref="A378:B378"/>
    <mergeCell ref="A385:B385"/>
    <mergeCell ref="A380:B380"/>
    <mergeCell ref="A382:B382"/>
    <mergeCell ref="A374:B374"/>
    <mergeCell ref="A379:B379"/>
    <mergeCell ref="A315:B315"/>
    <mergeCell ref="A331:B331"/>
    <mergeCell ref="A332:B332"/>
    <mergeCell ref="A360:I360"/>
    <mergeCell ref="A369:B369"/>
    <mergeCell ref="A371:B371"/>
    <mergeCell ref="A372:B372"/>
    <mergeCell ref="A373:B373"/>
    <mergeCell ref="A363:B363"/>
    <mergeCell ref="A364:B364"/>
    <mergeCell ref="A365:B365"/>
    <mergeCell ref="A367:B367"/>
    <mergeCell ref="A368:B368"/>
    <mergeCell ref="A347:B347"/>
    <mergeCell ref="A353:B353"/>
    <mergeCell ref="A354:B354"/>
    <mergeCell ref="A355:I355"/>
    <mergeCell ref="A359:B359"/>
    <mergeCell ref="A339:B339"/>
    <mergeCell ref="A340:B340"/>
    <mergeCell ref="A341:B341"/>
    <mergeCell ref="A342:B342"/>
  </mergeCells>
  <conditionalFormatting sqref="D399:J401">
    <cfRule type="cellIs" dxfId="0" priority="1" operator="notEqual">
      <formula>0</formula>
    </cfRule>
  </conditionalFormatting>
  <printOptions headings="1" gridLines="1"/>
  <pageMargins left="0.7" right="0.7" top="0.75" bottom="0.75" header="0.3" footer="0.3"/>
  <pageSetup scale="10" orientation="landscape" r:id="rId1"/>
  <headerFooter alignWithMargins="0">
    <oddHeader>&amp;L&amp;Z&amp;F&amp;A</oddHeader>
    <oddFooter>&amp;L&amp;D&amp;T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5</vt:i4>
      </vt:variant>
    </vt:vector>
  </HeadingPairs>
  <TitlesOfParts>
    <vt:vector size="28" baseType="lpstr">
      <vt:lpstr>Summary</vt:lpstr>
      <vt:lpstr>Final Regression Data</vt:lpstr>
      <vt:lpstr>Purchased Power Model </vt:lpstr>
      <vt:lpstr>Rate Class Energy Model</vt:lpstr>
      <vt:lpstr>Rate Class Customer Model</vt:lpstr>
      <vt:lpstr>Rate Class Load Model</vt:lpstr>
      <vt:lpstr>2013 COP Forecast</vt:lpstr>
      <vt:lpstr>2014 COP Forecast</vt:lpstr>
      <vt:lpstr>Exhibit 3 Tables</vt:lpstr>
      <vt:lpstr>DATA-Purchased Power</vt:lpstr>
      <vt:lpstr>DATA-Degree Days</vt:lpstr>
      <vt:lpstr>DATA-Calendar</vt:lpstr>
      <vt:lpstr>DATA-Customers</vt:lpstr>
      <vt:lpstr>DATA-Population</vt:lpstr>
      <vt:lpstr>DATA-CDM</vt:lpstr>
      <vt:lpstr>DATA-GDP Qrtly</vt:lpstr>
      <vt:lpstr>DATA-GDP Annual</vt:lpstr>
      <vt:lpstr>DATA-Employment</vt:lpstr>
      <vt:lpstr>DATA-kW</vt:lpstr>
      <vt:lpstr>DATA-kWh</vt:lpstr>
      <vt:lpstr>DATA-New Outlet Mall 2014</vt:lpstr>
      <vt:lpstr>DATA - FIT RESOP</vt:lpstr>
      <vt:lpstr>Chart3</vt:lpstr>
      <vt:lpstr>'2013 COP Forecast'!Print_Area</vt:lpstr>
      <vt:lpstr>'2014 COP Forecast'!Print_Area</vt:lpstr>
      <vt:lpstr>'Rate Class Customer Model'!Print_Area</vt:lpstr>
      <vt:lpstr>'Rate Class Load Model'!Print_Area</vt:lpstr>
      <vt:lpstr>'Purchased Power Model '!Print_Titles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Philip Wormwell</cp:lastModifiedBy>
  <cp:lastPrinted>2013-09-25T13:15:42Z</cp:lastPrinted>
  <dcterms:created xsi:type="dcterms:W3CDTF">2008-02-06T18:24:44Z</dcterms:created>
  <dcterms:modified xsi:type="dcterms:W3CDTF">2014-01-20T14:43:43Z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