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3905" yWindow="90" windowWidth="13575" windowHeight="11700" tabRatio="831" activeTab="7"/>
  </bookViews>
  <sheets>
    <sheet name="Exibit 3 Tables" sheetId="24" r:id="rId1"/>
    <sheet name="Summary" sheetId="11" r:id="rId2"/>
    <sheet name=" Purchased Power Model" sheetId="19" r:id="rId3"/>
    <sheet name="Rate Class Energy Model" sheetId="9" r:id="rId4"/>
    <sheet name="Rate Class Customer Model" sheetId="17" r:id="rId5"/>
    <sheet name="Rate Class Load Model" sheetId="18" r:id="rId6"/>
    <sheet name="2013 COP Forecast" sheetId="29" r:id="rId7"/>
    <sheet name="2014 COP Forecast" sheetId="30" r:id="rId8"/>
    <sheet name="Manual Adj Industries" sheetId="59" r:id="rId9"/>
    <sheet name="CDM Data" sheetId="23" r:id="rId10"/>
    <sheet name="Peak hours" sheetId="38" r:id="rId11"/>
    <sheet name="HDD and CDD data" sheetId="27" r:id="rId12"/>
    <sheet name="Chart2" sheetId="26" r:id="rId13"/>
    <sheet name="Customer" sheetId="40" r:id="rId14"/>
    <sheet name="Residential" sheetId="31" r:id="rId15"/>
    <sheet name="GS &lt; 50 kW" sheetId="32" r:id="rId16"/>
    <sheet name="GS &gt; 50 kW " sheetId="33" r:id="rId17"/>
    <sheet name="Sheet1" sheetId="35" r:id="rId18"/>
    <sheet name="Sheet2" sheetId="58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Order1" hidden="1">255</definedName>
    <definedName name="_Sort" localSheetId="6" hidden="1">[1]Sheet1!$G$40:$K$40</definedName>
    <definedName name="_Sort" localSheetId="7" hidden="1">[1]Sheet1!$G$40:$K$40</definedName>
    <definedName name="_Sort" localSheetId="9" hidden="1">[2]Sheet1!$G$40:$K$40</definedName>
    <definedName name="_Sort" localSheetId="0" hidden="1">[3]Sheet1!$G$40:$K$40</definedName>
    <definedName name="_Sort" localSheetId="15" hidden="1">[4]Sheet1!$G$40:$K$40</definedName>
    <definedName name="_Sort" localSheetId="16" hidden="1">[4]Sheet1!$G$40:$K$40</definedName>
    <definedName name="_Sort" localSheetId="11" hidden="1">#REF!</definedName>
    <definedName name="_Sort" localSheetId="14" hidden="1">[4]Sheet1!$G$40:$K$40</definedName>
    <definedName name="_Sort" hidden="1">[5]Sheet1!$G$40:$K$40</definedName>
    <definedName name="abc">[6]Refs!$B$8</definedName>
    <definedName name="CAfile" localSheetId="0">[7]Refs!$B$2</definedName>
    <definedName name="CAfile">[8]Refs!$B$2</definedName>
    <definedName name="CArevReq" localSheetId="0">[7]Refs!$B$6</definedName>
    <definedName name="CArevReq">[8]Refs!$B$6</definedName>
    <definedName name="ClassRange1" localSheetId="0">[7]Refs!$B$3</definedName>
    <definedName name="ClassRange1">[8]Refs!$B$3</definedName>
    <definedName name="ClassRange2" localSheetId="0">[7]Refs!$B$4</definedName>
    <definedName name="ClassRange2">[8]Refs!$B$4</definedName>
    <definedName name="FolderPath" localSheetId="0">[7]Menu!$C$8</definedName>
    <definedName name="FolderPath">[8]Menu!$C$8</definedName>
    <definedName name="NewRevReq" localSheetId="0">[7]Refs!$B$8</definedName>
    <definedName name="NewRevReq">[8]Refs!$B$8</definedName>
    <definedName name="PAGE11" localSheetId="6">#REF!</definedName>
    <definedName name="PAGE11" localSheetId="7">#REF!</definedName>
    <definedName name="PAGE11" localSheetId="0">#REF!</definedName>
    <definedName name="PAGE11" localSheetId="15">#REF!</definedName>
    <definedName name="PAGE11" localSheetId="16">#REF!</definedName>
    <definedName name="PAGE11" localSheetId="11">#REF!</definedName>
    <definedName name="PAGE11" localSheetId="14">#REF!</definedName>
    <definedName name="PAGE11">#REF!</definedName>
    <definedName name="PAGE2" localSheetId="6">[1]Sheet1!$A$1:$I$40</definedName>
    <definedName name="PAGE2" localSheetId="7">[1]Sheet1!$A$1:$I$40</definedName>
    <definedName name="PAGE2" localSheetId="9">[2]Sheet1!$A$1:$I$40</definedName>
    <definedName name="PAGE2" localSheetId="0">[3]Sheet1!$A$1:$I$40</definedName>
    <definedName name="PAGE2" localSheetId="15">[4]Sheet1!$A$1:$I$40</definedName>
    <definedName name="PAGE2" localSheetId="16">[4]Sheet1!$A$1:$I$40</definedName>
    <definedName name="PAGE2" localSheetId="11">#REF!</definedName>
    <definedName name="PAGE2" localSheetId="14">[4]Sheet1!$A$1:$I$40</definedName>
    <definedName name="PAGE2">[5]Sheet1!$A$1:$I$40</definedName>
    <definedName name="PAGE3" localSheetId="6">#REF!</definedName>
    <definedName name="PAGE3" localSheetId="7">#REF!</definedName>
    <definedName name="PAGE3" localSheetId="0">#REF!</definedName>
    <definedName name="PAGE3" localSheetId="15">#REF!</definedName>
    <definedName name="PAGE3" localSheetId="16">#REF!</definedName>
    <definedName name="PAGE3" localSheetId="11">#REF!</definedName>
    <definedName name="PAGE3" localSheetId="14">#REF!</definedName>
    <definedName name="PAGE3">#REF!</definedName>
    <definedName name="PAGE4" localSheetId="6">#REF!</definedName>
    <definedName name="PAGE4" localSheetId="7">#REF!</definedName>
    <definedName name="PAGE4" localSheetId="0">#REF!</definedName>
    <definedName name="PAGE4" localSheetId="15">#REF!</definedName>
    <definedName name="PAGE4" localSheetId="16">#REF!</definedName>
    <definedName name="PAGE4" localSheetId="11">#REF!</definedName>
    <definedName name="PAGE4" localSheetId="14">#REF!</definedName>
    <definedName name="PAGE4">#REF!</definedName>
    <definedName name="PAGE7" localSheetId="6">#REF!</definedName>
    <definedName name="PAGE7" localSheetId="7">#REF!</definedName>
    <definedName name="PAGE7" localSheetId="0">#REF!</definedName>
    <definedName name="PAGE7" localSheetId="15">#REF!</definedName>
    <definedName name="PAGE7" localSheetId="16">#REF!</definedName>
    <definedName name="PAGE7" localSheetId="11">#REF!</definedName>
    <definedName name="PAGE7" localSheetId="14">#REF!</definedName>
    <definedName name="PAGE7">#REF!</definedName>
    <definedName name="PAGE9" localSheetId="6">#REF!</definedName>
    <definedName name="PAGE9" localSheetId="7">#REF!</definedName>
    <definedName name="PAGE9" localSheetId="0">#REF!</definedName>
    <definedName name="PAGE9" localSheetId="15">#REF!</definedName>
    <definedName name="PAGE9" localSheetId="16">#REF!</definedName>
    <definedName name="PAGE9" localSheetId="11">#REF!</definedName>
    <definedName name="PAGE9" localSheetId="14">#REF!</definedName>
    <definedName name="PAGE9">#REF!</definedName>
    <definedName name="ppp">[6]Refs!$B$6</definedName>
    <definedName name="_xlnm.Print_Area" localSheetId="2">' Purchased Power Model'!$R$2:$U$23</definedName>
    <definedName name="_xlnm.Print_Area" localSheetId="15">'GS &lt; 50 kW'!$T$70:$X$93</definedName>
    <definedName name="_xlnm.Print_Area" localSheetId="16">'GS &gt; 50 kW '!$T$70:$V$93</definedName>
    <definedName name="_xlnm.Print_Area" localSheetId="11">'HDD and CDD data'!$U$6:$AE$34</definedName>
    <definedName name="_xlnm.Print_Area" localSheetId="4">'Rate Class Customer Model'!$A$1:$C$2</definedName>
    <definedName name="_xlnm.Print_Area" localSheetId="3">'Rate Class Energy Model'!$A$1:$I$2</definedName>
    <definedName name="_xlnm.Print_Area" localSheetId="5">'Rate Class Load Model'!$A$2:$A$2</definedName>
    <definedName name="_xlnm.Print_Area" localSheetId="14">Residential!$T$70:$X$93</definedName>
    <definedName name="_xlnm.Print_Area" localSheetId="1">Summary!#REF!</definedName>
    <definedName name="RevReqLookupKey" localSheetId="0">[7]Refs!$B$5</definedName>
    <definedName name="RevReqLookupKey">[8]Refs!$B$5</definedName>
    <definedName name="RevReqRange" localSheetId="0">[7]Refs!$B$7</definedName>
    <definedName name="RevReqRange">[8]Refs!$B$7</definedName>
    <definedName name="Uuu">[6]Refs!$B$5</definedName>
  </definedNames>
  <calcPr calcId="145621" iterate="1"/>
</workbook>
</file>

<file path=xl/calcChain.xml><?xml version="1.0" encoding="utf-8"?>
<calcChain xmlns="http://schemas.openxmlformats.org/spreadsheetml/2006/main">
  <c r="W16" i="23" l="1"/>
  <c r="W12" i="23"/>
  <c r="W13" i="23"/>
  <c r="W14" i="23"/>
  <c r="J33" i="23"/>
  <c r="T40" i="23" l="1"/>
  <c r="Q41" i="23"/>
  <c r="R34" i="23"/>
  <c r="Y24" i="23"/>
  <c r="Q34" i="23"/>
  <c r="B9" i="23"/>
  <c r="C10" i="23" l="1"/>
  <c r="E10" i="23"/>
  <c r="V13" i="23"/>
  <c r="K33" i="23" l="1"/>
  <c r="E7" i="23"/>
  <c r="Q8" i="23" l="1"/>
  <c r="Q14" i="23"/>
  <c r="K102" i="19" l="1"/>
  <c r="K103" i="19"/>
  <c r="D260" i="24"/>
  <c r="E260" i="24"/>
  <c r="F260" i="24"/>
  <c r="G260" i="24"/>
  <c r="H260" i="24"/>
  <c r="I260" i="24"/>
  <c r="J260" i="24"/>
  <c r="A265" i="24"/>
  <c r="A266" i="24"/>
  <c r="A269" i="24" s="1"/>
  <c r="A268" i="24"/>
  <c r="G268" i="24"/>
  <c r="H268" i="24"/>
  <c r="I268" i="24"/>
  <c r="G269" i="24"/>
  <c r="H269" i="24"/>
  <c r="I269" i="24"/>
  <c r="J249" i="24"/>
  <c r="J250" i="24"/>
  <c r="J251" i="24"/>
  <c r="K251" i="24"/>
  <c r="I252" i="24"/>
  <c r="L27" i="23" l="1"/>
  <c r="H62" i="9"/>
  <c r="K15" i="9" l="1"/>
  <c r="P14" i="9" l="1"/>
  <c r="K16" i="9" s="1"/>
  <c r="P17" i="9" l="1"/>
  <c r="F176" i="24"/>
  <c r="F175" i="24"/>
  <c r="D214" i="24"/>
  <c r="E214" i="24"/>
  <c r="F214" i="24"/>
  <c r="G214" i="24"/>
  <c r="H214" i="24"/>
  <c r="I214" i="24"/>
  <c r="I31" i="30" l="1"/>
  <c r="M28" i="30"/>
  <c r="I28" i="30"/>
  <c r="M27" i="30"/>
  <c r="I27" i="30"/>
  <c r="M26" i="30"/>
  <c r="I26" i="30"/>
  <c r="M25" i="30"/>
  <c r="M24" i="30"/>
  <c r="M23" i="30"/>
  <c r="T11" i="30"/>
  <c r="S11" i="30"/>
  <c r="Q11" i="30"/>
  <c r="P11" i="30"/>
  <c r="N11" i="30"/>
  <c r="M11" i="30"/>
  <c r="L11" i="30"/>
  <c r="K11" i="30"/>
  <c r="J11" i="30"/>
  <c r="V11" i="30" s="1"/>
  <c r="W10" i="30"/>
  <c r="V10" i="30"/>
  <c r="Z10" i="30" s="1"/>
  <c r="O10" i="30"/>
  <c r="Y10" i="30" s="1"/>
  <c r="W9" i="30"/>
  <c r="V9" i="30"/>
  <c r="U9" i="30"/>
  <c r="R9" i="30"/>
  <c r="Y9" i="30" s="1"/>
  <c r="X9" i="30" s="1"/>
  <c r="AB9" i="30" s="1"/>
  <c r="O9" i="30"/>
  <c r="Y8" i="30"/>
  <c r="Z8" i="30" s="1"/>
  <c r="W8" i="30"/>
  <c r="X8" i="30" s="1"/>
  <c r="AB8" i="30" s="1"/>
  <c r="V8" i="30"/>
  <c r="O8" i="30"/>
  <c r="Y7" i="30"/>
  <c r="AA7" i="30" s="1"/>
  <c r="X7" i="30"/>
  <c r="AB7" i="30" s="1"/>
  <c r="W7" i="30"/>
  <c r="V7" i="30"/>
  <c r="U7" i="30"/>
  <c r="R7" i="30"/>
  <c r="O7" i="30"/>
  <c r="W6" i="30"/>
  <c r="V6" i="30"/>
  <c r="U6" i="30"/>
  <c r="U11" i="30" s="1"/>
  <c r="R6" i="30"/>
  <c r="R11" i="30" s="1"/>
  <c r="O6" i="30"/>
  <c r="O11" i="30" s="1"/>
  <c r="Y11" i="30" s="1"/>
  <c r="Y5" i="30"/>
  <c r="W5" i="30"/>
  <c r="AA5" i="30" s="1"/>
  <c r="V5" i="30"/>
  <c r="Z5" i="30" s="1"/>
  <c r="U5" i="30"/>
  <c r="R5" i="30"/>
  <c r="O5" i="30"/>
  <c r="AC8" i="30" l="1"/>
  <c r="Z11" i="30"/>
  <c r="Z9" i="30"/>
  <c r="AA9" i="30"/>
  <c r="X10" i="30"/>
  <c r="AB10" i="30" s="1"/>
  <c r="AA10" i="30"/>
  <c r="X5" i="30"/>
  <c r="Z7" i="30"/>
  <c r="AC7" i="30" s="1"/>
  <c r="AA8" i="30"/>
  <c r="Y6" i="30"/>
  <c r="W11" i="30"/>
  <c r="AA11" i="30" s="1"/>
  <c r="K24" i="29"/>
  <c r="K25" i="29"/>
  <c r="K26" i="29"/>
  <c r="K27" i="29"/>
  <c r="K28" i="29"/>
  <c r="K23" i="29"/>
  <c r="M28" i="29"/>
  <c r="M27" i="29"/>
  <c r="M26" i="29"/>
  <c r="M25" i="29"/>
  <c r="M24" i="29"/>
  <c r="M23" i="29"/>
  <c r="AC6" i="29"/>
  <c r="AC7" i="29"/>
  <c r="AC8" i="29"/>
  <c r="AC9" i="29"/>
  <c r="AC10" i="29"/>
  <c r="AC11" i="29"/>
  <c r="AC5" i="29"/>
  <c r="AB6" i="29"/>
  <c r="AB7" i="29"/>
  <c r="AB8" i="29"/>
  <c r="AB9" i="29"/>
  <c r="AB10" i="29"/>
  <c r="AB11" i="29"/>
  <c r="AB5" i="29"/>
  <c r="AA6" i="29"/>
  <c r="AA7" i="29"/>
  <c r="AA8" i="29"/>
  <c r="AA9" i="29"/>
  <c r="AA10" i="29"/>
  <c r="AA11" i="29"/>
  <c r="AA5" i="29"/>
  <c r="Z5" i="29"/>
  <c r="X11" i="29"/>
  <c r="X6" i="29"/>
  <c r="X7" i="29"/>
  <c r="X8" i="29"/>
  <c r="X9" i="29"/>
  <c r="X10" i="29"/>
  <c r="X5" i="29"/>
  <c r="Y5" i="29"/>
  <c r="W11" i="29"/>
  <c r="W6" i="29"/>
  <c r="W7" i="29"/>
  <c r="W8" i="29"/>
  <c r="W9" i="29"/>
  <c r="W10" i="29"/>
  <c r="W5" i="29"/>
  <c r="T11" i="29"/>
  <c r="Q11" i="29"/>
  <c r="N11" i="29"/>
  <c r="K11" i="29"/>
  <c r="X11" i="30" l="1"/>
  <c r="AB11" i="30" s="1"/>
  <c r="AC11" i="30" s="1"/>
  <c r="AB5" i="30"/>
  <c r="AC5" i="30" s="1"/>
  <c r="AC10" i="30"/>
  <c r="AA6" i="30"/>
  <c r="X6" i="30"/>
  <c r="AB6" i="30" s="1"/>
  <c r="AC9" i="30"/>
  <c r="Z6" i="30"/>
  <c r="AC6" i="30" s="1"/>
  <c r="C77" i="30" l="1"/>
  <c r="C76" i="30"/>
  <c r="C75" i="30"/>
  <c r="C77" i="29"/>
  <c r="C76" i="29"/>
  <c r="C75" i="29"/>
  <c r="K110" i="19" l="1"/>
  <c r="S42" i="27"/>
  <c r="R42" i="27"/>
  <c r="L11" i="29" l="1"/>
  <c r="J11" i="29"/>
  <c r="M11" i="29"/>
  <c r="O5" i="29" l="1"/>
  <c r="O6" i="29"/>
  <c r="O7" i="29"/>
  <c r="Y7" i="29"/>
  <c r="Z7" i="29" s="1"/>
  <c r="O9" i="29"/>
  <c r="Y9" i="29" s="1"/>
  <c r="Z9" i="29" s="1"/>
  <c r="O10" i="29"/>
  <c r="Y10" i="29" s="1"/>
  <c r="Z10" i="29" s="1"/>
  <c r="O8" i="29"/>
  <c r="Y8" i="29" s="1"/>
  <c r="R7" i="29"/>
  <c r="R6" i="29"/>
  <c r="R5" i="29"/>
  <c r="R9" i="29"/>
  <c r="U11" i="29"/>
  <c r="U9" i="29"/>
  <c r="U7" i="29"/>
  <c r="U6" i="29"/>
  <c r="U5" i="29"/>
  <c r="V6" i="29"/>
  <c r="V7" i="29"/>
  <c r="V8" i="29"/>
  <c r="V9" i="29"/>
  <c r="V10" i="29"/>
  <c r="V11" i="29"/>
  <c r="V5" i="29"/>
  <c r="S11" i="29"/>
  <c r="Z8" i="29" l="1"/>
  <c r="D2" i="29"/>
  <c r="Y6" i="29"/>
  <c r="Z6" i="29" s="1"/>
  <c r="R11" i="29"/>
  <c r="P12" i="23"/>
  <c r="R13" i="23"/>
  <c r="O41" i="23"/>
  <c r="R24" i="27"/>
  <c r="E78" i="19"/>
  <c r="Q37" i="23" l="1"/>
  <c r="Q35" i="23"/>
  <c r="T42" i="27" l="1"/>
  <c r="M16" i="9" l="1"/>
  <c r="M15" i="9"/>
  <c r="B33" i="18" l="1"/>
  <c r="B32" i="18"/>
  <c r="B14" i="59"/>
  <c r="A14" i="59"/>
  <c r="G6" i="24" l="1"/>
  <c r="I25" i="24"/>
  <c r="H25" i="24"/>
  <c r="G25" i="24"/>
  <c r="F25" i="24"/>
  <c r="E25" i="24"/>
  <c r="D25" i="24"/>
  <c r="J25" i="24" l="1"/>
  <c r="D353" i="24" l="1"/>
  <c r="Z35" i="23"/>
  <c r="Z36" i="23" s="1"/>
  <c r="Y35" i="23"/>
  <c r="Y36" i="23" s="1"/>
  <c r="X35" i="23"/>
  <c r="X36" i="23" s="1"/>
  <c r="Y33" i="23"/>
  <c r="AA33" i="23"/>
  <c r="Y34" i="23"/>
  <c r="X34" i="23"/>
  <c r="Q36" i="23"/>
  <c r="Q40" i="23" s="1"/>
  <c r="S35" i="23"/>
  <c r="R35" i="23"/>
  <c r="R36" i="23" s="1"/>
  <c r="AB25" i="23"/>
  <c r="AB26" i="23"/>
  <c r="AB27" i="23"/>
  <c r="AB24" i="23"/>
  <c r="Y25" i="23"/>
  <c r="Y26" i="23"/>
  <c r="Y27" i="23"/>
  <c r="W42" i="23"/>
  <c r="W44" i="23"/>
  <c r="W45" i="23"/>
  <c r="W46" i="23"/>
  <c r="W47" i="23"/>
  <c r="W48" i="23"/>
  <c r="W49" i="23"/>
  <c r="W52" i="23"/>
  <c r="W54" i="23"/>
  <c r="W55" i="23"/>
  <c r="W56" i="23"/>
  <c r="W57" i="23"/>
  <c r="W58" i="23"/>
  <c r="W59" i="23"/>
  <c r="T34" i="23" l="1"/>
  <c r="AA36" i="23"/>
  <c r="T35" i="23"/>
  <c r="AA35" i="23"/>
  <c r="S36" i="23"/>
  <c r="T36" i="23" s="1"/>
  <c r="W64" i="23"/>
  <c r="W67" i="23"/>
  <c r="W69" i="23"/>
  <c r="W65" i="23"/>
  <c r="W68" i="23"/>
  <c r="W66" i="23"/>
  <c r="D339" i="24" l="1"/>
  <c r="D334" i="24"/>
  <c r="D329" i="24"/>
  <c r="F5" i="19"/>
  <c r="F6" i="19"/>
  <c r="F7" i="19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34" i="19"/>
  <c r="F35" i="19"/>
  <c r="F36" i="19"/>
  <c r="F37" i="19"/>
  <c r="F38" i="19"/>
  <c r="F39" i="19"/>
  <c r="F40" i="19"/>
  <c r="F41" i="19"/>
  <c r="F42" i="19"/>
  <c r="F43" i="19"/>
  <c r="F44" i="19"/>
  <c r="F45" i="19"/>
  <c r="F46" i="19"/>
  <c r="F47" i="19"/>
  <c r="F48" i="19"/>
  <c r="F49" i="19"/>
  <c r="F50" i="19"/>
  <c r="F51" i="19"/>
  <c r="F52" i="19"/>
  <c r="F53" i="19"/>
  <c r="F54" i="19"/>
  <c r="F55" i="19"/>
  <c r="F56" i="19"/>
  <c r="F57" i="19"/>
  <c r="F58" i="19"/>
  <c r="F59" i="19"/>
  <c r="F60" i="19"/>
  <c r="F61" i="19"/>
  <c r="F62" i="19"/>
  <c r="F63" i="19"/>
  <c r="F64" i="19"/>
  <c r="F65" i="19"/>
  <c r="F66" i="19"/>
  <c r="F67" i="19"/>
  <c r="F68" i="19"/>
  <c r="F69" i="19"/>
  <c r="F70" i="19"/>
  <c r="F71" i="19"/>
  <c r="F72" i="19"/>
  <c r="F73" i="19"/>
  <c r="F74" i="19"/>
  <c r="F75" i="19"/>
  <c r="F76" i="19"/>
  <c r="F77" i="19"/>
  <c r="F78" i="19"/>
  <c r="F79" i="19"/>
  <c r="F80" i="19"/>
  <c r="F81" i="19"/>
  <c r="F82" i="19"/>
  <c r="F83" i="19"/>
  <c r="F84" i="19"/>
  <c r="F85" i="19"/>
  <c r="F86" i="19"/>
  <c r="F87" i="19"/>
  <c r="F88" i="19"/>
  <c r="F89" i="19"/>
  <c r="F90" i="19"/>
  <c r="F91" i="19"/>
  <c r="F92" i="19"/>
  <c r="F93" i="19"/>
  <c r="F94" i="19"/>
  <c r="F95" i="19"/>
  <c r="F96" i="19"/>
  <c r="F97" i="19"/>
  <c r="F98" i="19"/>
  <c r="F99" i="19"/>
  <c r="F100" i="19"/>
  <c r="F101" i="19"/>
  <c r="F102" i="19"/>
  <c r="F103" i="19"/>
  <c r="F104" i="19"/>
  <c r="F105" i="19"/>
  <c r="F106" i="19"/>
  <c r="F107" i="19"/>
  <c r="F108" i="19"/>
  <c r="F109" i="19"/>
  <c r="F110" i="19"/>
  <c r="F111" i="19"/>
  <c r="F112" i="19"/>
  <c r="F113" i="19"/>
  <c r="F114" i="19"/>
  <c r="F115" i="19"/>
  <c r="F116" i="19"/>
  <c r="F117" i="19"/>
  <c r="F118" i="19"/>
  <c r="F119" i="19"/>
  <c r="F120" i="19"/>
  <c r="F121" i="19"/>
  <c r="F122" i="19"/>
  <c r="F4" i="19"/>
  <c r="F3" i="19"/>
  <c r="F124" i="19"/>
  <c r="F125" i="19"/>
  <c r="F126" i="19"/>
  <c r="F127" i="19"/>
  <c r="F128" i="19"/>
  <c r="F129" i="19"/>
  <c r="F130" i="19"/>
  <c r="F131" i="19"/>
  <c r="F132" i="19"/>
  <c r="F133" i="19"/>
  <c r="F134" i="19"/>
  <c r="F135" i="19"/>
  <c r="F136" i="19"/>
  <c r="F137" i="19"/>
  <c r="F138" i="19"/>
  <c r="F139" i="19"/>
  <c r="F140" i="19"/>
  <c r="F141" i="19"/>
  <c r="F142" i="19"/>
  <c r="F143" i="19"/>
  <c r="F144" i="19"/>
  <c r="F145" i="19"/>
  <c r="F146" i="19"/>
  <c r="F123" i="19"/>
  <c r="D348" i="24" l="1"/>
  <c r="Z37" i="23" l="1"/>
  <c r="Y37" i="23"/>
  <c r="X37" i="23"/>
  <c r="AA37" i="23" l="1"/>
  <c r="AA34" i="23"/>
  <c r="Y38" i="23"/>
  <c r="E257" i="24" s="1"/>
  <c r="Z38" i="23"/>
  <c r="F257" i="24" s="1"/>
  <c r="X38" i="23" l="1"/>
  <c r="AA38" i="23" s="1"/>
  <c r="D257" i="24" l="1"/>
  <c r="D243" i="24" l="1"/>
  <c r="G223" i="24"/>
  <c r="H223" i="24"/>
  <c r="I223" i="24"/>
  <c r="I176" i="24"/>
  <c r="I181" i="24"/>
  <c r="I182" i="24"/>
  <c r="I183" i="24"/>
  <c r="I146" i="24"/>
  <c r="I147" i="24"/>
  <c r="I148" i="24"/>
  <c r="I149" i="24"/>
  <c r="I150" i="24"/>
  <c r="I151" i="24"/>
  <c r="A155" i="24"/>
  <c r="A169" i="24" s="1"/>
  <c r="A190" i="24" s="1"/>
  <c r="A204" i="24" s="1"/>
  <c r="A286" i="24" s="1"/>
  <c r="A300" i="24" s="1"/>
  <c r="D113" i="24"/>
  <c r="D114" i="24"/>
  <c r="D115" i="24"/>
  <c r="D116" i="24"/>
  <c r="D117" i="24"/>
  <c r="D118" i="24"/>
  <c r="D119" i="24"/>
  <c r="D120" i="24"/>
  <c r="A113" i="24"/>
  <c r="A114" i="24"/>
  <c r="A115" i="24"/>
  <c r="A116" i="24"/>
  <c r="A117" i="24"/>
  <c r="A118" i="24"/>
  <c r="A119" i="24"/>
  <c r="A120" i="24"/>
  <c r="D111" i="24"/>
  <c r="D110" i="24"/>
  <c r="D109" i="24"/>
  <c r="I42" i="24"/>
  <c r="D342" i="24" s="1"/>
  <c r="H42" i="24" l="1"/>
  <c r="D337" i="24" s="1"/>
  <c r="G42" i="24"/>
  <c r="D332" i="24" s="1"/>
  <c r="F42" i="24"/>
  <c r="E42" i="24"/>
  <c r="D42" i="24"/>
  <c r="I61" i="24"/>
  <c r="A36" i="24"/>
  <c r="E61" i="24" l="1"/>
  <c r="F61" i="24"/>
  <c r="G61" i="24"/>
  <c r="D61" i="24"/>
  <c r="H61" i="24"/>
  <c r="J42" i="24"/>
  <c r="F4" i="40" l="1"/>
  <c r="F5" i="40"/>
  <c r="F6" i="40"/>
  <c r="F7" i="40"/>
  <c r="F8" i="40"/>
  <c r="F9" i="40"/>
  <c r="F10" i="40"/>
  <c r="F11" i="40"/>
  <c r="F12" i="40"/>
  <c r="F13" i="40"/>
  <c r="F14" i="40"/>
  <c r="F15" i="40"/>
  <c r="F16" i="40"/>
  <c r="F17" i="40"/>
  <c r="F18" i="40"/>
  <c r="F19" i="40"/>
  <c r="F20" i="40"/>
  <c r="F21" i="40"/>
  <c r="F22" i="40"/>
  <c r="F23" i="40"/>
  <c r="F24" i="40"/>
  <c r="F25" i="40"/>
  <c r="F26" i="40"/>
  <c r="F27" i="40"/>
  <c r="F28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41" i="40"/>
  <c r="F42" i="40"/>
  <c r="F43" i="40"/>
  <c r="F44" i="40"/>
  <c r="F45" i="40"/>
  <c r="F46" i="40"/>
  <c r="F47" i="40"/>
  <c r="F48" i="40"/>
  <c r="F49" i="40"/>
  <c r="F50" i="40"/>
  <c r="F51" i="40"/>
  <c r="F52" i="40"/>
  <c r="F53" i="40"/>
  <c r="F54" i="40"/>
  <c r="F55" i="40"/>
  <c r="F56" i="40"/>
  <c r="F57" i="40"/>
  <c r="F58" i="40"/>
  <c r="F59" i="40"/>
  <c r="F60" i="40"/>
  <c r="F61" i="40"/>
  <c r="F62" i="40"/>
  <c r="F63" i="40"/>
  <c r="F64" i="40"/>
  <c r="F65" i="40"/>
  <c r="F66" i="40"/>
  <c r="F67" i="40"/>
  <c r="F68" i="40"/>
  <c r="F69" i="40"/>
  <c r="F70" i="40"/>
  <c r="F71" i="40"/>
  <c r="F72" i="40"/>
  <c r="F73" i="40"/>
  <c r="F74" i="40"/>
  <c r="F3" i="40"/>
  <c r="F146" i="40" l="1"/>
  <c r="F135" i="40"/>
  <c r="F136" i="40" s="1"/>
  <c r="F137" i="40" s="1"/>
  <c r="F138" i="40" s="1"/>
  <c r="F139" i="40" s="1"/>
  <c r="F140" i="40" s="1"/>
  <c r="F141" i="40" s="1"/>
  <c r="F142" i="40" s="1"/>
  <c r="F143" i="40" s="1"/>
  <c r="F144" i="40" s="1"/>
  <c r="F145" i="40" s="1"/>
  <c r="F134" i="40"/>
  <c r="F103" i="40"/>
  <c r="F104" i="40" s="1"/>
  <c r="F105" i="40" s="1"/>
  <c r="F106" i="40" s="1"/>
  <c r="F107" i="40" s="1"/>
  <c r="F108" i="40" s="1"/>
  <c r="F109" i="40" s="1"/>
  <c r="F110" i="40" s="1"/>
  <c r="F111" i="40" s="1"/>
  <c r="F112" i="40" s="1"/>
  <c r="F113" i="40" s="1"/>
  <c r="F114" i="40" s="1"/>
  <c r="F115" i="40" s="1"/>
  <c r="F116" i="40" s="1"/>
  <c r="F117" i="40" s="1"/>
  <c r="F118" i="40" s="1"/>
  <c r="F119" i="40" s="1"/>
  <c r="F120" i="40" s="1"/>
  <c r="F121" i="40" s="1"/>
  <c r="F122" i="40" s="1"/>
  <c r="F123" i="40" s="1"/>
  <c r="F124" i="40" s="1"/>
  <c r="F125" i="40" s="1"/>
  <c r="F126" i="40" s="1"/>
  <c r="F127" i="40" s="1"/>
  <c r="F128" i="40" s="1"/>
  <c r="F129" i="40" s="1"/>
  <c r="F130" i="40" s="1"/>
  <c r="F131" i="40" s="1"/>
  <c r="F132" i="40" s="1"/>
  <c r="F133" i="40" s="1"/>
  <c r="F75" i="40"/>
  <c r="F76" i="40" s="1"/>
  <c r="F77" i="40" s="1"/>
  <c r="F78" i="40" s="1"/>
  <c r="F79" i="40" s="1"/>
  <c r="F80" i="40" s="1"/>
  <c r="F81" i="40" s="1"/>
  <c r="F82" i="40" s="1"/>
  <c r="F83" i="40" s="1"/>
  <c r="F84" i="40" s="1"/>
  <c r="F85" i="40" s="1"/>
  <c r="F86" i="40" s="1"/>
  <c r="F87" i="40" s="1"/>
  <c r="F88" i="40" s="1"/>
  <c r="F89" i="40" s="1"/>
  <c r="F90" i="40" s="1"/>
  <c r="F91" i="40" s="1"/>
  <c r="F92" i="40" s="1"/>
  <c r="F93" i="40" s="1"/>
  <c r="F94" i="40" s="1"/>
  <c r="F95" i="40" s="1"/>
  <c r="F96" i="40" s="1"/>
  <c r="F97" i="40" s="1"/>
  <c r="F98" i="40" s="1"/>
  <c r="F99" i="40" s="1"/>
  <c r="F100" i="40" s="1"/>
  <c r="F101" i="40" s="1"/>
  <c r="F102" i="40" s="1"/>
  <c r="E205" i="19" l="1"/>
  <c r="P21" i="27" l="1"/>
  <c r="P22" i="27"/>
  <c r="P23" i="27"/>
  <c r="P24" i="27"/>
  <c r="P25" i="27"/>
  <c r="P26" i="27"/>
  <c r="P27" i="27"/>
  <c r="P28" i="27"/>
  <c r="P29" i="27"/>
  <c r="P30" i="27"/>
  <c r="P31" i="27"/>
  <c r="P32" i="27"/>
  <c r="P6" i="27"/>
  <c r="P7" i="27"/>
  <c r="P8" i="27"/>
  <c r="P9" i="27"/>
  <c r="P10" i="27"/>
  <c r="P11" i="27"/>
  <c r="P12" i="27"/>
  <c r="P13" i="27"/>
  <c r="P14" i="27"/>
  <c r="P15" i="27"/>
  <c r="P16" i="27"/>
  <c r="P17" i="27"/>
  <c r="Q21" i="27"/>
  <c r="Q22" i="27"/>
  <c r="Q23" i="27"/>
  <c r="Q24" i="27"/>
  <c r="Q25" i="27"/>
  <c r="Q26" i="27"/>
  <c r="Q27" i="27"/>
  <c r="Q28" i="27"/>
  <c r="Q29" i="27"/>
  <c r="Q30" i="27"/>
  <c r="Q31" i="27"/>
  <c r="Q32" i="27"/>
  <c r="Q6" i="27"/>
  <c r="Q7" i="27"/>
  <c r="Q8" i="27"/>
  <c r="Q9" i="27"/>
  <c r="Q10" i="27"/>
  <c r="Q11" i="27"/>
  <c r="Q12" i="27"/>
  <c r="Q13" i="27"/>
  <c r="Q14" i="27"/>
  <c r="Q15" i="27"/>
  <c r="Q16" i="27"/>
  <c r="Q17" i="27"/>
  <c r="M6" i="27"/>
  <c r="M7" i="27"/>
  <c r="M8" i="27"/>
  <c r="M9" i="27"/>
  <c r="M10" i="27"/>
  <c r="M11" i="27"/>
  <c r="M12" i="27"/>
  <c r="M13" i="27"/>
  <c r="M14" i="27"/>
  <c r="M15" i="27"/>
  <c r="M16" i="27"/>
  <c r="M17" i="27"/>
  <c r="Q20" i="27"/>
  <c r="P20" i="27"/>
  <c r="D72" i="19" l="1"/>
  <c r="D64" i="19"/>
  <c r="E68" i="19"/>
  <c r="D60" i="19"/>
  <c r="D52" i="19"/>
  <c r="E56" i="19"/>
  <c r="D71" i="19"/>
  <c r="D67" i="19"/>
  <c r="E67" i="19"/>
  <c r="D55" i="19"/>
  <c r="D58" i="19"/>
  <c r="D68" i="19"/>
  <c r="E72" i="19"/>
  <c r="E64" i="19"/>
  <c r="D56" i="19"/>
  <c r="E60" i="19"/>
  <c r="E52" i="19"/>
  <c r="D63" i="19"/>
  <c r="E71" i="19"/>
  <c r="E63" i="19"/>
  <c r="D59" i="19"/>
  <c r="D51" i="19"/>
  <c r="E59" i="19"/>
  <c r="E55" i="19"/>
  <c r="E51" i="19"/>
  <c r="D74" i="19"/>
  <c r="D70" i="19"/>
  <c r="D66" i="19"/>
  <c r="E74" i="19"/>
  <c r="E70" i="19"/>
  <c r="E66" i="19"/>
  <c r="D62" i="19"/>
  <c r="D54" i="19"/>
  <c r="E62" i="19"/>
  <c r="E58" i="19"/>
  <c r="E54" i="19"/>
  <c r="D73" i="19"/>
  <c r="D69" i="19"/>
  <c r="D65" i="19"/>
  <c r="E73" i="19"/>
  <c r="E69" i="19"/>
  <c r="E65" i="19"/>
  <c r="D61" i="19"/>
  <c r="D57" i="19"/>
  <c r="D53" i="19"/>
  <c r="E61" i="19"/>
  <c r="E57" i="19"/>
  <c r="E53" i="19"/>
  <c r="D17" i="19"/>
  <c r="D25" i="19"/>
  <c r="D24" i="19"/>
  <c r="D16" i="19"/>
  <c r="D23" i="19"/>
  <c r="D19" i="19"/>
  <c r="D15" i="19"/>
  <c r="D21" i="19"/>
  <c r="D20" i="19"/>
  <c r="D26" i="19"/>
  <c r="D22" i="19"/>
  <c r="D18" i="19"/>
  <c r="C68" i="30"/>
  <c r="C67" i="30"/>
  <c r="C66" i="30"/>
  <c r="C65" i="30"/>
  <c r="C64" i="30"/>
  <c r="C63" i="30"/>
  <c r="C58" i="30"/>
  <c r="C54" i="30"/>
  <c r="C53" i="30"/>
  <c r="E59" i="30"/>
  <c r="C48" i="30"/>
  <c r="G234" i="19"/>
  <c r="G235" i="19" s="1"/>
  <c r="I233" i="19"/>
  <c r="J232" i="19" s="1"/>
  <c r="H229" i="19"/>
  <c r="H234" i="19" s="1"/>
  <c r="H235" i="19" s="1"/>
  <c r="G229" i="19"/>
  <c r="I228" i="19"/>
  <c r="H224" i="19"/>
  <c r="G224" i="19"/>
  <c r="I223" i="19"/>
  <c r="J228" i="19" l="1"/>
  <c r="K228" i="19" s="1"/>
  <c r="J223" i="19"/>
  <c r="I224" i="19"/>
  <c r="K3" i="19" s="1"/>
  <c r="K4" i="19" s="1"/>
  <c r="K5" i="19" s="1"/>
  <c r="K6" i="19" s="1"/>
  <c r="K7" i="19" s="1"/>
  <c r="K8" i="19" s="1"/>
  <c r="K9" i="19" s="1"/>
  <c r="K10" i="19" s="1"/>
  <c r="K11" i="19" s="1"/>
  <c r="K12" i="19" s="1"/>
  <c r="K13" i="19" s="1"/>
  <c r="K14" i="19" s="1"/>
  <c r="K15" i="19" s="1"/>
  <c r="K16" i="19" s="1"/>
  <c r="K17" i="19" s="1"/>
  <c r="K18" i="19" s="1"/>
  <c r="K19" i="19" s="1"/>
  <c r="K20" i="19" s="1"/>
  <c r="K21" i="19" s="1"/>
  <c r="K22" i="19" s="1"/>
  <c r="K23" i="19" s="1"/>
  <c r="K24" i="19" s="1"/>
  <c r="K25" i="19" s="1"/>
  <c r="K26" i="19" s="1"/>
  <c r="K27" i="19" s="1"/>
  <c r="K28" i="19" s="1"/>
  <c r="K29" i="19" s="1"/>
  <c r="K30" i="19" s="1"/>
  <c r="K31" i="19" s="1"/>
  <c r="K32" i="19" s="1"/>
  <c r="K33" i="19" s="1"/>
  <c r="K34" i="19" s="1"/>
  <c r="K35" i="19" s="1"/>
  <c r="K36" i="19" s="1"/>
  <c r="K37" i="19" s="1"/>
  <c r="K38" i="19" s="1"/>
  <c r="K39" i="19" s="1"/>
  <c r="K40" i="19" s="1"/>
  <c r="K41" i="19" s="1"/>
  <c r="K42" i="19" s="1"/>
  <c r="K43" i="19" s="1"/>
  <c r="K44" i="19" s="1"/>
  <c r="K45" i="19" s="1"/>
  <c r="K46" i="19" s="1"/>
  <c r="K47" i="19" s="1"/>
  <c r="K48" i="19" s="1"/>
  <c r="K49" i="19" s="1"/>
  <c r="K50" i="19" s="1"/>
  <c r="K51" i="19" s="1"/>
  <c r="K52" i="19" s="1"/>
  <c r="K53" i="19" s="1"/>
  <c r="K54" i="19" s="1"/>
  <c r="K55" i="19" s="1"/>
  <c r="K56" i="19" s="1"/>
  <c r="K57" i="19" s="1"/>
  <c r="K58" i="19" s="1"/>
  <c r="K59" i="19" s="1"/>
  <c r="K60" i="19" s="1"/>
  <c r="K61" i="19" s="1"/>
  <c r="K62" i="19" s="1"/>
  <c r="K63" i="19" s="1"/>
  <c r="K64" i="19" s="1"/>
  <c r="K65" i="19" s="1"/>
  <c r="K66" i="19" s="1"/>
  <c r="K67" i="19" s="1"/>
  <c r="K68" i="19" s="1"/>
  <c r="K69" i="19" s="1"/>
  <c r="K70" i="19" s="1"/>
  <c r="K71" i="19" s="1"/>
  <c r="K72" i="19" s="1"/>
  <c r="K73" i="19" s="1"/>
  <c r="K74" i="19" s="1"/>
  <c r="K75" i="19" s="1"/>
  <c r="K76" i="19" s="1"/>
  <c r="K77" i="19" s="1"/>
  <c r="K78" i="19" s="1"/>
  <c r="K79" i="19" s="1"/>
  <c r="K80" i="19" s="1"/>
  <c r="K81" i="19" s="1"/>
  <c r="K82" i="19" s="1"/>
  <c r="K83" i="19" s="1"/>
  <c r="K84" i="19" s="1"/>
  <c r="K85" i="19" s="1"/>
  <c r="K86" i="19" s="1"/>
  <c r="K87" i="19" s="1"/>
  <c r="K88" i="19" s="1"/>
  <c r="K89" i="19" s="1"/>
  <c r="K90" i="19" s="1"/>
  <c r="K91" i="19" s="1"/>
  <c r="K92" i="19" s="1"/>
  <c r="K93" i="19" s="1"/>
  <c r="K94" i="19" s="1"/>
  <c r="K95" i="19" s="1"/>
  <c r="K96" i="19" s="1"/>
  <c r="K97" i="19" s="1"/>
  <c r="K98" i="19" s="1"/>
  <c r="K99" i="19" s="1"/>
  <c r="K100" i="19" s="1"/>
  <c r="K101" i="19" s="1"/>
  <c r="K104" i="19" s="1"/>
  <c r="K105" i="19" s="1"/>
  <c r="K106" i="19" s="1"/>
  <c r="K107" i="19" s="1"/>
  <c r="K108" i="19" s="1"/>
  <c r="K109" i="19" s="1"/>
  <c r="K111" i="19" s="1"/>
  <c r="K112" i="19" s="1"/>
  <c r="K113" i="19" s="1"/>
  <c r="K114" i="19" s="1"/>
  <c r="K115" i="19" s="1"/>
  <c r="K116" i="19" s="1"/>
  <c r="K117" i="19" s="1"/>
  <c r="K118" i="19" s="1"/>
  <c r="K119" i="19" s="1"/>
  <c r="K120" i="19" s="1"/>
  <c r="K121" i="19" s="1"/>
  <c r="K122" i="19" s="1"/>
  <c r="G236" i="19"/>
  <c r="I235" i="19"/>
  <c r="J224" i="19"/>
  <c r="J226" i="19"/>
  <c r="J229" i="19"/>
  <c r="I234" i="19"/>
  <c r="J227" i="19"/>
  <c r="J230" i="19"/>
  <c r="J233" i="19"/>
  <c r="J234" i="19"/>
  <c r="J231" i="19"/>
  <c r="J225" i="19"/>
  <c r="I229" i="19"/>
  <c r="G237" i="19" l="1"/>
  <c r="I237" i="19" s="1"/>
  <c r="K146" i="19" s="1"/>
  <c r="I236" i="19"/>
  <c r="K134" i="19" s="1"/>
  <c r="K123" i="19" s="1"/>
  <c r="K124" i="19" s="1"/>
  <c r="K125" i="19" s="1"/>
  <c r="K126" i="19" s="1"/>
  <c r="K127" i="19" s="1"/>
  <c r="K128" i="19" s="1"/>
  <c r="K129" i="19" s="1"/>
  <c r="K130" i="19" s="1"/>
  <c r="K131" i="19" s="1"/>
  <c r="K132" i="19" s="1"/>
  <c r="K133" i="19" s="1"/>
  <c r="K135" i="19" l="1"/>
  <c r="K136" i="19"/>
  <c r="K137" i="19"/>
  <c r="K138" i="19" s="1"/>
  <c r="K139" i="19" s="1"/>
  <c r="K140" i="19" s="1"/>
  <c r="K141" i="19" s="1"/>
  <c r="K142" i="19" s="1"/>
  <c r="K143" i="19" s="1"/>
  <c r="K144" i="19" s="1"/>
  <c r="K145" i="19" s="1"/>
  <c r="G15" i="17" l="1"/>
  <c r="F15" i="17"/>
  <c r="E15" i="17"/>
  <c r="D15" i="17"/>
  <c r="C15" i="17"/>
  <c r="B15" i="17"/>
  <c r="G13" i="17" l="1"/>
  <c r="C78" i="29"/>
  <c r="C74" i="29"/>
  <c r="C73" i="29"/>
  <c r="C68" i="29"/>
  <c r="C67" i="29"/>
  <c r="C66" i="29"/>
  <c r="C65" i="29"/>
  <c r="C64" i="29"/>
  <c r="C63" i="29"/>
  <c r="C58" i="29"/>
  <c r="C54" i="29"/>
  <c r="C53" i="29"/>
  <c r="I175" i="24" l="1"/>
  <c r="D8" i="18"/>
  <c r="F282" i="24" s="1"/>
  <c r="C8" i="18"/>
  <c r="E282" i="24" s="1"/>
  <c r="B8" i="18"/>
  <c r="D282" i="24" s="1"/>
  <c r="D7" i="18"/>
  <c r="F281" i="24" s="1"/>
  <c r="C7" i="18"/>
  <c r="E281" i="24" s="1"/>
  <c r="B7" i="18"/>
  <c r="D281" i="24" s="1"/>
  <c r="D6" i="18"/>
  <c r="F280" i="24" s="1"/>
  <c r="C6" i="18"/>
  <c r="E280" i="24" s="1"/>
  <c r="B6" i="18"/>
  <c r="D280" i="24" s="1"/>
  <c r="D5" i="18"/>
  <c r="F279" i="24" s="1"/>
  <c r="C5" i="18"/>
  <c r="E279" i="24" s="1"/>
  <c r="B5" i="18"/>
  <c r="D279" i="24" s="1"/>
  <c r="D4" i="18"/>
  <c r="F278" i="24" s="1"/>
  <c r="C4" i="18"/>
  <c r="E278" i="24" s="1"/>
  <c r="B4" i="18"/>
  <c r="D278" i="24" s="1"/>
  <c r="D3" i="18"/>
  <c r="F277" i="24" s="1"/>
  <c r="C3" i="18"/>
  <c r="E277" i="24" s="1"/>
  <c r="B3" i="18"/>
  <c r="D277" i="24" l="1"/>
  <c r="G9" i="17"/>
  <c r="I152" i="24" s="1"/>
  <c r="J8" i="40" l="1"/>
  <c r="J7" i="40"/>
  <c r="J6" i="40"/>
  <c r="J5" i="40"/>
  <c r="J4" i="40"/>
  <c r="J3" i="40"/>
  <c r="J2" i="40"/>
  <c r="S37" i="23"/>
  <c r="S40" i="23" s="1"/>
  <c r="R37" i="23"/>
  <c r="R38" i="23" l="1"/>
  <c r="R40" i="23"/>
  <c r="T37" i="23"/>
  <c r="Q38" i="23"/>
  <c r="K22" i="23" a="1"/>
  <c r="K23" i="23" s="1"/>
  <c r="M23" i="23" s="1"/>
  <c r="J22" i="23" a="1"/>
  <c r="J22" i="23" s="1"/>
  <c r="AA59" i="23"/>
  <c r="Z59" i="23"/>
  <c r="Y59" i="23"/>
  <c r="X59" i="23"/>
  <c r="V59" i="23"/>
  <c r="U59" i="23"/>
  <c r="T59" i="23"/>
  <c r="S59" i="23"/>
  <c r="O59" i="23"/>
  <c r="AA58" i="23"/>
  <c r="Z58" i="23"/>
  <c r="Y58" i="23"/>
  <c r="X58" i="23"/>
  <c r="V58" i="23"/>
  <c r="U58" i="23"/>
  <c r="T58" i="23"/>
  <c r="S58" i="23"/>
  <c r="Q58" i="23"/>
  <c r="P58" i="23"/>
  <c r="O58" i="23"/>
  <c r="AA57" i="23"/>
  <c r="Z57" i="23"/>
  <c r="Y57" i="23"/>
  <c r="X57" i="23"/>
  <c r="V57" i="23"/>
  <c r="U57" i="23"/>
  <c r="T57" i="23"/>
  <c r="S57" i="23"/>
  <c r="Q57" i="23"/>
  <c r="P57" i="23"/>
  <c r="O57" i="23"/>
  <c r="AA56" i="23"/>
  <c r="Z56" i="23"/>
  <c r="Y56" i="23"/>
  <c r="X56" i="23"/>
  <c r="V56" i="23"/>
  <c r="U56" i="23"/>
  <c r="T56" i="23"/>
  <c r="S56" i="23"/>
  <c r="Q56" i="23"/>
  <c r="P56" i="23"/>
  <c r="O56" i="23"/>
  <c r="AA55" i="23"/>
  <c r="Z55" i="23"/>
  <c r="Y55" i="23"/>
  <c r="X55" i="23"/>
  <c r="V55" i="23"/>
  <c r="U55" i="23"/>
  <c r="T55" i="23"/>
  <c r="S55" i="23"/>
  <c r="Q55" i="23"/>
  <c r="P55" i="23"/>
  <c r="O55" i="23"/>
  <c r="AA54" i="23"/>
  <c r="Z54" i="23"/>
  <c r="Y54" i="23"/>
  <c r="X54" i="23"/>
  <c r="V54" i="23"/>
  <c r="U54" i="23"/>
  <c r="T54" i="23"/>
  <c r="S54" i="23"/>
  <c r="Q54" i="23"/>
  <c r="P54" i="23"/>
  <c r="O54" i="23"/>
  <c r="AA52" i="23"/>
  <c r="Z52" i="23"/>
  <c r="Y52" i="23"/>
  <c r="X52" i="23"/>
  <c r="V52" i="23"/>
  <c r="U52" i="23"/>
  <c r="T52" i="23"/>
  <c r="S52" i="23"/>
  <c r="Q52" i="23"/>
  <c r="P52" i="23"/>
  <c r="O52" i="23"/>
  <c r="O51" i="23"/>
  <c r="AA49" i="23"/>
  <c r="Z49" i="23"/>
  <c r="Y49" i="23"/>
  <c r="X49" i="23"/>
  <c r="V49" i="23"/>
  <c r="U49" i="23"/>
  <c r="T49" i="23"/>
  <c r="S49" i="23"/>
  <c r="O49" i="23"/>
  <c r="AA48" i="23"/>
  <c r="Z48" i="23"/>
  <c r="Y48" i="23"/>
  <c r="X48" i="23"/>
  <c r="V48" i="23"/>
  <c r="U48" i="23"/>
  <c r="T48" i="23"/>
  <c r="S48" i="23"/>
  <c r="Q48" i="23"/>
  <c r="P48" i="23"/>
  <c r="O48" i="23"/>
  <c r="AA47" i="23"/>
  <c r="Z47" i="23"/>
  <c r="Y47" i="23"/>
  <c r="X47" i="23"/>
  <c r="V47" i="23"/>
  <c r="U47" i="23"/>
  <c r="T47" i="23"/>
  <c r="S47" i="23"/>
  <c r="Q47" i="23"/>
  <c r="P47" i="23"/>
  <c r="O47" i="23"/>
  <c r="AA46" i="23"/>
  <c r="Z46" i="23"/>
  <c r="Y46" i="23"/>
  <c r="X46" i="23"/>
  <c r="V46" i="23"/>
  <c r="U46" i="23"/>
  <c r="T46" i="23"/>
  <c r="S46" i="23"/>
  <c r="Q46" i="23"/>
  <c r="P46" i="23"/>
  <c r="O46" i="23"/>
  <c r="AA45" i="23"/>
  <c r="Z45" i="23"/>
  <c r="Y45" i="23"/>
  <c r="X45" i="23"/>
  <c r="V45" i="23"/>
  <c r="U45" i="23"/>
  <c r="T45" i="23"/>
  <c r="S45" i="23"/>
  <c r="Q45" i="23"/>
  <c r="P45" i="23"/>
  <c r="O45" i="23"/>
  <c r="AA44" i="23"/>
  <c r="Z44" i="23"/>
  <c r="Y44" i="23"/>
  <c r="X44" i="23"/>
  <c r="V44" i="23"/>
  <c r="U44" i="23"/>
  <c r="T44" i="23"/>
  <c r="S44" i="23"/>
  <c r="Q44" i="23"/>
  <c r="P44" i="23"/>
  <c r="O44" i="23"/>
  <c r="AA42" i="23"/>
  <c r="Z42" i="23"/>
  <c r="Y42" i="23"/>
  <c r="X42" i="23"/>
  <c r="V42" i="23"/>
  <c r="U42" i="23"/>
  <c r="T42" i="23"/>
  <c r="S42" i="23"/>
  <c r="Q42" i="23"/>
  <c r="P42" i="23"/>
  <c r="O42" i="23"/>
  <c r="D12" i="18"/>
  <c r="F286" i="24" s="1"/>
  <c r="C12" i="18"/>
  <c r="E286" i="24" s="1"/>
  <c r="B12" i="18"/>
  <c r="D286" i="24" s="1"/>
  <c r="D11" i="18"/>
  <c r="F285" i="24" s="1"/>
  <c r="C11" i="18"/>
  <c r="E285" i="24" s="1"/>
  <c r="B11" i="18"/>
  <c r="D285" i="24" s="1"/>
  <c r="D10" i="18"/>
  <c r="F284" i="24" s="1"/>
  <c r="C10" i="18"/>
  <c r="E284" i="24" s="1"/>
  <c r="B10" i="18"/>
  <c r="D284" i="24" s="1"/>
  <c r="D9" i="18"/>
  <c r="F283" i="24" s="1"/>
  <c r="C9" i="18"/>
  <c r="E283" i="24" s="1"/>
  <c r="B9" i="18"/>
  <c r="D283" i="24" s="1"/>
  <c r="G12" i="17"/>
  <c r="I155" i="24" s="1"/>
  <c r="G11" i="17"/>
  <c r="I154" i="24" s="1"/>
  <c r="D11" i="17"/>
  <c r="F154" i="24" s="1"/>
  <c r="C11" i="17"/>
  <c r="E154" i="24" s="1"/>
  <c r="B11" i="17"/>
  <c r="D154" i="24" s="1"/>
  <c r="G10" i="17"/>
  <c r="I153" i="24" s="1"/>
  <c r="D10" i="17"/>
  <c r="F153" i="24" s="1"/>
  <c r="C10" i="17"/>
  <c r="E153" i="24" s="1"/>
  <c r="B10" i="17"/>
  <c r="D153" i="24" s="1"/>
  <c r="J12" i="40"/>
  <c r="J11" i="40"/>
  <c r="J10" i="40"/>
  <c r="J9" i="40"/>
  <c r="R41" i="23" l="1"/>
  <c r="G285" i="24"/>
  <c r="I169" i="24"/>
  <c r="C29" i="23"/>
  <c r="C33" i="23"/>
  <c r="C37" i="23"/>
  <c r="C30" i="23"/>
  <c r="C34" i="23"/>
  <c r="C38" i="23"/>
  <c r="C31" i="23"/>
  <c r="C35" i="23"/>
  <c r="C39" i="23"/>
  <c r="C28" i="23"/>
  <c r="C32" i="23"/>
  <c r="C36" i="23"/>
  <c r="J25" i="23"/>
  <c r="K30" i="23"/>
  <c r="J29" i="23"/>
  <c r="J24" i="23"/>
  <c r="K26" i="23"/>
  <c r="M26" i="23" s="1"/>
  <c r="J27" i="23"/>
  <c r="J28" i="23"/>
  <c r="J23" i="23"/>
  <c r="K22" i="23"/>
  <c r="J30" i="23"/>
  <c r="J26" i="23"/>
  <c r="K28" i="23"/>
  <c r="K24" i="23"/>
  <c r="M24" i="23" s="1"/>
  <c r="K29" i="23"/>
  <c r="K25" i="23"/>
  <c r="M25" i="23" s="1"/>
  <c r="K27" i="23"/>
  <c r="H14" i="9"/>
  <c r="S41" i="23" l="1"/>
  <c r="M22" i="23"/>
  <c r="C21" i="23" s="1"/>
  <c r="C3" i="23"/>
  <c r="E3" i="23" s="1"/>
  <c r="I59" i="19"/>
  <c r="I58" i="19"/>
  <c r="I53" i="19"/>
  <c r="C53" i="23"/>
  <c r="C57" i="23"/>
  <c r="C61" i="23"/>
  <c r="C54" i="23"/>
  <c r="C58" i="23"/>
  <c r="C62" i="23"/>
  <c r="C55" i="23"/>
  <c r="C59" i="23"/>
  <c r="C63" i="23"/>
  <c r="C52" i="23"/>
  <c r="C56" i="23"/>
  <c r="C60" i="23"/>
  <c r="I55" i="19"/>
  <c r="I54" i="19"/>
  <c r="I60" i="19"/>
  <c r="I51" i="19"/>
  <c r="I61" i="19"/>
  <c r="I56" i="19"/>
  <c r="C41" i="23"/>
  <c r="C45" i="23"/>
  <c r="C49" i="23"/>
  <c r="C42" i="23"/>
  <c r="C46" i="23"/>
  <c r="C50" i="23"/>
  <c r="C43" i="23"/>
  <c r="C47" i="23"/>
  <c r="C51" i="23"/>
  <c r="C40" i="23"/>
  <c r="C44" i="23"/>
  <c r="C48" i="23"/>
  <c r="C18" i="23"/>
  <c r="C23" i="23"/>
  <c r="C24" i="23"/>
  <c r="C65" i="23"/>
  <c r="C69" i="23"/>
  <c r="C73" i="23"/>
  <c r="C66" i="23"/>
  <c r="C70" i="23"/>
  <c r="C74" i="23"/>
  <c r="C67" i="23"/>
  <c r="C71" i="23"/>
  <c r="C75" i="23"/>
  <c r="C64" i="23"/>
  <c r="C68" i="23"/>
  <c r="C72" i="23"/>
  <c r="I62" i="19"/>
  <c r="I57" i="19"/>
  <c r="I52" i="19"/>
  <c r="C19" i="23" l="1"/>
  <c r="C27" i="23"/>
  <c r="I50" i="19" s="1"/>
  <c r="C22" i="23"/>
  <c r="I45" i="19" s="1"/>
  <c r="C17" i="23"/>
  <c r="C20" i="23"/>
  <c r="I43" i="19" s="1"/>
  <c r="C25" i="23"/>
  <c r="I48" i="19" s="1"/>
  <c r="C16" i="23"/>
  <c r="I39" i="19" s="1"/>
  <c r="C26" i="23"/>
  <c r="I49" i="19" s="1"/>
  <c r="I87" i="19"/>
  <c r="I92" i="19"/>
  <c r="I44" i="19"/>
  <c r="I63" i="19"/>
  <c r="I73" i="19"/>
  <c r="I68" i="19"/>
  <c r="I83" i="19"/>
  <c r="I82" i="19"/>
  <c r="I77" i="19"/>
  <c r="I97" i="19"/>
  <c r="I98" i="19"/>
  <c r="I93" i="19"/>
  <c r="I88" i="19"/>
  <c r="I40" i="19"/>
  <c r="I74" i="19"/>
  <c r="I69" i="19"/>
  <c r="I64" i="19"/>
  <c r="I79" i="19"/>
  <c r="I78" i="19"/>
  <c r="I84" i="19"/>
  <c r="I95" i="19"/>
  <c r="I94" i="19"/>
  <c r="I89" i="19"/>
  <c r="I47" i="19"/>
  <c r="I46" i="19"/>
  <c r="I41" i="19"/>
  <c r="I71" i="19"/>
  <c r="I70" i="19"/>
  <c r="I65" i="19"/>
  <c r="I75" i="19"/>
  <c r="I85" i="19"/>
  <c r="I80" i="19"/>
  <c r="I91" i="19"/>
  <c r="I90" i="19"/>
  <c r="I96" i="19"/>
  <c r="I42" i="19"/>
  <c r="I67" i="19"/>
  <c r="I66" i="19"/>
  <c r="I72" i="19"/>
  <c r="I86" i="19"/>
  <c r="I81" i="19"/>
  <c r="I76" i="19"/>
  <c r="X65" i="23" l="1"/>
  <c r="X66" i="23"/>
  <c r="X67" i="23"/>
  <c r="X68" i="23"/>
  <c r="V69" i="23"/>
  <c r="Z69" i="23"/>
  <c r="U66" i="23"/>
  <c r="Y66" i="23"/>
  <c r="AA66" i="23"/>
  <c r="Y67" i="23"/>
  <c r="AA67" i="23"/>
  <c r="Y68" i="23"/>
  <c r="Z64" i="23" l="1"/>
  <c r="V64" i="23"/>
  <c r="X69" i="23"/>
  <c r="Z68" i="23"/>
  <c r="Z67" i="23"/>
  <c r="V67" i="23"/>
  <c r="Z66" i="23"/>
  <c r="V66" i="23"/>
  <c r="Z65" i="23"/>
  <c r="V65" i="23"/>
  <c r="X64" i="23"/>
  <c r="T64" i="23"/>
  <c r="T65" i="23"/>
  <c r="AB49" i="23"/>
  <c r="AB57" i="23"/>
  <c r="AB55" i="23"/>
  <c r="AA64" i="23"/>
  <c r="AB54" i="23"/>
  <c r="Y69" i="23"/>
  <c r="U69" i="23"/>
  <c r="AA68" i="23"/>
  <c r="AB58" i="23"/>
  <c r="AB68" i="23" s="1"/>
  <c r="AB56" i="23"/>
  <c r="AA65" i="23"/>
  <c r="AB48" i="23"/>
  <c r="AB47" i="23"/>
  <c r="AB46" i="23"/>
  <c r="AB45" i="23"/>
  <c r="AB44" i="23"/>
  <c r="AB59" i="23"/>
  <c r="AB69" i="23" s="1"/>
  <c r="Y64" i="23"/>
  <c r="U64" i="23"/>
  <c r="AA69" i="23"/>
  <c r="Y65" i="23"/>
  <c r="U65" i="23"/>
  <c r="S38" i="23"/>
  <c r="S69" i="23"/>
  <c r="T69" i="23"/>
  <c r="S64" i="23"/>
  <c r="M11" i="9"/>
  <c r="AB66" i="23" l="1"/>
  <c r="AB64" i="23"/>
  <c r="AB67" i="23"/>
  <c r="T38" i="23"/>
  <c r="AB65" i="23"/>
  <c r="J73" i="19"/>
  <c r="J113" i="19" l="1"/>
  <c r="E207" i="19" l="1"/>
  <c r="E83" i="30"/>
  <c r="E84" i="30"/>
  <c r="E64" i="30"/>
  <c r="E65" i="30"/>
  <c r="E66" i="30"/>
  <c r="E67" i="30"/>
  <c r="E68" i="30"/>
  <c r="E63" i="30"/>
  <c r="E58" i="30"/>
  <c r="E54" i="30"/>
  <c r="E55" i="30"/>
  <c r="E56" i="30"/>
  <c r="E57" i="30"/>
  <c r="E53" i="30"/>
  <c r="E24" i="30"/>
  <c r="E25" i="30"/>
  <c r="E26" i="30"/>
  <c r="E27" i="30"/>
  <c r="E28" i="30"/>
  <c r="E23" i="30"/>
  <c r="E13" i="30"/>
  <c r="E14" i="30"/>
  <c r="E15" i="30"/>
  <c r="E16" i="30"/>
  <c r="E17" i="30"/>
  <c r="E18" i="30"/>
  <c r="D2" i="30"/>
  <c r="E84" i="29"/>
  <c r="E65" i="29"/>
  <c r="E66" i="29" s="1"/>
  <c r="E67" i="29" s="1"/>
  <c r="E68" i="29" s="1"/>
  <c r="E64" i="29"/>
  <c r="E54" i="29"/>
  <c r="E55" i="29" s="1"/>
  <c r="E56" i="29" s="1"/>
  <c r="E57" i="29" s="1"/>
  <c r="E58" i="29" s="1"/>
  <c r="E28" i="29"/>
  <c r="E27" i="29"/>
  <c r="E26" i="29"/>
  <c r="E25" i="29"/>
  <c r="E24" i="29"/>
  <c r="E23" i="29"/>
  <c r="I62" i="9" l="1"/>
  <c r="D2" i="40" l="1"/>
  <c r="A3" i="40"/>
  <c r="A4" i="40"/>
  <c r="A5" i="40"/>
  <c r="A6" i="40"/>
  <c r="A7" i="40"/>
  <c r="A8" i="40"/>
  <c r="A9" i="40"/>
  <c r="A10" i="40"/>
  <c r="A11" i="40"/>
  <c r="A12" i="40"/>
  <c r="A13" i="40"/>
  <c r="A14" i="40"/>
  <c r="A15" i="40"/>
  <c r="A16" i="40"/>
  <c r="A17" i="40"/>
  <c r="A18" i="40"/>
  <c r="A19" i="40"/>
  <c r="A20" i="40"/>
  <c r="A21" i="40"/>
  <c r="A22" i="40"/>
  <c r="A23" i="40"/>
  <c r="A24" i="40"/>
  <c r="A25" i="40"/>
  <c r="A26" i="40"/>
  <c r="A27" i="40"/>
  <c r="A28" i="40"/>
  <c r="A29" i="40"/>
  <c r="A30" i="40"/>
  <c r="A31" i="40"/>
  <c r="A32" i="40"/>
  <c r="A33" i="40"/>
  <c r="A34" i="40"/>
  <c r="A35" i="40"/>
  <c r="A36" i="40"/>
  <c r="A37" i="40"/>
  <c r="A38" i="40"/>
  <c r="A39" i="40"/>
  <c r="A40" i="40"/>
  <c r="A41" i="40"/>
  <c r="A42" i="40"/>
  <c r="A43" i="40"/>
  <c r="A44" i="40"/>
  <c r="A45" i="40"/>
  <c r="A46" i="40"/>
  <c r="A47" i="40"/>
  <c r="A48" i="40"/>
  <c r="A49" i="40"/>
  <c r="A50" i="40"/>
  <c r="A51" i="40"/>
  <c r="A52" i="40"/>
  <c r="A53" i="40"/>
  <c r="A54" i="40"/>
  <c r="A55" i="40"/>
  <c r="A56" i="40"/>
  <c r="A57" i="40"/>
  <c r="A58" i="40"/>
  <c r="A59" i="40"/>
  <c r="A60" i="40"/>
  <c r="A61" i="40"/>
  <c r="A62" i="40"/>
  <c r="A63" i="40"/>
  <c r="A64" i="40"/>
  <c r="A65" i="40"/>
  <c r="A66" i="40"/>
  <c r="A67" i="40"/>
  <c r="A68" i="40"/>
  <c r="A69" i="40"/>
  <c r="A70" i="40"/>
  <c r="A71" i="40"/>
  <c r="A72" i="40"/>
  <c r="A73" i="40"/>
  <c r="A74" i="40"/>
  <c r="A75" i="40"/>
  <c r="A76" i="40"/>
  <c r="A77" i="40"/>
  <c r="A78" i="40"/>
  <c r="A79" i="40"/>
  <c r="A80" i="40"/>
  <c r="A81" i="40"/>
  <c r="A82" i="40"/>
  <c r="A83" i="40"/>
  <c r="A84" i="40"/>
  <c r="A85" i="40"/>
  <c r="A86" i="40"/>
  <c r="A87" i="40"/>
  <c r="A88" i="40"/>
  <c r="A89" i="40"/>
  <c r="A90" i="40"/>
  <c r="A91" i="40"/>
  <c r="A92" i="40"/>
  <c r="A93" i="40"/>
  <c r="A94" i="40"/>
  <c r="A95" i="40"/>
  <c r="A96" i="40"/>
  <c r="A97" i="40"/>
  <c r="A98" i="40"/>
  <c r="A99" i="40"/>
  <c r="A100" i="40"/>
  <c r="A101" i="40"/>
  <c r="A102" i="40"/>
  <c r="A103" i="40"/>
  <c r="A104" i="40"/>
  <c r="A105" i="40"/>
  <c r="A106" i="40"/>
  <c r="A107" i="40"/>
  <c r="A108" i="40"/>
  <c r="A109" i="40"/>
  <c r="A110" i="40"/>
  <c r="A111" i="40"/>
  <c r="A112" i="40"/>
  <c r="A113" i="40"/>
  <c r="A114" i="40"/>
  <c r="A115" i="40"/>
  <c r="A116" i="40"/>
  <c r="A117" i="40"/>
  <c r="A118" i="40"/>
  <c r="A119" i="40"/>
  <c r="A120" i="40"/>
  <c r="A121" i="40"/>
  <c r="A122" i="40"/>
  <c r="A123" i="40"/>
  <c r="A124" i="40"/>
  <c r="A125" i="40"/>
  <c r="A126" i="40"/>
  <c r="A127" i="40"/>
  <c r="A128" i="40"/>
  <c r="A129" i="40"/>
  <c r="A130" i="40"/>
  <c r="A131" i="40"/>
  <c r="A132" i="40"/>
  <c r="A133" i="40"/>
  <c r="A134" i="40"/>
  <c r="A135" i="40"/>
  <c r="A136" i="40"/>
  <c r="A137" i="40"/>
  <c r="A138" i="40"/>
  <c r="A139" i="40"/>
  <c r="A140" i="40"/>
  <c r="A141" i="40"/>
  <c r="A142" i="40"/>
  <c r="A143" i="40"/>
  <c r="A144" i="40"/>
  <c r="A145" i="40"/>
  <c r="A146" i="40"/>
  <c r="A2" i="40"/>
  <c r="K13" i="40"/>
  <c r="D132" i="40" s="1"/>
  <c r="K14" i="40"/>
  <c r="D138" i="40" s="1"/>
  <c r="C2" i="40"/>
  <c r="J65" i="19"/>
  <c r="D144" i="40" l="1"/>
  <c r="K3" i="40"/>
  <c r="D4" i="40" s="1"/>
  <c r="K7" i="40"/>
  <c r="D54" i="40" s="1"/>
  <c r="K4" i="40"/>
  <c r="D22" i="40" s="1"/>
  <c r="K8" i="40"/>
  <c r="D68" i="40" s="1"/>
  <c r="K5" i="40"/>
  <c r="D34" i="40" s="1"/>
  <c r="D140" i="40"/>
  <c r="K6" i="40"/>
  <c r="D50" i="40" s="1"/>
  <c r="D136" i="40"/>
  <c r="D126" i="40"/>
  <c r="D130" i="40"/>
  <c r="D134" i="40"/>
  <c r="D123" i="40"/>
  <c r="D127" i="40"/>
  <c r="D131" i="40"/>
  <c r="D125" i="40"/>
  <c r="D129" i="40"/>
  <c r="D133" i="40"/>
  <c r="D128" i="40"/>
  <c r="D124" i="40"/>
  <c r="D145" i="40"/>
  <c r="D141" i="40"/>
  <c r="D137" i="40"/>
  <c r="K9" i="40"/>
  <c r="D143" i="40"/>
  <c r="D139" i="40"/>
  <c r="D135" i="40"/>
  <c r="D146" i="40"/>
  <c r="D142" i="40"/>
  <c r="K10" i="40"/>
  <c r="K11" i="40"/>
  <c r="K12" i="40"/>
  <c r="D10" i="40" l="1"/>
  <c r="D30" i="40"/>
  <c r="D11" i="40"/>
  <c r="D12" i="40"/>
  <c r="D33" i="40"/>
  <c r="D3" i="40"/>
  <c r="C3" i="40" s="1"/>
  <c r="D9" i="40"/>
  <c r="D27" i="40"/>
  <c r="D53" i="40"/>
  <c r="D51" i="40"/>
  <c r="D62" i="40"/>
  <c r="D57" i="40"/>
  <c r="D29" i="40"/>
  <c r="D13" i="40"/>
  <c r="D7" i="40"/>
  <c r="D6" i="40"/>
  <c r="D36" i="40"/>
  <c r="D32" i="40"/>
  <c r="D5" i="40"/>
  <c r="D14" i="40"/>
  <c r="D8" i="40"/>
  <c r="D41" i="40"/>
  <c r="D60" i="40"/>
  <c r="D56" i="40"/>
  <c r="D46" i="40"/>
  <c r="D52" i="40"/>
  <c r="D55" i="40"/>
  <c r="D24" i="40"/>
  <c r="D40" i="40"/>
  <c r="D42" i="40"/>
  <c r="D19" i="40"/>
  <c r="D61" i="40"/>
  <c r="D59" i="40"/>
  <c r="D58" i="40"/>
  <c r="D16" i="40"/>
  <c r="D39" i="40"/>
  <c r="D74" i="40"/>
  <c r="D20" i="40"/>
  <c r="D48" i="40"/>
  <c r="D17" i="40"/>
  <c r="D18" i="40"/>
  <c r="D49" i="40"/>
  <c r="D47" i="40"/>
  <c r="D44" i="40"/>
  <c r="D73" i="40"/>
  <c r="D25" i="40"/>
  <c r="D15" i="40"/>
  <c r="D26" i="40"/>
  <c r="D66" i="40"/>
  <c r="D45" i="40"/>
  <c r="D43" i="40"/>
  <c r="D71" i="40"/>
  <c r="D21" i="40"/>
  <c r="D23" i="40"/>
  <c r="D65" i="40"/>
  <c r="D70" i="40"/>
  <c r="D64" i="40"/>
  <c r="D72" i="40"/>
  <c r="D67" i="40"/>
  <c r="D28" i="40"/>
  <c r="D35" i="40"/>
  <c r="D38" i="40"/>
  <c r="D37" i="40"/>
  <c r="D31" i="40"/>
  <c r="D69" i="40"/>
  <c r="D63" i="40"/>
  <c r="D114" i="40"/>
  <c r="D118" i="40"/>
  <c r="D122" i="40"/>
  <c r="D111" i="40"/>
  <c r="D115" i="40"/>
  <c r="D119" i="40"/>
  <c r="D113" i="40"/>
  <c r="D117" i="40"/>
  <c r="D121" i="40"/>
  <c r="D116" i="40"/>
  <c r="D112" i="40"/>
  <c r="D120" i="40"/>
  <c r="D102" i="40"/>
  <c r="D106" i="40"/>
  <c r="D110" i="40"/>
  <c r="D99" i="40"/>
  <c r="D103" i="40"/>
  <c r="D107" i="40"/>
  <c r="D101" i="40"/>
  <c r="D105" i="40"/>
  <c r="D109" i="40"/>
  <c r="D108" i="40"/>
  <c r="D100" i="40"/>
  <c r="D104" i="40"/>
  <c r="D90" i="40"/>
  <c r="D94" i="40"/>
  <c r="D98" i="40"/>
  <c r="D87" i="40"/>
  <c r="D91" i="40"/>
  <c r="D95" i="40"/>
  <c r="D89" i="40"/>
  <c r="D93" i="40"/>
  <c r="D97" i="40"/>
  <c r="D92" i="40"/>
  <c r="D96" i="40"/>
  <c r="D88" i="40"/>
  <c r="D78" i="40"/>
  <c r="D82" i="40"/>
  <c r="D86" i="40"/>
  <c r="D75" i="40"/>
  <c r="D79" i="40"/>
  <c r="D83" i="40"/>
  <c r="D77" i="40"/>
  <c r="D81" i="40"/>
  <c r="D85" i="40"/>
  <c r="D76" i="40"/>
  <c r="D80" i="40"/>
  <c r="D84" i="40"/>
  <c r="Q13" i="23"/>
  <c r="P13" i="23"/>
  <c r="S13" i="23" s="1"/>
  <c r="Q12" i="23"/>
  <c r="R12" i="23"/>
  <c r="Q33" i="23" s="1"/>
  <c r="D256" i="24" s="1"/>
  <c r="O12" i="23"/>
  <c r="S12" i="23" s="1"/>
  <c r="Q28" i="23"/>
  <c r="P28" i="23"/>
  <c r="T25" i="23"/>
  <c r="T24" i="23"/>
  <c r="T13" i="23" l="1"/>
  <c r="S33" i="23"/>
  <c r="F256" i="24" s="1"/>
  <c r="R33" i="23"/>
  <c r="E256" i="24" s="1"/>
  <c r="F100" i="24"/>
  <c r="F248" i="24"/>
  <c r="F98" i="24"/>
  <c r="F249" i="24"/>
  <c r="E248" i="24"/>
  <c r="E100" i="24"/>
  <c r="D248" i="24"/>
  <c r="D100" i="24"/>
  <c r="E98" i="24"/>
  <c r="E249" i="24"/>
  <c r="G100" i="24"/>
  <c r="G248" i="24"/>
  <c r="G249" i="24"/>
  <c r="G98" i="24"/>
  <c r="C4" i="40"/>
  <c r="T28" i="23"/>
  <c r="I249" i="24" l="1"/>
  <c r="L249" i="24"/>
  <c r="K249" i="24"/>
  <c r="T33" i="23"/>
  <c r="H100" i="24"/>
  <c r="C5" i="40"/>
  <c r="C6" i="40" l="1"/>
  <c r="C7" i="40" l="1"/>
  <c r="C8" i="40" l="1"/>
  <c r="C9" i="40" l="1"/>
  <c r="C10" i="40" l="1"/>
  <c r="C11" i="40" l="1"/>
  <c r="C12" i="40" l="1"/>
  <c r="C13" i="40" l="1"/>
  <c r="C14" i="40" l="1"/>
  <c r="C15" i="40" l="1"/>
  <c r="C16" i="40" l="1"/>
  <c r="C17" i="40" s="1"/>
  <c r="C18" i="40" l="1"/>
  <c r="C19" i="40" l="1"/>
  <c r="C20" i="40" l="1"/>
  <c r="C21" i="40" l="1"/>
  <c r="C22" i="40" l="1"/>
  <c r="C23" i="40" l="1"/>
  <c r="C24" i="40" l="1"/>
  <c r="C25" i="40" l="1"/>
  <c r="C26" i="40" l="1"/>
  <c r="C27" i="40" l="1"/>
  <c r="C28" i="40" l="1"/>
  <c r="C29" i="40" l="1"/>
  <c r="C30" i="40" l="1"/>
  <c r="C31" i="40" l="1"/>
  <c r="C32" i="40" l="1"/>
  <c r="C33" i="40" l="1"/>
  <c r="C34" i="40" l="1"/>
  <c r="C35" i="40" l="1"/>
  <c r="C36" i="40" l="1"/>
  <c r="C37" i="40" l="1"/>
  <c r="C38" i="40" l="1"/>
  <c r="C39" i="40" l="1"/>
  <c r="C40" i="40" l="1"/>
  <c r="C41" i="40" l="1"/>
  <c r="C42" i="40" l="1"/>
  <c r="C43" i="40" l="1"/>
  <c r="C44" i="40" l="1"/>
  <c r="C45" i="40" l="1"/>
  <c r="C46" i="40" l="1"/>
  <c r="C47" i="40" l="1"/>
  <c r="C48" i="40" l="1"/>
  <c r="C49" i="40" l="1"/>
  <c r="C50" i="40" l="1"/>
  <c r="C51" i="40" l="1"/>
  <c r="C52" i="40" l="1"/>
  <c r="C53" i="40" l="1"/>
  <c r="C54" i="40" l="1"/>
  <c r="C55" i="40" l="1"/>
  <c r="C56" i="40" l="1"/>
  <c r="C57" i="40" l="1"/>
  <c r="C58" i="40" l="1"/>
  <c r="C59" i="40" l="1"/>
  <c r="C60" i="40" l="1"/>
  <c r="C61" i="40" l="1"/>
  <c r="C62" i="40" l="1"/>
  <c r="C63" i="40" l="1"/>
  <c r="C64" i="40" l="1"/>
  <c r="C65" i="40" l="1"/>
  <c r="C66" i="40" l="1"/>
  <c r="C67" i="40" l="1"/>
  <c r="C68" i="40" l="1"/>
  <c r="C69" i="40" l="1"/>
  <c r="C70" i="40" l="1"/>
  <c r="C71" i="40" l="1"/>
  <c r="C72" i="40" l="1"/>
  <c r="C73" i="40" l="1"/>
  <c r="C74" i="40" l="1"/>
  <c r="C75" i="40" l="1"/>
  <c r="C76" i="40" l="1"/>
  <c r="C77" i="40" l="1"/>
  <c r="C78" i="40" l="1"/>
  <c r="C79" i="40" l="1"/>
  <c r="C80" i="40" l="1"/>
  <c r="C81" i="40" l="1"/>
  <c r="C82" i="40" l="1"/>
  <c r="C83" i="40" l="1"/>
  <c r="C84" i="40" l="1"/>
  <c r="C85" i="40" l="1"/>
  <c r="C86" i="40" l="1"/>
  <c r="C87" i="40" l="1"/>
  <c r="C88" i="40" l="1"/>
  <c r="C89" i="40" l="1"/>
  <c r="C90" i="40" l="1"/>
  <c r="C91" i="40" l="1"/>
  <c r="C92" i="40" l="1"/>
  <c r="C93" i="40" l="1"/>
  <c r="C94" i="40" l="1"/>
  <c r="C95" i="40" l="1"/>
  <c r="C96" i="40" l="1"/>
  <c r="C97" i="40" l="1"/>
  <c r="C98" i="40" l="1"/>
  <c r="C99" i="40" l="1"/>
  <c r="C100" i="40" l="1"/>
  <c r="C101" i="40" l="1"/>
  <c r="C102" i="40" l="1"/>
  <c r="C103" i="40" l="1"/>
  <c r="C104" i="40" l="1"/>
  <c r="C105" i="40" l="1"/>
  <c r="C106" i="40" l="1"/>
  <c r="C107" i="40" l="1"/>
  <c r="C108" i="40" l="1"/>
  <c r="C109" i="40" l="1"/>
  <c r="C110" i="40" l="1"/>
  <c r="C111" i="40" l="1"/>
  <c r="C112" i="40" l="1"/>
  <c r="C113" i="40" l="1"/>
  <c r="C114" i="40" l="1"/>
  <c r="C115" i="40" l="1"/>
  <c r="C116" i="40" l="1"/>
  <c r="C117" i="40" l="1"/>
  <c r="C118" i="40" l="1"/>
  <c r="C119" i="40" l="1"/>
  <c r="C120" i="40" l="1"/>
  <c r="C121" i="40" l="1"/>
  <c r="C122" i="40" l="1"/>
  <c r="C123" i="40" l="1"/>
  <c r="C124" i="40" s="1"/>
  <c r="C125" i="40" s="1"/>
  <c r="C126" i="40" s="1"/>
  <c r="C127" i="40" s="1"/>
  <c r="C128" i="40" s="1"/>
  <c r="C129" i="40" s="1"/>
  <c r="C130" i="40" s="1"/>
  <c r="C131" i="40" s="1"/>
  <c r="C132" i="40" s="1"/>
  <c r="C133" i="40" s="1"/>
  <c r="C134" i="40" s="1"/>
  <c r="C135" i="40" s="1"/>
  <c r="C136" i="40" s="1"/>
  <c r="C137" i="40" s="1"/>
  <c r="C138" i="40" s="1"/>
  <c r="C139" i="40" s="1"/>
  <c r="C140" i="40" s="1"/>
  <c r="C141" i="40" s="1"/>
  <c r="C142" i="40" s="1"/>
  <c r="C143" i="40" s="1"/>
  <c r="C144" i="40" s="1"/>
  <c r="C145" i="40" s="1"/>
  <c r="C146" i="40" s="1"/>
  <c r="G23" i="17" l="1"/>
  <c r="G25" i="17"/>
  <c r="G24" i="17"/>
  <c r="B9" i="17" l="1"/>
  <c r="D152" i="24" s="1"/>
  <c r="B23" i="17" l="1"/>
  <c r="M14" i="23" l="1"/>
  <c r="Q7" i="23"/>
  <c r="F243" i="24" s="1"/>
  <c r="O6" i="23"/>
  <c r="R7" i="23"/>
  <c r="G243" i="24" s="1"/>
  <c r="R6" i="23"/>
  <c r="G242" i="24" s="1"/>
  <c r="Q6" i="23"/>
  <c r="F242" i="24" s="1"/>
  <c r="P6" i="23"/>
  <c r="E242" i="24" s="1"/>
  <c r="C11" i="23"/>
  <c r="E11" i="23" s="1"/>
  <c r="B11" i="23"/>
  <c r="F2" i="23"/>
  <c r="F235" i="24" l="1"/>
  <c r="O10" i="23"/>
  <c r="D246" i="24" s="1"/>
  <c r="D242" i="24"/>
  <c r="D11" i="23"/>
  <c r="E235" i="24"/>
  <c r="G235" i="24" s="1"/>
  <c r="H235" i="24" s="1"/>
  <c r="C5" i="23"/>
  <c r="C8" i="23"/>
  <c r="E8" i="23" s="1"/>
  <c r="C9" i="23"/>
  <c r="C4" i="23"/>
  <c r="E233" i="24"/>
  <c r="B5" i="23"/>
  <c r="E229" i="24" s="1"/>
  <c r="B8" i="23"/>
  <c r="E232" i="24" s="1"/>
  <c r="B4" i="23"/>
  <c r="B7" i="23"/>
  <c r="E231" i="24" s="1"/>
  <c r="B6" i="23"/>
  <c r="E230" i="24" s="1"/>
  <c r="H249" i="24"/>
  <c r="P7" i="23"/>
  <c r="P16" i="23"/>
  <c r="L28" i="23" s="1"/>
  <c r="B10" i="23"/>
  <c r="E234" i="24" s="1"/>
  <c r="S6" i="23"/>
  <c r="H242" i="24" s="1"/>
  <c r="O16" i="23"/>
  <c r="H248" i="24"/>
  <c r="G2" i="23"/>
  <c r="C6" i="23"/>
  <c r="C7" i="23"/>
  <c r="F234" i="24" l="1"/>
  <c r="E252" i="24"/>
  <c r="M28" i="23"/>
  <c r="E5" i="23"/>
  <c r="F229" i="24"/>
  <c r="D105" i="24" a="1"/>
  <c r="F232" i="24"/>
  <c r="E6" i="23"/>
  <c r="F230" i="24"/>
  <c r="D252" i="24"/>
  <c r="M27" i="23"/>
  <c r="S7" i="23"/>
  <c r="H243" i="24" s="1"/>
  <c r="E243" i="24"/>
  <c r="D4" i="23"/>
  <c r="E228" i="24"/>
  <c r="E4" i="23"/>
  <c r="F228" i="24"/>
  <c r="F231" i="24"/>
  <c r="E9" i="23"/>
  <c r="F233" i="24"/>
  <c r="D9" i="23"/>
  <c r="D7" i="23"/>
  <c r="D6" i="23"/>
  <c r="D5" i="23"/>
  <c r="D10" i="23"/>
  <c r="D8" i="23"/>
  <c r="P10" i="23"/>
  <c r="E246" i="24" s="1"/>
  <c r="B3" i="23"/>
  <c r="J31" i="23"/>
  <c r="K31" i="23"/>
  <c r="E12" i="23" l="1"/>
  <c r="E227" i="24"/>
  <c r="E236" i="24" s="1"/>
  <c r="D3" i="23"/>
  <c r="E105" i="24"/>
  <c r="D105" i="24"/>
  <c r="G105" i="24"/>
  <c r="F105" i="24"/>
  <c r="C85" i="23"/>
  <c r="C79" i="23"/>
  <c r="C80" i="23"/>
  <c r="C78" i="23"/>
  <c r="C83" i="23"/>
  <c r="C84" i="23"/>
  <c r="C77" i="23"/>
  <c r="C82" i="23"/>
  <c r="C87" i="23"/>
  <c r="C81" i="23"/>
  <c r="C86" i="23"/>
  <c r="C76" i="23"/>
  <c r="F227" i="24"/>
  <c r="F236" i="24" s="1"/>
  <c r="D103" i="24" a="1"/>
  <c r="C97" i="23"/>
  <c r="C91" i="23"/>
  <c r="C92" i="23"/>
  <c r="C90" i="23"/>
  <c r="C95" i="23"/>
  <c r="C96" i="23"/>
  <c r="C89" i="23"/>
  <c r="C94" i="23"/>
  <c r="C99" i="23"/>
  <c r="C93" i="23"/>
  <c r="C98" i="23"/>
  <c r="C88" i="23"/>
  <c r="B12" i="23"/>
  <c r="C12" i="23"/>
  <c r="G71" i="9" l="1"/>
  <c r="T14" i="23"/>
  <c r="R15" i="23"/>
  <c r="R14" i="23"/>
  <c r="F250" i="24"/>
  <c r="Q16" i="23"/>
  <c r="C13" i="23"/>
  <c r="D12" i="23"/>
  <c r="I119" i="19"/>
  <c r="I105" i="19"/>
  <c r="I101" i="19"/>
  <c r="Q10" i="23"/>
  <c r="F246" i="24" s="1"/>
  <c r="F244" i="24"/>
  <c r="R8" i="23"/>
  <c r="I122" i="19"/>
  <c r="I118" i="19"/>
  <c r="I120" i="19"/>
  <c r="I109" i="19"/>
  <c r="I100" i="19"/>
  <c r="I103" i="19"/>
  <c r="I116" i="19"/>
  <c r="I114" i="19"/>
  <c r="I111" i="19"/>
  <c r="I117" i="19"/>
  <c r="I113" i="19"/>
  <c r="F103" i="24"/>
  <c r="E103" i="24"/>
  <c r="D103" i="24"/>
  <c r="G103" i="24"/>
  <c r="H103" i="24"/>
  <c r="I104" i="19"/>
  <c r="I107" i="19"/>
  <c r="I102" i="19"/>
  <c r="I99" i="19"/>
  <c r="I121" i="19"/>
  <c r="I112" i="19"/>
  <c r="I115" i="19"/>
  <c r="I110" i="19"/>
  <c r="I106" i="19"/>
  <c r="I108" i="19"/>
  <c r="F3" i="23"/>
  <c r="G3" i="23" s="1"/>
  <c r="G250" i="24" l="1"/>
  <c r="R16" i="23"/>
  <c r="S14" i="23"/>
  <c r="H250" i="24" s="1"/>
  <c r="T15" i="23"/>
  <c r="G251" i="24"/>
  <c r="S15" i="23"/>
  <c r="H251" i="24" s="1"/>
  <c r="Q17" i="23"/>
  <c r="R26" i="23" s="1"/>
  <c r="R28" i="23" s="1"/>
  <c r="L29" i="23"/>
  <c r="F252" i="24"/>
  <c r="S16" i="23"/>
  <c r="I250" i="24"/>
  <c r="V14" i="23"/>
  <c r="F71" i="9"/>
  <c r="I71" i="9"/>
  <c r="E268" i="24" s="1"/>
  <c r="J71" i="9"/>
  <c r="F268" i="24" s="1"/>
  <c r="H71" i="9"/>
  <c r="D268" i="24" s="1"/>
  <c r="E206" i="19"/>
  <c r="G244" i="24"/>
  <c r="R9" i="23"/>
  <c r="S8" i="23"/>
  <c r="H244" i="24" s="1"/>
  <c r="Q39" i="23"/>
  <c r="G74" i="9"/>
  <c r="G75" i="9"/>
  <c r="E16" i="23"/>
  <c r="D95" i="24" l="1"/>
  <c r="H252" i="24"/>
  <c r="L30" i="23"/>
  <c r="M30" i="23" s="1"/>
  <c r="G252" i="24"/>
  <c r="R17" i="23"/>
  <c r="S27" i="23" s="1"/>
  <c r="S28" i="23" s="1"/>
  <c r="J268" i="24"/>
  <c r="K250" i="24"/>
  <c r="K252" i="24" s="1"/>
  <c r="V16" i="23"/>
  <c r="L250" i="24"/>
  <c r="M29" i="23"/>
  <c r="L31" i="23"/>
  <c r="I251" i="24"/>
  <c r="W15" i="23"/>
  <c r="L251" i="24" s="1"/>
  <c r="S9" i="23"/>
  <c r="H245" i="24" s="1"/>
  <c r="G245" i="24"/>
  <c r="R10" i="23"/>
  <c r="R39" i="23"/>
  <c r="E17" i="23"/>
  <c r="M31" i="23" l="1"/>
  <c r="M33" i="23" s="1"/>
  <c r="M32" i="23"/>
  <c r="C103" i="23"/>
  <c r="I126" i="19" s="1"/>
  <c r="C105" i="23"/>
  <c r="I128" i="19" s="1"/>
  <c r="C111" i="23"/>
  <c r="I134" i="19" s="1"/>
  <c r="C102" i="23"/>
  <c r="I125" i="19" s="1"/>
  <c r="C110" i="23"/>
  <c r="I133" i="19" s="1"/>
  <c r="C106" i="23"/>
  <c r="I129" i="19" s="1"/>
  <c r="C109" i="23"/>
  <c r="I132" i="19" s="1"/>
  <c r="C101" i="23"/>
  <c r="I124" i="19" s="1"/>
  <c r="C104" i="23"/>
  <c r="I127" i="19" s="1"/>
  <c r="C100" i="23"/>
  <c r="C108" i="23"/>
  <c r="I131" i="19" s="1"/>
  <c r="C107" i="23"/>
  <c r="I130" i="19" s="1"/>
  <c r="C118" i="23"/>
  <c r="I141" i="19" s="1"/>
  <c r="C117" i="23"/>
  <c r="I140" i="19" s="1"/>
  <c r="C119" i="23"/>
  <c r="I142" i="19" s="1"/>
  <c r="C122" i="23"/>
  <c r="I145" i="19" s="1"/>
  <c r="C113" i="23"/>
  <c r="I136" i="19" s="1"/>
  <c r="C112" i="23"/>
  <c r="I135" i="19" s="1"/>
  <c r="C120" i="23"/>
  <c r="I143" i="19" s="1"/>
  <c r="C114" i="23"/>
  <c r="I137" i="19" s="1"/>
  <c r="C123" i="23"/>
  <c r="I146" i="19" s="1"/>
  <c r="C115" i="23"/>
  <c r="I138" i="19" s="1"/>
  <c r="C116" i="23"/>
  <c r="I139" i="19" s="1"/>
  <c r="C121" i="23"/>
  <c r="I144" i="19" s="1"/>
  <c r="L252" i="24"/>
  <c r="S10" i="23"/>
  <c r="H246" i="24" s="1"/>
  <c r="G246" i="24"/>
  <c r="S39" i="23"/>
  <c r="E18" i="23"/>
  <c r="I123" i="19" l="1"/>
  <c r="C124" i="23"/>
  <c r="C125" i="23" s="1"/>
  <c r="T39" i="23"/>
  <c r="N71" i="9"/>
  <c r="E19" i="23"/>
  <c r="E20" i="23" l="1"/>
  <c r="E21" i="23" l="1"/>
  <c r="E22" i="23" l="1"/>
  <c r="E23" i="23" l="1"/>
  <c r="E24" i="23" l="1"/>
  <c r="E25" i="23" l="1"/>
  <c r="E26" i="23" l="1"/>
  <c r="E27" i="23" s="1"/>
  <c r="F28" i="23" s="1"/>
  <c r="G28" i="23" l="1"/>
  <c r="F4" i="23" s="1"/>
  <c r="G4" i="23" s="1"/>
  <c r="E28" i="23" s="1"/>
  <c r="I3" i="23"/>
  <c r="J3" i="23" s="1"/>
  <c r="E29" i="23" l="1"/>
  <c r="E30" i="23" l="1"/>
  <c r="E31" i="23" l="1"/>
  <c r="E32" i="23" l="1"/>
  <c r="E33" i="23" l="1"/>
  <c r="E34" i="23" l="1"/>
  <c r="E35" i="23" l="1"/>
  <c r="E36" i="23" l="1"/>
  <c r="E37" i="23" l="1"/>
  <c r="E38" i="23" l="1"/>
  <c r="E39" i="23" l="1"/>
  <c r="G39" i="23" l="1"/>
  <c r="F5" i="23" s="1"/>
  <c r="G5" i="23" s="1"/>
  <c r="E40" i="23" s="1"/>
  <c r="F39" i="23"/>
  <c r="I4" i="23" l="1"/>
  <c r="E41" i="23"/>
  <c r="H123" i="19"/>
  <c r="H124" i="19"/>
  <c r="H125" i="19"/>
  <c r="H126" i="19"/>
  <c r="H127" i="19"/>
  <c r="H128" i="19"/>
  <c r="H129" i="19"/>
  <c r="H130" i="19"/>
  <c r="H131" i="19"/>
  <c r="H132" i="19"/>
  <c r="H133" i="19"/>
  <c r="H134" i="19"/>
  <c r="H135" i="19"/>
  <c r="H136" i="19"/>
  <c r="H172" i="19" s="1"/>
  <c r="H137" i="19"/>
  <c r="H173" i="19" s="1"/>
  <c r="H138" i="19"/>
  <c r="H174" i="19" s="1"/>
  <c r="H139" i="19"/>
  <c r="H175" i="19" s="1"/>
  <c r="H140" i="19"/>
  <c r="H176" i="19" s="1"/>
  <c r="H141" i="19"/>
  <c r="H177" i="19" s="1"/>
  <c r="H142" i="19"/>
  <c r="H178" i="19" s="1"/>
  <c r="H143" i="19"/>
  <c r="H179" i="19" s="1"/>
  <c r="H144" i="19"/>
  <c r="H180" i="19" s="1"/>
  <c r="H145" i="19"/>
  <c r="H181" i="19" s="1"/>
  <c r="H146" i="19"/>
  <c r="H182" i="19" s="1"/>
  <c r="H171" i="19" l="1"/>
  <c r="D210" i="19"/>
  <c r="K182" i="19"/>
  <c r="D207" i="19"/>
  <c r="E42" i="23"/>
  <c r="J4" i="23"/>
  <c r="K171" i="19" l="1"/>
  <c r="E43" i="23"/>
  <c r="K172" i="19" l="1"/>
  <c r="E44" i="23"/>
  <c r="K173" i="19" l="1"/>
  <c r="E45" i="23"/>
  <c r="K174" i="19" l="1"/>
  <c r="E46" i="23"/>
  <c r="K175" i="19" l="1"/>
  <c r="E47" i="23"/>
  <c r="K176" i="19" l="1"/>
  <c r="E48" i="23"/>
  <c r="K177" i="19" l="1"/>
  <c r="E49" i="23"/>
  <c r="K178" i="19" l="1"/>
  <c r="E50" i="23"/>
  <c r="K179" i="19" l="1"/>
  <c r="E51" i="23"/>
  <c r="F176" i="19"/>
  <c r="F177" i="19"/>
  <c r="F178" i="19"/>
  <c r="F179" i="19"/>
  <c r="F180" i="19"/>
  <c r="F181" i="19"/>
  <c r="F182" i="19"/>
  <c r="K180" i="19" l="1"/>
  <c r="G51" i="23"/>
  <c r="F6" i="23" s="1"/>
  <c r="G6" i="23" s="1"/>
  <c r="E52" i="23" s="1"/>
  <c r="F51" i="23"/>
  <c r="K181" i="19" l="1"/>
  <c r="I207" i="19"/>
  <c r="F207" i="19" s="1"/>
  <c r="I5" i="23"/>
  <c r="E53" i="23"/>
  <c r="C63" i="19"/>
  <c r="C64" i="19"/>
  <c r="C65" i="19"/>
  <c r="C66" i="19"/>
  <c r="C67" i="19"/>
  <c r="C68" i="19"/>
  <c r="C69" i="19"/>
  <c r="C70" i="19"/>
  <c r="C71" i="19"/>
  <c r="C72" i="19"/>
  <c r="C73" i="19"/>
  <c r="C74" i="19"/>
  <c r="C51" i="19"/>
  <c r="C52" i="19"/>
  <c r="C53" i="19"/>
  <c r="C54" i="19"/>
  <c r="C55" i="19"/>
  <c r="C56" i="19"/>
  <c r="C57" i="19"/>
  <c r="C58" i="19"/>
  <c r="C59" i="19"/>
  <c r="C60" i="19"/>
  <c r="C61" i="19"/>
  <c r="C62" i="19"/>
  <c r="C39" i="19"/>
  <c r="C40" i="19"/>
  <c r="C41" i="19"/>
  <c r="C42" i="19"/>
  <c r="C43" i="19"/>
  <c r="C44" i="19"/>
  <c r="C45" i="19"/>
  <c r="C46" i="19"/>
  <c r="C47" i="19"/>
  <c r="C48" i="19"/>
  <c r="C49" i="19"/>
  <c r="C50" i="19"/>
  <c r="C27" i="19"/>
  <c r="C28" i="19"/>
  <c r="C29" i="19"/>
  <c r="C30" i="19"/>
  <c r="C31" i="19"/>
  <c r="C32" i="19"/>
  <c r="C33" i="19"/>
  <c r="C34" i="19"/>
  <c r="C35" i="19"/>
  <c r="C36" i="19"/>
  <c r="C37" i="19"/>
  <c r="C38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3" i="19"/>
  <c r="C4" i="19"/>
  <c r="C5" i="19"/>
  <c r="C6" i="19"/>
  <c r="C7" i="19"/>
  <c r="C8" i="19"/>
  <c r="C9" i="19"/>
  <c r="C10" i="19"/>
  <c r="C11" i="19"/>
  <c r="C12" i="19"/>
  <c r="C13" i="19"/>
  <c r="C14" i="19"/>
  <c r="E54" i="23" l="1"/>
  <c r="J5" i="23"/>
  <c r="D3" i="29"/>
  <c r="D3" i="30" s="1"/>
  <c r="D4" i="29"/>
  <c r="D4" i="30" s="1"/>
  <c r="D5" i="29"/>
  <c r="D5" i="30" s="1"/>
  <c r="D6" i="29"/>
  <c r="D6" i="30" s="1"/>
  <c r="D7" i="29"/>
  <c r="D7" i="30" s="1"/>
  <c r="E55" i="23" l="1"/>
  <c r="O11" i="29"/>
  <c r="Y11" i="29" s="1"/>
  <c r="Z11" i="29" s="1"/>
  <c r="P11" i="29"/>
  <c r="A2" i="29" a="1"/>
  <c r="A5" i="29" s="1"/>
  <c r="E56" i="23" l="1"/>
  <c r="A4" i="29"/>
  <c r="A7" i="29"/>
  <c r="A3" i="29"/>
  <c r="A6" i="29"/>
  <c r="A2" i="29"/>
  <c r="J99" i="19"/>
  <c r="J100" i="19"/>
  <c r="J101" i="19"/>
  <c r="J102" i="19"/>
  <c r="J103" i="19"/>
  <c r="J104" i="19"/>
  <c r="J105" i="19"/>
  <c r="J106" i="19"/>
  <c r="J107" i="19"/>
  <c r="J108" i="19"/>
  <c r="J109" i="19"/>
  <c r="J110" i="19"/>
  <c r="J111" i="19"/>
  <c r="J112" i="19"/>
  <c r="J114" i="19"/>
  <c r="J115" i="19"/>
  <c r="J116" i="19"/>
  <c r="J117" i="19"/>
  <c r="J118" i="19"/>
  <c r="J119" i="19"/>
  <c r="J120" i="19"/>
  <c r="J121" i="19"/>
  <c r="J122" i="19"/>
  <c r="J123" i="19"/>
  <c r="J124" i="19"/>
  <c r="J125" i="19"/>
  <c r="J126" i="19"/>
  <c r="J127" i="19"/>
  <c r="J128" i="19"/>
  <c r="J129" i="19"/>
  <c r="J130" i="19"/>
  <c r="J131" i="19"/>
  <c r="J132" i="19"/>
  <c r="J133" i="19"/>
  <c r="J134" i="19"/>
  <c r="J136" i="19"/>
  <c r="J172" i="19" s="1"/>
  <c r="J137" i="19"/>
  <c r="J173" i="19" s="1"/>
  <c r="J138" i="19"/>
  <c r="J174" i="19" s="1"/>
  <c r="J139" i="19"/>
  <c r="J175" i="19" s="1"/>
  <c r="J140" i="19"/>
  <c r="J176" i="19" s="1"/>
  <c r="J141" i="19"/>
  <c r="J177" i="19" s="1"/>
  <c r="J142" i="19"/>
  <c r="J178" i="19" s="1"/>
  <c r="J143" i="19"/>
  <c r="J179" i="19" s="1"/>
  <c r="J144" i="19"/>
  <c r="J180" i="19" s="1"/>
  <c r="J145" i="19"/>
  <c r="J181" i="19" s="1"/>
  <c r="J146" i="19"/>
  <c r="J182" i="19" s="1"/>
  <c r="J135" i="19"/>
  <c r="D158" i="38"/>
  <c r="D159" i="38"/>
  <c r="D160" i="38"/>
  <c r="D161" i="38"/>
  <c r="D162" i="38"/>
  <c r="D163" i="38"/>
  <c r="D164" i="38"/>
  <c r="D165" i="38"/>
  <c r="D166" i="38"/>
  <c r="D167" i="38"/>
  <c r="D168" i="38"/>
  <c r="D169" i="38"/>
  <c r="F171" i="38"/>
  <c r="F172" i="38"/>
  <c r="F173" i="38"/>
  <c r="F174" i="38"/>
  <c r="F175" i="38"/>
  <c r="F176" i="38"/>
  <c r="F177" i="38"/>
  <c r="F178" i="38"/>
  <c r="F179" i="38"/>
  <c r="F180" i="38"/>
  <c r="F181" i="38"/>
  <c r="F182" i="38"/>
  <c r="F183" i="38"/>
  <c r="F184" i="38"/>
  <c r="F185" i="38"/>
  <c r="F186" i="38"/>
  <c r="F187" i="38"/>
  <c r="F188" i="38"/>
  <c r="F189" i="38"/>
  <c r="F190" i="38"/>
  <c r="F191" i="38"/>
  <c r="F192" i="38"/>
  <c r="F193" i="38"/>
  <c r="F170" i="38"/>
  <c r="D171" i="38"/>
  <c r="D172" i="38"/>
  <c r="D173" i="38"/>
  <c r="D174" i="38"/>
  <c r="D175" i="38"/>
  <c r="D176" i="38"/>
  <c r="D177" i="38"/>
  <c r="D178" i="38"/>
  <c r="D179" i="38"/>
  <c r="D180" i="38"/>
  <c r="D181" i="38"/>
  <c r="D182" i="38"/>
  <c r="D183" i="38"/>
  <c r="D184" i="38"/>
  <c r="D185" i="38"/>
  <c r="D186" i="38"/>
  <c r="D187" i="38"/>
  <c r="D188" i="38"/>
  <c r="D189" i="38"/>
  <c r="D190" i="38"/>
  <c r="D191" i="38"/>
  <c r="D192" i="38"/>
  <c r="D193" i="38"/>
  <c r="D194" i="38"/>
  <c r="D195" i="38"/>
  <c r="D196" i="38"/>
  <c r="D197" i="38"/>
  <c r="D198" i="38"/>
  <c r="D199" i="38"/>
  <c r="D200" i="38"/>
  <c r="D201" i="38"/>
  <c r="D202" i="38"/>
  <c r="D203" i="38"/>
  <c r="D204" i="38"/>
  <c r="D205" i="38"/>
  <c r="D170" i="38"/>
  <c r="B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J3" i="19"/>
  <c r="J4" i="19"/>
  <c r="J5" i="19"/>
  <c r="J6" i="19"/>
  <c r="J7" i="19"/>
  <c r="J8" i="19"/>
  <c r="J9" i="19"/>
  <c r="J10" i="19"/>
  <c r="J11" i="19"/>
  <c r="J12" i="19"/>
  <c r="J13" i="19"/>
  <c r="J14" i="19"/>
  <c r="J15" i="19"/>
  <c r="J16" i="19"/>
  <c r="J17" i="19"/>
  <c r="J18" i="19"/>
  <c r="J19" i="19"/>
  <c r="J20" i="19"/>
  <c r="J21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6" i="19"/>
  <c r="J67" i="19"/>
  <c r="J68" i="19"/>
  <c r="J69" i="19"/>
  <c r="J70" i="19"/>
  <c r="J71" i="19"/>
  <c r="J72" i="19"/>
  <c r="J74" i="19"/>
  <c r="J75" i="19"/>
  <c r="J76" i="19"/>
  <c r="J77" i="19"/>
  <c r="J78" i="19"/>
  <c r="J79" i="19"/>
  <c r="J80" i="19"/>
  <c r="J81" i="19"/>
  <c r="J82" i="19"/>
  <c r="J83" i="19"/>
  <c r="J84" i="19"/>
  <c r="J85" i="19"/>
  <c r="J86" i="19"/>
  <c r="J87" i="19"/>
  <c r="J88" i="19"/>
  <c r="J89" i="19"/>
  <c r="J90" i="19"/>
  <c r="J91" i="19"/>
  <c r="J92" i="19"/>
  <c r="J93" i="19"/>
  <c r="J94" i="19"/>
  <c r="J95" i="19"/>
  <c r="J96" i="19"/>
  <c r="J97" i="19"/>
  <c r="J98" i="19"/>
  <c r="E209" i="19" l="1"/>
  <c r="J171" i="19"/>
  <c r="F209" i="19"/>
  <c r="D209" i="19"/>
  <c r="E57" i="23"/>
  <c r="I209" i="19" l="1"/>
  <c r="E58" i="23"/>
  <c r="E2" i="18"/>
  <c r="E59" i="23" l="1"/>
  <c r="E11" i="18"/>
  <c r="E7" i="18"/>
  <c r="E3" i="18"/>
  <c r="E10" i="18"/>
  <c r="E6" i="18"/>
  <c r="E9" i="18"/>
  <c r="E5" i="18"/>
  <c r="E12" i="18"/>
  <c r="E8" i="18"/>
  <c r="E4" i="18"/>
  <c r="B164" i="19"/>
  <c r="A123" i="19"/>
  <c r="A124" i="19"/>
  <c r="A125" i="19"/>
  <c r="A126" i="19"/>
  <c r="A127" i="19"/>
  <c r="A128" i="19"/>
  <c r="A129" i="19"/>
  <c r="A130" i="19"/>
  <c r="A131" i="19"/>
  <c r="A132" i="19"/>
  <c r="A133" i="19"/>
  <c r="A134" i="19"/>
  <c r="A135" i="19"/>
  <c r="A136" i="19"/>
  <c r="A137" i="19"/>
  <c r="A138" i="19"/>
  <c r="A139" i="19"/>
  <c r="A140" i="19"/>
  <c r="A141" i="19"/>
  <c r="A142" i="19"/>
  <c r="A143" i="19"/>
  <c r="A144" i="19"/>
  <c r="A145" i="19"/>
  <c r="A146" i="19"/>
  <c r="E60" i="23" l="1"/>
  <c r="G20" i="17"/>
  <c r="G21" i="17" l="1"/>
  <c r="G22" i="17"/>
  <c r="E61" i="23"/>
  <c r="F12" i="17"/>
  <c r="H155" i="24" s="1"/>
  <c r="F10" i="17"/>
  <c r="H153" i="24" s="1"/>
  <c r="F11" i="17"/>
  <c r="H154" i="24" s="1"/>
  <c r="F9" i="17"/>
  <c r="H152" i="24" s="1"/>
  <c r="E12" i="17"/>
  <c r="E10" i="17"/>
  <c r="G153" i="24" s="1"/>
  <c r="E11" i="17"/>
  <c r="E9" i="17"/>
  <c r="G152" i="24" s="1"/>
  <c r="D9" i="17"/>
  <c r="F152" i="24" s="1"/>
  <c r="D12" i="17"/>
  <c r="D25" i="17" s="1"/>
  <c r="C12" i="17"/>
  <c r="E155" i="24" s="1"/>
  <c r="E169" i="24" s="1"/>
  <c r="C9" i="17"/>
  <c r="E152" i="24" s="1"/>
  <c r="B24" i="17"/>
  <c r="B12" i="17"/>
  <c r="G29" i="17" l="1"/>
  <c r="G27" i="17" s="1"/>
  <c r="G155" i="24"/>
  <c r="K34" i="9"/>
  <c r="G154" i="24"/>
  <c r="E24" i="17"/>
  <c r="K33" i="9"/>
  <c r="D155" i="24"/>
  <c r="D169" i="24" s="1"/>
  <c r="F155" i="24"/>
  <c r="F169" i="24" s="1"/>
  <c r="H169" i="24"/>
  <c r="C25" i="17"/>
  <c r="F24" i="17"/>
  <c r="D23" i="17"/>
  <c r="D24" i="17"/>
  <c r="B25" i="17"/>
  <c r="C24" i="17"/>
  <c r="E23" i="17"/>
  <c r="F23" i="17"/>
  <c r="C23" i="17"/>
  <c r="E25" i="17"/>
  <c r="F25" i="17"/>
  <c r="E62" i="23"/>
  <c r="C2" i="18"/>
  <c r="G169" i="24" l="1"/>
  <c r="J155" i="24"/>
  <c r="E63" i="23"/>
  <c r="E3" i="17"/>
  <c r="G146" i="24" s="1"/>
  <c r="F3" i="17"/>
  <c r="H146" i="24" s="1"/>
  <c r="E4" i="17"/>
  <c r="G147" i="24" s="1"/>
  <c r="F4" i="17"/>
  <c r="H147" i="24" s="1"/>
  <c r="E5" i="17"/>
  <c r="G148" i="24" s="1"/>
  <c r="F5" i="17"/>
  <c r="H148" i="24" s="1"/>
  <c r="E6" i="17"/>
  <c r="G149" i="24" s="1"/>
  <c r="F6" i="17"/>
  <c r="H149" i="24" s="1"/>
  <c r="E7" i="17"/>
  <c r="G150" i="24" s="1"/>
  <c r="F7" i="17"/>
  <c r="H150" i="24" s="1"/>
  <c r="E8" i="17"/>
  <c r="G151" i="24" s="1"/>
  <c r="F8" i="17"/>
  <c r="H151" i="24" s="1"/>
  <c r="D3" i="17"/>
  <c r="F146" i="24" s="1"/>
  <c r="D4" i="17"/>
  <c r="F147" i="24" s="1"/>
  <c r="D5" i="17"/>
  <c r="F148" i="24" s="1"/>
  <c r="D6" i="17"/>
  <c r="F149" i="24" s="1"/>
  <c r="D7" i="17"/>
  <c r="F150" i="24" s="1"/>
  <c r="D8" i="17"/>
  <c r="F151" i="24" s="1"/>
  <c r="C3" i="17"/>
  <c r="E146" i="24" s="1"/>
  <c r="C4" i="17"/>
  <c r="E147" i="24" s="1"/>
  <c r="C5" i="17"/>
  <c r="E148" i="24" s="1"/>
  <c r="C6" i="17"/>
  <c r="E149" i="24" s="1"/>
  <c r="C7" i="17"/>
  <c r="E150" i="24" s="1"/>
  <c r="C8" i="17"/>
  <c r="E151" i="24" s="1"/>
  <c r="B3" i="17"/>
  <c r="D146" i="24" s="1"/>
  <c r="B4" i="17"/>
  <c r="D147" i="24" s="1"/>
  <c r="B5" i="17"/>
  <c r="D148" i="24" s="1"/>
  <c r="B6" i="17"/>
  <c r="D149" i="24" s="1"/>
  <c r="B7" i="17"/>
  <c r="D150" i="24" s="1"/>
  <c r="B8" i="17"/>
  <c r="D151" i="24" s="1"/>
  <c r="M13" i="9"/>
  <c r="M31" i="9" s="1"/>
  <c r="M14" i="9"/>
  <c r="M32" i="9" s="1"/>
  <c r="M33" i="9"/>
  <c r="M34" i="9"/>
  <c r="K13" i="9"/>
  <c r="K31" i="9" s="1"/>
  <c r="K14" i="9"/>
  <c r="K32" i="9" s="1"/>
  <c r="K46" i="9" s="1"/>
  <c r="L13" i="9"/>
  <c r="L31" i="9" s="1"/>
  <c r="L14" i="9"/>
  <c r="L32" i="9" s="1"/>
  <c r="L15" i="9"/>
  <c r="L33" i="9" s="1"/>
  <c r="L16" i="9"/>
  <c r="L34" i="9" s="1"/>
  <c r="K45" i="9" l="1"/>
  <c r="L45" i="9"/>
  <c r="M45" i="9"/>
  <c r="L46" i="9"/>
  <c r="M46" i="9"/>
  <c r="K47" i="9"/>
  <c r="B20" i="17"/>
  <c r="C18" i="17"/>
  <c r="C19" i="17"/>
  <c r="D17" i="17"/>
  <c r="B19" i="17"/>
  <c r="F19" i="17"/>
  <c r="F17" i="17"/>
  <c r="D18" i="17"/>
  <c r="E19" i="17"/>
  <c r="E17" i="17"/>
  <c r="F21" i="17"/>
  <c r="F22" i="17"/>
  <c r="B18" i="17"/>
  <c r="C21" i="17"/>
  <c r="C22" i="17"/>
  <c r="C17" i="17"/>
  <c r="D20" i="17"/>
  <c r="F20" i="17"/>
  <c r="F18" i="17"/>
  <c r="D21" i="17"/>
  <c r="D22" i="17"/>
  <c r="E21" i="17"/>
  <c r="E22" i="17"/>
  <c r="B21" i="17"/>
  <c r="B22" i="17"/>
  <c r="B17" i="17"/>
  <c r="C20" i="17"/>
  <c r="D19" i="17"/>
  <c r="E20" i="17"/>
  <c r="E18" i="17"/>
  <c r="G63" i="23"/>
  <c r="F7" i="23" s="1"/>
  <c r="G7" i="23" s="1"/>
  <c r="E64" i="23" s="1"/>
  <c r="F63" i="23"/>
  <c r="D26" i="18"/>
  <c r="F300" i="24" s="1"/>
  <c r="C26" i="18"/>
  <c r="E300" i="24" s="1"/>
  <c r="D24" i="18"/>
  <c r="F298" i="24" s="1"/>
  <c r="C24" i="18"/>
  <c r="E298" i="24" s="1"/>
  <c r="D23" i="18"/>
  <c r="F297" i="24" s="1"/>
  <c r="C23" i="18"/>
  <c r="E297" i="24" s="1"/>
  <c r="D25" i="18"/>
  <c r="F299" i="24" s="1"/>
  <c r="C25" i="18"/>
  <c r="E299" i="24" s="1"/>
  <c r="J7" i="9"/>
  <c r="J8" i="9"/>
  <c r="J26" i="9" s="1"/>
  <c r="J9" i="9"/>
  <c r="J27" i="9" s="1"/>
  <c r="J10" i="9"/>
  <c r="J28" i="9" s="1"/>
  <c r="J11" i="9"/>
  <c r="J29" i="9" s="1"/>
  <c r="J12" i="9"/>
  <c r="J30" i="9" s="1"/>
  <c r="J13" i="9"/>
  <c r="J31" i="9" s="1"/>
  <c r="J14" i="9"/>
  <c r="J32" i="9" s="1"/>
  <c r="J15" i="9"/>
  <c r="J33" i="9" s="1"/>
  <c r="J16" i="9"/>
  <c r="J34" i="9" s="1"/>
  <c r="H13" i="9"/>
  <c r="H31" i="9" s="1"/>
  <c r="H32" i="9"/>
  <c r="H15" i="9"/>
  <c r="H33" i="9" s="1"/>
  <c r="H16" i="9"/>
  <c r="H34" i="9" s="1"/>
  <c r="I13" i="9"/>
  <c r="I31" i="9" s="1"/>
  <c r="I14" i="9"/>
  <c r="I15" i="9"/>
  <c r="I33" i="9" s="1"/>
  <c r="I16" i="9"/>
  <c r="I34" i="9" s="1"/>
  <c r="B29" i="17" l="1"/>
  <c r="B27" i="17" s="1"/>
  <c r="B13" i="17" s="1"/>
  <c r="D29" i="17"/>
  <c r="F29" i="17"/>
  <c r="J25" i="9"/>
  <c r="B17" i="18"/>
  <c r="D291" i="24" s="1"/>
  <c r="I32" i="9"/>
  <c r="I46" i="9" s="1"/>
  <c r="G14" i="9"/>
  <c r="H46" i="9"/>
  <c r="I47" i="9"/>
  <c r="H47" i="9"/>
  <c r="H45" i="9"/>
  <c r="I6" i="23"/>
  <c r="E65" i="23"/>
  <c r="G13" i="9"/>
  <c r="G16" i="9"/>
  <c r="G15" i="9"/>
  <c r="B25" i="18"/>
  <c r="D299" i="24" s="1"/>
  <c r="B22" i="18"/>
  <c r="D296" i="24" s="1"/>
  <c r="B18" i="18"/>
  <c r="D292" i="24" s="1"/>
  <c r="B24" i="18"/>
  <c r="D298" i="24" s="1"/>
  <c r="B21" i="18"/>
  <c r="D295" i="24" s="1"/>
  <c r="B23" i="18"/>
  <c r="D297" i="24" s="1"/>
  <c r="B20" i="18"/>
  <c r="D294" i="24" s="1"/>
  <c r="B26" i="18"/>
  <c r="D300" i="24" s="1"/>
  <c r="B19" i="18"/>
  <c r="D293" i="24" s="1"/>
  <c r="H7" i="9"/>
  <c r="H25" i="9" s="1"/>
  <c r="I7" i="9"/>
  <c r="K7" i="9"/>
  <c r="L7" i="9"/>
  <c r="M7" i="9"/>
  <c r="M25" i="9" s="1"/>
  <c r="H8" i="9"/>
  <c r="H26" i="9" s="1"/>
  <c r="I8" i="9"/>
  <c r="I26" i="9" s="1"/>
  <c r="K8" i="9"/>
  <c r="K26" i="9" s="1"/>
  <c r="L8" i="9"/>
  <c r="L26" i="9" s="1"/>
  <c r="M8" i="9"/>
  <c r="M26" i="9" s="1"/>
  <c r="H9" i="9"/>
  <c r="H27" i="9" s="1"/>
  <c r="I9" i="9"/>
  <c r="I27" i="9" s="1"/>
  <c r="K9" i="9"/>
  <c r="K27" i="9" s="1"/>
  <c r="L9" i="9"/>
  <c r="L27" i="9" s="1"/>
  <c r="M9" i="9"/>
  <c r="M27" i="9" s="1"/>
  <c r="H10" i="9"/>
  <c r="H28" i="9" s="1"/>
  <c r="I10" i="9"/>
  <c r="I28" i="9" s="1"/>
  <c r="K10" i="9"/>
  <c r="K28" i="9" s="1"/>
  <c r="L10" i="9"/>
  <c r="L28" i="9" s="1"/>
  <c r="M10" i="9"/>
  <c r="M28" i="9" s="1"/>
  <c r="H11" i="9"/>
  <c r="H29" i="9" s="1"/>
  <c r="I11" i="9"/>
  <c r="I29" i="9" s="1"/>
  <c r="K11" i="9"/>
  <c r="K29" i="9" s="1"/>
  <c r="L11" i="9"/>
  <c r="L29" i="9" s="1"/>
  <c r="M29" i="9"/>
  <c r="H12" i="9"/>
  <c r="H30" i="9" s="1"/>
  <c r="I12" i="9"/>
  <c r="I30" i="9" s="1"/>
  <c r="I44" i="9" s="1"/>
  <c r="K12" i="9"/>
  <c r="K30" i="9" s="1"/>
  <c r="L12" i="9"/>
  <c r="L30" i="9" s="1"/>
  <c r="M12" i="9"/>
  <c r="M30" i="9" s="1"/>
  <c r="G7" i="9" l="1"/>
  <c r="O14" i="9"/>
  <c r="I45" i="9"/>
  <c r="D301" i="24"/>
  <c r="O16" i="9"/>
  <c r="O15" i="9"/>
  <c r="H39" i="9"/>
  <c r="B13" i="11" a="1"/>
  <c r="K25" i="9"/>
  <c r="B26" i="11" a="1"/>
  <c r="L25" i="9"/>
  <c r="B31" i="11" a="1"/>
  <c r="I25" i="9"/>
  <c r="I39" i="9" s="1"/>
  <c r="B17" i="11" a="1"/>
  <c r="H42" i="9"/>
  <c r="I41" i="9"/>
  <c r="H41" i="9"/>
  <c r="I40" i="9"/>
  <c r="H43" i="9"/>
  <c r="I42" i="9"/>
  <c r="H44" i="9"/>
  <c r="I43" i="9"/>
  <c r="H40" i="9"/>
  <c r="E66" i="23"/>
  <c r="J6" i="23"/>
  <c r="B28" i="18"/>
  <c r="G10" i="9"/>
  <c r="G9" i="9"/>
  <c r="G11" i="9"/>
  <c r="G12" i="9"/>
  <c r="G8" i="9"/>
  <c r="D19" i="18"/>
  <c r="F293" i="24" s="1"/>
  <c r="D22" i="18"/>
  <c r="F296" i="24" s="1"/>
  <c r="C19" i="18"/>
  <c r="E293" i="24" s="1"/>
  <c r="C22" i="18"/>
  <c r="E296" i="24" s="1"/>
  <c r="D21" i="18"/>
  <c r="F295" i="24" s="1"/>
  <c r="C18" i="18"/>
  <c r="E292" i="24" s="1"/>
  <c r="D17" i="18"/>
  <c r="F291" i="24" s="1"/>
  <c r="C20" i="18"/>
  <c r="E294" i="24" s="1"/>
  <c r="D18" i="18"/>
  <c r="F292" i="24" s="1"/>
  <c r="C21" i="18"/>
  <c r="E295" i="24" s="1"/>
  <c r="D20" i="18"/>
  <c r="F294" i="24" s="1"/>
  <c r="C17" i="18"/>
  <c r="E291" i="24" s="1"/>
  <c r="E301" i="24" l="1"/>
  <c r="F301" i="24"/>
  <c r="H51" i="9"/>
  <c r="O11" i="9"/>
  <c r="O9" i="9"/>
  <c r="O12" i="9"/>
  <c r="O8" i="9"/>
  <c r="O10" i="9"/>
  <c r="O13" i="9"/>
  <c r="E17" i="11"/>
  <c r="E18" i="11" s="1"/>
  <c r="K17" i="11"/>
  <c r="G17" i="11"/>
  <c r="G18" i="11" s="1"/>
  <c r="F17" i="11"/>
  <c r="F18" i="11" s="1"/>
  <c r="B17" i="11"/>
  <c r="B18" i="11" s="1"/>
  <c r="H17" i="11"/>
  <c r="H18" i="11" s="1"/>
  <c r="C17" i="11"/>
  <c r="C18" i="11" s="1"/>
  <c r="J17" i="11"/>
  <c r="D17" i="11"/>
  <c r="D18" i="11" s="1"/>
  <c r="I17" i="11"/>
  <c r="C31" i="11"/>
  <c r="C33" i="11" s="1"/>
  <c r="I31" i="11"/>
  <c r="B31" i="11"/>
  <c r="B33" i="11" s="1"/>
  <c r="G31" i="11"/>
  <c r="G33" i="11" s="1"/>
  <c r="F31" i="11"/>
  <c r="F33" i="11" s="1"/>
  <c r="H31" i="11"/>
  <c r="H33" i="11" s="1"/>
  <c r="E31" i="11"/>
  <c r="E33" i="11" s="1"/>
  <c r="D31" i="11"/>
  <c r="D33" i="11" s="1"/>
  <c r="J31" i="11"/>
  <c r="K31" i="11"/>
  <c r="C13" i="11"/>
  <c r="C14" i="11" s="1"/>
  <c r="I13" i="11"/>
  <c r="J13" i="11"/>
  <c r="H13" i="11"/>
  <c r="H14" i="11" s="1"/>
  <c r="E13" i="11"/>
  <c r="E14" i="11" s="1"/>
  <c r="B13" i="11"/>
  <c r="B14" i="11" s="1"/>
  <c r="D13" i="11"/>
  <c r="D14" i="11" s="1"/>
  <c r="F13" i="11"/>
  <c r="F14" i="11" s="1"/>
  <c r="K13" i="11"/>
  <c r="G13" i="11"/>
  <c r="G14" i="11" s="1"/>
  <c r="E26" i="11"/>
  <c r="E28" i="11" s="1"/>
  <c r="J26" i="11"/>
  <c r="H26" i="11"/>
  <c r="H28" i="11" s="1"/>
  <c r="C26" i="11"/>
  <c r="C28" i="11" s="1"/>
  <c r="D26" i="11"/>
  <c r="D28" i="11" s="1"/>
  <c r="I26" i="11"/>
  <c r="K26" i="11"/>
  <c r="F26" i="11"/>
  <c r="F28" i="11" s="1"/>
  <c r="B26" i="11"/>
  <c r="B28" i="11" s="1"/>
  <c r="G26" i="11"/>
  <c r="G28" i="11" s="1"/>
  <c r="B45" i="11" a="1"/>
  <c r="I45" i="11" s="1"/>
  <c r="E352" i="24" s="1"/>
  <c r="E67" i="23"/>
  <c r="C28" i="18"/>
  <c r="D28" i="18"/>
  <c r="L24" i="27"/>
  <c r="M24" i="27"/>
  <c r="F21" i="27"/>
  <c r="F22" i="27"/>
  <c r="F23" i="27"/>
  <c r="F24" i="27"/>
  <c r="F25" i="27"/>
  <c r="F26" i="27"/>
  <c r="F27" i="27"/>
  <c r="F28" i="27"/>
  <c r="F29" i="27"/>
  <c r="F30" i="27"/>
  <c r="F31" i="27"/>
  <c r="F32" i="27"/>
  <c r="E21" i="27"/>
  <c r="E22" i="27"/>
  <c r="E23" i="27"/>
  <c r="E24" i="27"/>
  <c r="E25" i="27"/>
  <c r="E26" i="27"/>
  <c r="E27" i="27"/>
  <c r="E28" i="27"/>
  <c r="E29" i="27"/>
  <c r="E30" i="27"/>
  <c r="E31" i="27"/>
  <c r="E32" i="27"/>
  <c r="G20" i="27"/>
  <c r="D20" i="27"/>
  <c r="E20" i="27"/>
  <c r="F20" i="27"/>
  <c r="D21" i="27"/>
  <c r="D22" i="27"/>
  <c r="D23" i="27"/>
  <c r="D24" i="27"/>
  <c r="D25" i="27"/>
  <c r="D26" i="27"/>
  <c r="D27" i="27"/>
  <c r="D28" i="27"/>
  <c r="D29" i="27"/>
  <c r="D30" i="27"/>
  <c r="D31" i="27"/>
  <c r="D32" i="27"/>
  <c r="F6" i="27"/>
  <c r="F7" i="27"/>
  <c r="F8" i="27"/>
  <c r="F9" i="27"/>
  <c r="F10" i="27"/>
  <c r="F11" i="27"/>
  <c r="F12" i="27"/>
  <c r="F13" i="27"/>
  <c r="F14" i="27"/>
  <c r="F15" i="27"/>
  <c r="F16" i="27"/>
  <c r="F17" i="27"/>
  <c r="E6" i="27"/>
  <c r="E7" i="27"/>
  <c r="E8" i="27"/>
  <c r="E9" i="27"/>
  <c r="E10" i="27"/>
  <c r="E11" i="27"/>
  <c r="E12" i="27"/>
  <c r="E13" i="27"/>
  <c r="E14" i="27"/>
  <c r="E15" i="27"/>
  <c r="E16" i="27"/>
  <c r="E17" i="27"/>
  <c r="D6" i="27"/>
  <c r="D7" i="27"/>
  <c r="D8" i="27"/>
  <c r="D9" i="27"/>
  <c r="D10" i="27"/>
  <c r="D11" i="27"/>
  <c r="D12" i="27"/>
  <c r="D13" i="27"/>
  <c r="D14" i="27"/>
  <c r="D15" i="27"/>
  <c r="D16" i="27"/>
  <c r="D17" i="27"/>
  <c r="D5" i="27"/>
  <c r="E5" i="27"/>
  <c r="F5" i="27"/>
  <c r="R6" i="27"/>
  <c r="U21" i="27"/>
  <c r="U22" i="27"/>
  <c r="U23" i="27"/>
  <c r="U24" i="27"/>
  <c r="U25" i="27"/>
  <c r="U26" i="27"/>
  <c r="U27" i="27"/>
  <c r="U28" i="27"/>
  <c r="U29" i="27"/>
  <c r="U30" i="27"/>
  <c r="U31" i="27"/>
  <c r="U32" i="27"/>
  <c r="U6" i="27"/>
  <c r="U7" i="27"/>
  <c r="U8" i="27"/>
  <c r="U9" i="27"/>
  <c r="U10" i="27"/>
  <c r="U11" i="27"/>
  <c r="U12" i="27"/>
  <c r="U13" i="27"/>
  <c r="U14" i="27"/>
  <c r="U15" i="27"/>
  <c r="U16" i="27"/>
  <c r="U17" i="27"/>
  <c r="T21" i="27"/>
  <c r="T22" i="27"/>
  <c r="T23" i="27"/>
  <c r="T24" i="27"/>
  <c r="T25" i="27"/>
  <c r="T26" i="27"/>
  <c r="T27" i="27"/>
  <c r="T28" i="27"/>
  <c r="T29" i="27"/>
  <c r="T30" i="27"/>
  <c r="T31" i="27"/>
  <c r="T32" i="27"/>
  <c r="T6" i="27"/>
  <c r="T7" i="27"/>
  <c r="T8" i="27"/>
  <c r="T9" i="27"/>
  <c r="T10" i="27"/>
  <c r="T11" i="27"/>
  <c r="T12" i="27"/>
  <c r="T13" i="27"/>
  <c r="T14" i="27"/>
  <c r="T15" i="27"/>
  <c r="T16" i="27"/>
  <c r="T17" i="27"/>
  <c r="S21" i="27"/>
  <c r="S22" i="27"/>
  <c r="S23" i="27"/>
  <c r="S24" i="27"/>
  <c r="S25" i="27"/>
  <c r="S26" i="27"/>
  <c r="S27" i="27"/>
  <c r="S28" i="27"/>
  <c r="S29" i="27"/>
  <c r="S30" i="27"/>
  <c r="S31" i="27"/>
  <c r="S32" i="27"/>
  <c r="S6" i="27"/>
  <c r="S7" i="27"/>
  <c r="S8" i="27"/>
  <c r="S9" i="27"/>
  <c r="S10" i="27"/>
  <c r="S11" i="27"/>
  <c r="S12" i="27"/>
  <c r="S13" i="27"/>
  <c r="S14" i="27"/>
  <c r="S15" i="27"/>
  <c r="S16" i="27"/>
  <c r="S17" i="27"/>
  <c r="R21" i="27"/>
  <c r="R22" i="27"/>
  <c r="R23" i="27"/>
  <c r="R25" i="27"/>
  <c r="R26" i="27"/>
  <c r="R27" i="27"/>
  <c r="R28" i="27"/>
  <c r="R29" i="27"/>
  <c r="R30" i="27"/>
  <c r="R31" i="27"/>
  <c r="R32" i="27"/>
  <c r="R7" i="27"/>
  <c r="R8" i="27"/>
  <c r="R10" i="27"/>
  <c r="R11" i="27"/>
  <c r="R12" i="27"/>
  <c r="R13" i="27"/>
  <c r="R14" i="27"/>
  <c r="R15" i="27"/>
  <c r="R16" i="27"/>
  <c r="R17" i="27"/>
  <c r="G333" i="24" l="1"/>
  <c r="K28" i="11"/>
  <c r="E333" i="24"/>
  <c r="I28" i="11"/>
  <c r="F333" i="24"/>
  <c r="J28" i="11"/>
  <c r="G338" i="24"/>
  <c r="K33" i="11"/>
  <c r="E338" i="24"/>
  <c r="I33" i="11"/>
  <c r="F324" i="24"/>
  <c r="J18" i="11"/>
  <c r="F320" i="24"/>
  <c r="J14" i="11"/>
  <c r="F338" i="24"/>
  <c r="J33" i="11"/>
  <c r="E320" i="24"/>
  <c r="I14" i="11"/>
  <c r="E324" i="24"/>
  <c r="I18" i="11"/>
  <c r="G324" i="24"/>
  <c r="K18" i="11"/>
  <c r="G320" i="24"/>
  <c r="K14" i="11"/>
  <c r="E18" i="19"/>
  <c r="E6" i="19"/>
  <c r="C45" i="11"/>
  <c r="H45" i="11"/>
  <c r="F45" i="11"/>
  <c r="D45" i="11"/>
  <c r="B45" i="11"/>
  <c r="E45" i="11"/>
  <c r="U18" i="27"/>
  <c r="K45" i="11"/>
  <c r="G352" i="24" s="1"/>
  <c r="J45" i="11"/>
  <c r="F352" i="24" s="1"/>
  <c r="G45" i="11"/>
  <c r="E68" i="23"/>
  <c r="D84" i="19"/>
  <c r="D80" i="19"/>
  <c r="D77" i="19"/>
  <c r="D83" i="19"/>
  <c r="D79" i="19"/>
  <c r="D82" i="19"/>
  <c r="D81" i="19"/>
  <c r="D76" i="19"/>
  <c r="D75" i="19"/>
  <c r="N7" i="27"/>
  <c r="N10" i="27"/>
  <c r="D31" i="19" l="1"/>
  <c r="D28" i="19"/>
  <c r="E69" i="23"/>
  <c r="H42" i="27"/>
  <c r="E70" i="23" l="1"/>
  <c r="R9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1" i="27"/>
  <c r="A152" i="27"/>
  <c r="A153" i="27"/>
  <c r="A154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B36" i="27"/>
  <c r="C36" i="27"/>
  <c r="B37" i="27"/>
  <c r="C37" i="27"/>
  <c r="B38" i="27"/>
  <c r="C38" i="27"/>
  <c r="B39" i="27"/>
  <c r="C39" i="27"/>
  <c r="B40" i="27"/>
  <c r="C40" i="27"/>
  <c r="B41" i="27"/>
  <c r="C41" i="27"/>
  <c r="B42" i="27"/>
  <c r="C42" i="27"/>
  <c r="B43" i="27"/>
  <c r="C43" i="27"/>
  <c r="B44" i="27"/>
  <c r="C44" i="27"/>
  <c r="B45" i="27"/>
  <c r="C45" i="27"/>
  <c r="B46" i="27"/>
  <c r="C46" i="27"/>
  <c r="B47" i="27"/>
  <c r="C47" i="27"/>
  <c r="B48" i="27"/>
  <c r="C48" i="27"/>
  <c r="B49" i="27"/>
  <c r="C49" i="27"/>
  <c r="B50" i="27"/>
  <c r="C50" i="27"/>
  <c r="B51" i="27"/>
  <c r="C51" i="27"/>
  <c r="B52" i="27"/>
  <c r="C52" i="27"/>
  <c r="B53" i="27"/>
  <c r="C53" i="27"/>
  <c r="B54" i="27"/>
  <c r="C54" i="27"/>
  <c r="B55" i="27"/>
  <c r="C55" i="27"/>
  <c r="B56" i="27"/>
  <c r="C56" i="27"/>
  <c r="B57" i="27"/>
  <c r="C57" i="27"/>
  <c r="B58" i="27"/>
  <c r="C58" i="27"/>
  <c r="B59" i="27"/>
  <c r="C59" i="27"/>
  <c r="B60" i="27"/>
  <c r="C60" i="27"/>
  <c r="B61" i="27"/>
  <c r="C61" i="27"/>
  <c r="B62" i="27"/>
  <c r="C62" i="27"/>
  <c r="B63" i="27"/>
  <c r="C63" i="27"/>
  <c r="B64" i="27"/>
  <c r="C64" i="27"/>
  <c r="B65" i="27"/>
  <c r="C65" i="27"/>
  <c r="B66" i="27"/>
  <c r="C66" i="27"/>
  <c r="B67" i="27"/>
  <c r="C67" i="27"/>
  <c r="B68" i="27"/>
  <c r="C68" i="27"/>
  <c r="B69" i="27"/>
  <c r="C69" i="27"/>
  <c r="B70" i="27"/>
  <c r="C70" i="27"/>
  <c r="B71" i="27"/>
  <c r="C71" i="27"/>
  <c r="B72" i="27"/>
  <c r="C72" i="27"/>
  <c r="B73" i="27"/>
  <c r="C73" i="27"/>
  <c r="B74" i="27"/>
  <c r="C74" i="27"/>
  <c r="B75" i="27"/>
  <c r="C75" i="27"/>
  <c r="B76" i="27"/>
  <c r="C76" i="27"/>
  <c r="B77" i="27"/>
  <c r="C77" i="27"/>
  <c r="B78" i="27"/>
  <c r="C78" i="27"/>
  <c r="B79" i="27"/>
  <c r="C79" i="27"/>
  <c r="B80" i="27"/>
  <c r="C80" i="27"/>
  <c r="B81" i="27"/>
  <c r="C81" i="27"/>
  <c r="B82" i="27"/>
  <c r="C82" i="27"/>
  <c r="B83" i="27"/>
  <c r="C83" i="27"/>
  <c r="B84" i="27"/>
  <c r="C84" i="27"/>
  <c r="B85" i="27"/>
  <c r="C85" i="27"/>
  <c r="B86" i="27"/>
  <c r="C86" i="27"/>
  <c r="B87" i="27"/>
  <c r="C87" i="27"/>
  <c r="B88" i="27"/>
  <c r="C88" i="27"/>
  <c r="B89" i="27"/>
  <c r="C89" i="27"/>
  <c r="B90" i="27"/>
  <c r="C90" i="27"/>
  <c r="B91" i="27"/>
  <c r="C91" i="27"/>
  <c r="B92" i="27"/>
  <c r="C92" i="27"/>
  <c r="B93" i="27"/>
  <c r="C93" i="27"/>
  <c r="B94" i="27"/>
  <c r="C94" i="27"/>
  <c r="B95" i="27"/>
  <c r="C95" i="27"/>
  <c r="B96" i="27"/>
  <c r="C96" i="27"/>
  <c r="B97" i="27"/>
  <c r="C97" i="27"/>
  <c r="B98" i="27"/>
  <c r="C98" i="27"/>
  <c r="B99" i="27"/>
  <c r="C99" i="27"/>
  <c r="B100" i="27"/>
  <c r="C100" i="27"/>
  <c r="B101" i="27"/>
  <c r="C101" i="27"/>
  <c r="B102" i="27"/>
  <c r="C102" i="27"/>
  <c r="B103" i="27"/>
  <c r="C103" i="27"/>
  <c r="B104" i="27"/>
  <c r="C104" i="27"/>
  <c r="B105" i="27"/>
  <c r="C105" i="27"/>
  <c r="B106" i="27"/>
  <c r="C106" i="27"/>
  <c r="B107" i="27"/>
  <c r="C107" i="27"/>
  <c r="B108" i="27"/>
  <c r="C108" i="27"/>
  <c r="B109" i="27"/>
  <c r="C109" i="27"/>
  <c r="B110" i="27"/>
  <c r="C110" i="27"/>
  <c r="B111" i="27"/>
  <c r="C111" i="27"/>
  <c r="B112" i="27"/>
  <c r="C112" i="27"/>
  <c r="B113" i="27"/>
  <c r="C113" i="27"/>
  <c r="B114" i="27"/>
  <c r="C114" i="27"/>
  <c r="B115" i="27"/>
  <c r="C115" i="27"/>
  <c r="B116" i="27"/>
  <c r="C116" i="27"/>
  <c r="B117" i="27"/>
  <c r="C117" i="27"/>
  <c r="B118" i="27"/>
  <c r="C118" i="27"/>
  <c r="B119" i="27"/>
  <c r="C119" i="27"/>
  <c r="B120" i="27"/>
  <c r="C120" i="27"/>
  <c r="B121" i="27"/>
  <c r="C121" i="27"/>
  <c r="B122" i="27"/>
  <c r="C122" i="27"/>
  <c r="B123" i="27"/>
  <c r="C123" i="27"/>
  <c r="B124" i="27"/>
  <c r="C124" i="27"/>
  <c r="B125" i="27"/>
  <c r="C125" i="27"/>
  <c r="B126" i="27"/>
  <c r="C126" i="27"/>
  <c r="B127" i="27"/>
  <c r="C127" i="27"/>
  <c r="B128" i="27"/>
  <c r="C128" i="27"/>
  <c r="B129" i="27"/>
  <c r="C129" i="27"/>
  <c r="B130" i="27"/>
  <c r="C130" i="27"/>
  <c r="B131" i="27"/>
  <c r="C131" i="27"/>
  <c r="B132" i="27"/>
  <c r="C132" i="27"/>
  <c r="B133" i="27"/>
  <c r="C133" i="27"/>
  <c r="B134" i="27"/>
  <c r="C134" i="27"/>
  <c r="B135" i="27"/>
  <c r="C135" i="27"/>
  <c r="B136" i="27"/>
  <c r="C136" i="27"/>
  <c r="B137" i="27"/>
  <c r="C137" i="27"/>
  <c r="B138" i="27"/>
  <c r="C138" i="27"/>
  <c r="B139" i="27"/>
  <c r="C139" i="27"/>
  <c r="B140" i="27"/>
  <c r="C140" i="27"/>
  <c r="B141" i="27"/>
  <c r="C141" i="27"/>
  <c r="B142" i="27"/>
  <c r="C142" i="27"/>
  <c r="B143" i="27"/>
  <c r="C143" i="27"/>
  <c r="B144" i="27"/>
  <c r="C144" i="27"/>
  <c r="B145" i="27"/>
  <c r="C145" i="27"/>
  <c r="B146" i="27"/>
  <c r="C146" i="27"/>
  <c r="B147" i="27"/>
  <c r="C147" i="27"/>
  <c r="B148" i="27"/>
  <c r="C148" i="27"/>
  <c r="B149" i="27"/>
  <c r="C149" i="27"/>
  <c r="B150" i="27"/>
  <c r="C150" i="27"/>
  <c r="B151" i="27"/>
  <c r="C151" i="27"/>
  <c r="B152" i="27"/>
  <c r="C152" i="27"/>
  <c r="B153" i="27"/>
  <c r="C153" i="27"/>
  <c r="B154" i="27"/>
  <c r="C154" i="27"/>
  <c r="B155" i="27"/>
  <c r="C155" i="27"/>
  <c r="B156" i="27"/>
  <c r="C156" i="27"/>
  <c r="B157" i="27"/>
  <c r="C157" i="27"/>
  <c r="B158" i="27"/>
  <c r="C158" i="27"/>
  <c r="B159" i="27"/>
  <c r="C159" i="27"/>
  <c r="B160" i="27"/>
  <c r="C160" i="27"/>
  <c r="B161" i="27"/>
  <c r="C161" i="27"/>
  <c r="B162" i="27"/>
  <c r="C162" i="27"/>
  <c r="B163" i="27"/>
  <c r="C163" i="27"/>
  <c r="B164" i="27"/>
  <c r="C164" i="27"/>
  <c r="B165" i="27"/>
  <c r="C165" i="27"/>
  <c r="B166" i="27"/>
  <c r="C166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B20" i="27"/>
  <c r="C20" i="27"/>
  <c r="B21" i="27"/>
  <c r="C21" i="27"/>
  <c r="B22" i="27"/>
  <c r="C22" i="27"/>
  <c r="B23" i="27"/>
  <c r="C23" i="27"/>
  <c r="B24" i="27"/>
  <c r="C24" i="27"/>
  <c r="B25" i="27"/>
  <c r="C25" i="27"/>
  <c r="B26" i="27"/>
  <c r="C26" i="27"/>
  <c r="B27" i="27"/>
  <c r="C27" i="27"/>
  <c r="B28" i="27"/>
  <c r="C28" i="27"/>
  <c r="B29" i="27"/>
  <c r="C29" i="27"/>
  <c r="B30" i="27"/>
  <c r="C30" i="27"/>
  <c r="B31" i="27"/>
  <c r="C31" i="27"/>
  <c r="B32" i="27"/>
  <c r="C32" i="27"/>
  <c r="O21" i="27"/>
  <c r="O22" i="27"/>
  <c r="O23" i="27"/>
  <c r="O24" i="27"/>
  <c r="O25" i="27"/>
  <c r="O26" i="27"/>
  <c r="O27" i="27"/>
  <c r="O28" i="27"/>
  <c r="O29" i="27"/>
  <c r="O30" i="27"/>
  <c r="O31" i="27"/>
  <c r="O32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M21" i="27"/>
  <c r="M22" i="27"/>
  <c r="M23" i="27"/>
  <c r="M25" i="27"/>
  <c r="M26" i="27"/>
  <c r="M27" i="27"/>
  <c r="M28" i="27"/>
  <c r="M29" i="27"/>
  <c r="M30" i="27"/>
  <c r="M31" i="27"/>
  <c r="M32" i="27"/>
  <c r="L21" i="27"/>
  <c r="L22" i="27"/>
  <c r="L23" i="27"/>
  <c r="L25" i="27"/>
  <c r="L26" i="27"/>
  <c r="L27" i="27"/>
  <c r="L28" i="27"/>
  <c r="L29" i="27"/>
  <c r="L30" i="27"/>
  <c r="L31" i="27"/>
  <c r="L32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J21" i="27"/>
  <c r="J22" i="27"/>
  <c r="J23" i="27"/>
  <c r="J24" i="27"/>
  <c r="J25" i="27"/>
  <c r="J26" i="27"/>
  <c r="J27" i="27"/>
  <c r="J28" i="27"/>
  <c r="J29" i="27"/>
  <c r="J30" i="27"/>
  <c r="J31" i="27"/>
  <c r="J32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E111" i="19"/>
  <c r="E112" i="19"/>
  <c r="E113" i="19"/>
  <c r="E114" i="19"/>
  <c r="E115" i="19"/>
  <c r="E116" i="19"/>
  <c r="E117" i="19"/>
  <c r="E118" i="19"/>
  <c r="E119" i="19"/>
  <c r="E120" i="19"/>
  <c r="E121" i="19"/>
  <c r="E122" i="19"/>
  <c r="D111" i="19"/>
  <c r="D112" i="19"/>
  <c r="D113" i="19"/>
  <c r="D114" i="19"/>
  <c r="D115" i="19"/>
  <c r="D116" i="19"/>
  <c r="D117" i="19"/>
  <c r="D118" i="19"/>
  <c r="D119" i="19"/>
  <c r="D120" i="19"/>
  <c r="D121" i="19"/>
  <c r="D122" i="19"/>
  <c r="E99" i="19"/>
  <c r="E100" i="19"/>
  <c r="E101" i="19"/>
  <c r="E102" i="19"/>
  <c r="E103" i="19"/>
  <c r="E104" i="19"/>
  <c r="E105" i="19"/>
  <c r="E106" i="19"/>
  <c r="E107" i="19"/>
  <c r="E108" i="19"/>
  <c r="E109" i="19"/>
  <c r="E110" i="19"/>
  <c r="D99" i="19"/>
  <c r="D100" i="19"/>
  <c r="D101" i="19"/>
  <c r="D102" i="19"/>
  <c r="D103" i="19"/>
  <c r="D104" i="19"/>
  <c r="D105" i="19"/>
  <c r="D106" i="19"/>
  <c r="D107" i="19"/>
  <c r="D108" i="19"/>
  <c r="D109" i="19"/>
  <c r="D110" i="19"/>
  <c r="E87" i="19"/>
  <c r="E88" i="19"/>
  <c r="E89" i="19"/>
  <c r="E90" i="19"/>
  <c r="E91" i="19"/>
  <c r="E92" i="19"/>
  <c r="E93" i="19"/>
  <c r="E94" i="19"/>
  <c r="E95" i="19"/>
  <c r="E96" i="19"/>
  <c r="E97" i="19"/>
  <c r="E98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E75" i="19"/>
  <c r="E77" i="19"/>
  <c r="E79" i="19"/>
  <c r="E80" i="19"/>
  <c r="E81" i="19"/>
  <c r="E82" i="19"/>
  <c r="E83" i="19"/>
  <c r="E84" i="19"/>
  <c r="E85" i="19"/>
  <c r="E86" i="19"/>
  <c r="D85" i="19"/>
  <c r="D86" i="19"/>
  <c r="G6" i="27"/>
  <c r="H6" i="27"/>
  <c r="I6" i="27"/>
  <c r="J6" i="27"/>
  <c r="K6" i="27"/>
  <c r="L6" i="27"/>
  <c r="N6" i="27"/>
  <c r="O6" i="27"/>
  <c r="G7" i="27"/>
  <c r="H7" i="27"/>
  <c r="I7" i="27"/>
  <c r="J7" i="27"/>
  <c r="K7" i="27"/>
  <c r="L7" i="27"/>
  <c r="O7" i="27"/>
  <c r="G8" i="27"/>
  <c r="H8" i="27"/>
  <c r="I8" i="27"/>
  <c r="J8" i="27"/>
  <c r="K8" i="27"/>
  <c r="L8" i="27"/>
  <c r="N8" i="27"/>
  <c r="O8" i="27"/>
  <c r="G9" i="27"/>
  <c r="H9" i="27"/>
  <c r="I9" i="27"/>
  <c r="J9" i="27"/>
  <c r="K9" i="27"/>
  <c r="L9" i="27"/>
  <c r="N9" i="27"/>
  <c r="O9" i="27"/>
  <c r="G10" i="27"/>
  <c r="H10" i="27"/>
  <c r="I10" i="27"/>
  <c r="J10" i="27"/>
  <c r="K10" i="27"/>
  <c r="L10" i="27"/>
  <c r="O10" i="27"/>
  <c r="G11" i="27"/>
  <c r="H11" i="27"/>
  <c r="I11" i="27"/>
  <c r="J11" i="27"/>
  <c r="K11" i="27"/>
  <c r="L11" i="27"/>
  <c r="N11" i="27"/>
  <c r="O11" i="27"/>
  <c r="G12" i="27"/>
  <c r="H12" i="27"/>
  <c r="I12" i="27"/>
  <c r="J12" i="27"/>
  <c r="K12" i="27"/>
  <c r="L12" i="27"/>
  <c r="N12" i="27"/>
  <c r="O12" i="27"/>
  <c r="G13" i="27"/>
  <c r="H13" i="27"/>
  <c r="I13" i="27"/>
  <c r="J13" i="27"/>
  <c r="K13" i="27"/>
  <c r="L13" i="27"/>
  <c r="N13" i="27"/>
  <c r="O13" i="27"/>
  <c r="G14" i="27"/>
  <c r="H14" i="27"/>
  <c r="I14" i="27"/>
  <c r="J14" i="27"/>
  <c r="K14" i="27"/>
  <c r="L14" i="27"/>
  <c r="N14" i="27"/>
  <c r="O14" i="27"/>
  <c r="G15" i="27"/>
  <c r="H15" i="27"/>
  <c r="I15" i="27"/>
  <c r="J15" i="27"/>
  <c r="K15" i="27"/>
  <c r="L15" i="27"/>
  <c r="N15" i="27"/>
  <c r="O15" i="27"/>
  <c r="G16" i="27"/>
  <c r="H16" i="27"/>
  <c r="I16" i="27"/>
  <c r="J16" i="27"/>
  <c r="K16" i="27"/>
  <c r="L16" i="27"/>
  <c r="N16" i="27"/>
  <c r="O16" i="27"/>
  <c r="G17" i="27"/>
  <c r="H17" i="27"/>
  <c r="I17" i="27"/>
  <c r="J17" i="27"/>
  <c r="K17" i="27"/>
  <c r="L17" i="27"/>
  <c r="N17" i="27"/>
  <c r="O17" i="27"/>
  <c r="B5" i="27"/>
  <c r="C5" i="27"/>
  <c r="B6" i="27"/>
  <c r="C6" i="27"/>
  <c r="B7" i="27"/>
  <c r="C7" i="27"/>
  <c r="B8" i="27"/>
  <c r="C8" i="27"/>
  <c r="B9" i="27"/>
  <c r="C9" i="27"/>
  <c r="B10" i="27"/>
  <c r="C10" i="27"/>
  <c r="B11" i="27"/>
  <c r="C11" i="27"/>
  <c r="B12" i="27"/>
  <c r="C12" i="27"/>
  <c r="B13" i="27"/>
  <c r="C13" i="27"/>
  <c r="B14" i="27"/>
  <c r="C14" i="27"/>
  <c r="B15" i="27"/>
  <c r="C15" i="27"/>
  <c r="B16" i="27"/>
  <c r="C16" i="27"/>
  <c r="B17" i="27"/>
  <c r="C17" i="27"/>
  <c r="D48" i="19" l="1"/>
  <c r="D46" i="19"/>
  <c r="D44" i="19"/>
  <c r="D3" i="19"/>
  <c r="E9" i="19"/>
  <c r="E11" i="19"/>
  <c r="E26" i="19"/>
  <c r="E37" i="19"/>
  <c r="E29" i="19"/>
  <c r="E41" i="19"/>
  <c r="D49" i="19"/>
  <c r="D47" i="19"/>
  <c r="D43" i="19"/>
  <c r="D4" i="19"/>
  <c r="E4" i="19"/>
  <c r="E20" i="19"/>
  <c r="E35" i="19"/>
  <c r="E27" i="19"/>
  <c r="E43" i="19"/>
  <c r="D14" i="19"/>
  <c r="D13" i="19"/>
  <c r="D12" i="19"/>
  <c r="D11" i="19"/>
  <c r="D10" i="19"/>
  <c r="D9" i="19"/>
  <c r="D8" i="19"/>
  <c r="D39" i="19"/>
  <c r="E7" i="19"/>
  <c r="E22" i="19"/>
  <c r="E17" i="19"/>
  <c r="E33" i="19"/>
  <c r="E49" i="19"/>
  <c r="E45" i="19"/>
  <c r="D42" i="19"/>
  <c r="D41" i="19"/>
  <c r="D40" i="19"/>
  <c r="D27" i="19"/>
  <c r="E14" i="19"/>
  <c r="E10" i="19"/>
  <c r="E5" i="19"/>
  <c r="E25" i="19"/>
  <c r="E21" i="19"/>
  <c r="E16" i="19"/>
  <c r="E36" i="19"/>
  <c r="E32" i="19"/>
  <c r="E28" i="19"/>
  <c r="E48" i="19"/>
  <c r="E44" i="19"/>
  <c r="E40" i="19"/>
  <c r="D50" i="19"/>
  <c r="D45" i="19"/>
  <c r="D30" i="19"/>
  <c r="D29" i="19"/>
  <c r="E13" i="19"/>
  <c r="E24" i="19"/>
  <c r="E15" i="19"/>
  <c r="E31" i="19"/>
  <c r="E47" i="19"/>
  <c r="E39" i="19"/>
  <c r="D38" i="19"/>
  <c r="D37" i="19"/>
  <c r="D36" i="19"/>
  <c r="D35" i="19"/>
  <c r="D34" i="19"/>
  <c r="D33" i="19"/>
  <c r="D32" i="19"/>
  <c r="D7" i="19"/>
  <c r="D6" i="19"/>
  <c r="D5" i="19"/>
  <c r="E12" i="19"/>
  <c r="E8" i="19"/>
  <c r="E3" i="19"/>
  <c r="E23" i="19"/>
  <c r="E19" i="19"/>
  <c r="E38" i="19"/>
  <c r="E34" i="19"/>
  <c r="V24" i="27"/>
  <c r="E30" i="19"/>
  <c r="E50" i="19"/>
  <c r="E46" i="19"/>
  <c r="E42" i="19"/>
  <c r="E203" i="19"/>
  <c r="E204" i="19"/>
  <c r="V29" i="27"/>
  <c r="V25" i="27"/>
  <c r="E71" i="23"/>
  <c r="V22" i="27"/>
  <c r="V14" i="27"/>
  <c r="Z26" i="27"/>
  <c r="V12" i="27"/>
  <c r="V17" i="27"/>
  <c r="V13" i="27"/>
  <c r="D130" i="19" s="1"/>
  <c r="V10" i="27"/>
  <c r="V7" i="27"/>
  <c r="V30" i="27"/>
  <c r="V26" i="27"/>
  <c r="V21" i="27"/>
  <c r="V15" i="27"/>
  <c r="V11" i="27"/>
  <c r="V8" i="27"/>
  <c r="V32" i="27"/>
  <c r="V28" i="27"/>
  <c r="V23" i="27"/>
  <c r="V16" i="27"/>
  <c r="V6" i="27"/>
  <c r="V31" i="27"/>
  <c r="V27" i="27"/>
  <c r="D78" i="19"/>
  <c r="V9" i="27"/>
  <c r="X21" i="27"/>
  <c r="Y21" i="27" s="1"/>
  <c r="D134" i="19"/>
  <c r="X6" i="27"/>
  <c r="Y6" i="27" s="1"/>
  <c r="X22" i="27"/>
  <c r="Y22" i="27" s="1"/>
  <c r="AA21" i="27"/>
  <c r="Z21" i="27"/>
  <c r="E76" i="19"/>
  <c r="X23" i="27"/>
  <c r="Y23" i="27" s="1"/>
  <c r="X12" i="27"/>
  <c r="Y12" i="27" s="1"/>
  <c r="X8" i="27"/>
  <c r="Y8" i="27" s="1"/>
  <c r="X16" i="27"/>
  <c r="Y16" i="27" s="1"/>
  <c r="X14" i="27"/>
  <c r="Y14" i="27" s="1"/>
  <c r="X10" i="27"/>
  <c r="Y10" i="27" s="1"/>
  <c r="X15" i="27"/>
  <c r="Y15" i="27" s="1"/>
  <c r="X11" i="27"/>
  <c r="Y11" i="27" s="1"/>
  <c r="X7" i="27"/>
  <c r="Y7" i="27" s="1"/>
  <c r="X29" i="27"/>
  <c r="Y29" i="27" s="1"/>
  <c r="X25" i="27"/>
  <c r="Y25" i="27" s="1"/>
  <c r="X32" i="27"/>
  <c r="Y32" i="27" s="1"/>
  <c r="X28" i="27"/>
  <c r="Y28" i="27" s="1"/>
  <c r="X24" i="27"/>
  <c r="Y24" i="27" s="1"/>
  <c r="Z7" i="27"/>
  <c r="Z32" i="27"/>
  <c r="AA29" i="27"/>
  <c r="Z28" i="27"/>
  <c r="AA25" i="27"/>
  <c r="AA30" i="27"/>
  <c r="Z29" i="27"/>
  <c r="AA26" i="27"/>
  <c r="Z25" i="27"/>
  <c r="X31" i="27"/>
  <c r="Y31" i="27" s="1"/>
  <c r="X27" i="27"/>
  <c r="Y27" i="27" s="1"/>
  <c r="Z23" i="27"/>
  <c r="AA24" i="27"/>
  <c r="Z27" i="27"/>
  <c r="AA32" i="27"/>
  <c r="AA7" i="27"/>
  <c r="X30" i="27"/>
  <c r="Y30" i="27" s="1"/>
  <c r="X26" i="27"/>
  <c r="Y26" i="27" s="1"/>
  <c r="Z22" i="27"/>
  <c r="AA23" i="27"/>
  <c r="AA27" i="27"/>
  <c r="Z30" i="27"/>
  <c r="X17" i="27"/>
  <c r="Y17" i="27" s="1"/>
  <c r="X13" i="27"/>
  <c r="Y13" i="27" s="1"/>
  <c r="X9" i="27"/>
  <c r="Y9" i="27" s="1"/>
  <c r="AA22" i="27"/>
  <c r="AA28" i="27"/>
  <c r="Z31" i="27"/>
  <c r="Z24" i="27"/>
  <c r="AA31" i="27"/>
  <c r="Z6" i="27"/>
  <c r="AA16" i="27"/>
  <c r="AA14" i="27"/>
  <c r="AA12" i="27"/>
  <c r="AA10" i="27"/>
  <c r="AA8" i="27"/>
  <c r="AA6" i="27"/>
  <c r="Z16" i="27"/>
  <c r="Z14" i="27"/>
  <c r="Z12" i="27"/>
  <c r="Z10" i="27"/>
  <c r="Z8" i="27"/>
  <c r="AA17" i="27"/>
  <c r="AA15" i="27"/>
  <c r="AA13" i="27"/>
  <c r="AA11" i="27"/>
  <c r="AA9" i="27"/>
  <c r="Z17" i="27"/>
  <c r="Z15" i="27"/>
  <c r="Z13" i="27"/>
  <c r="Z11" i="27"/>
  <c r="Z9" i="27"/>
  <c r="W24" i="27" l="1"/>
  <c r="E194" i="19"/>
  <c r="D182" i="19"/>
  <c r="E198" i="19"/>
  <c r="E195" i="19"/>
  <c r="D172" i="19"/>
  <c r="D179" i="19"/>
  <c r="D192" i="19"/>
  <c r="D193" i="19"/>
  <c r="E197" i="19"/>
  <c r="E188" i="19"/>
  <c r="E196" i="19"/>
  <c r="D176" i="19"/>
  <c r="D181" i="19"/>
  <c r="D171" i="19"/>
  <c r="D190" i="19"/>
  <c r="D191" i="19"/>
  <c r="D194" i="19"/>
  <c r="D187" i="19"/>
  <c r="D195" i="19"/>
  <c r="D174" i="19"/>
  <c r="E193" i="19"/>
  <c r="E190" i="19"/>
  <c r="E191" i="19"/>
  <c r="D180" i="19"/>
  <c r="D173" i="19"/>
  <c r="D198" i="19"/>
  <c r="D196" i="19"/>
  <c r="D189" i="19"/>
  <c r="D197" i="19"/>
  <c r="D178" i="19"/>
  <c r="E189" i="19"/>
  <c r="D188" i="19"/>
  <c r="E192" i="19"/>
  <c r="D175" i="19"/>
  <c r="D177" i="19"/>
  <c r="E187" i="19"/>
  <c r="W9" i="27"/>
  <c r="W6" i="27"/>
  <c r="W32" i="27"/>
  <c r="W21" i="27"/>
  <c r="W10" i="27"/>
  <c r="W16" i="27"/>
  <c r="W8" i="27"/>
  <c r="W26" i="27"/>
  <c r="W13" i="27"/>
  <c r="W14" i="27"/>
  <c r="W25" i="27"/>
  <c r="W27" i="27"/>
  <c r="W23" i="27"/>
  <c r="W11" i="27"/>
  <c r="W30" i="27"/>
  <c r="W17" i="27"/>
  <c r="W22" i="27"/>
  <c r="W29" i="27"/>
  <c r="W31" i="27"/>
  <c r="W28" i="27"/>
  <c r="W15" i="27"/>
  <c r="W7" i="27"/>
  <c r="W12" i="27"/>
  <c r="D128" i="19"/>
  <c r="E129" i="19"/>
  <c r="E124" i="19"/>
  <c r="E132" i="19"/>
  <c r="D132" i="19"/>
  <c r="E72" i="23"/>
  <c r="D125" i="19"/>
  <c r="D131" i="19"/>
  <c r="D133" i="19"/>
  <c r="D127" i="19"/>
  <c r="E130" i="19"/>
  <c r="D126" i="19"/>
  <c r="E133" i="19"/>
  <c r="D129" i="19"/>
  <c r="Z33" i="27"/>
  <c r="V18" i="27"/>
  <c r="D124" i="19"/>
  <c r="X33" i="27"/>
  <c r="V33" i="27"/>
  <c r="E134" i="19"/>
  <c r="E126" i="19"/>
  <c r="E123" i="19"/>
  <c r="E127" i="19"/>
  <c r="E125" i="19"/>
  <c r="E131" i="19"/>
  <c r="E128" i="19"/>
  <c r="D123" i="19"/>
  <c r="AA33" i="27"/>
  <c r="X18" i="27"/>
  <c r="E174" i="19" l="1"/>
  <c r="D138" i="19"/>
  <c r="D146" i="19"/>
  <c r="E141" i="19"/>
  <c r="D135" i="19"/>
  <c r="D140" i="19"/>
  <c r="E144" i="19"/>
  <c r="E179" i="19"/>
  <c r="D144" i="19"/>
  <c r="E172" i="19"/>
  <c r="E173" i="19"/>
  <c r="D139" i="19"/>
  <c r="D142" i="19"/>
  <c r="E178" i="19"/>
  <c r="E177" i="19"/>
  <c r="E176" i="19"/>
  <c r="E171" i="19"/>
  <c r="D141" i="19"/>
  <c r="E180" i="19"/>
  <c r="E175" i="19"/>
  <c r="D137" i="19"/>
  <c r="E182" i="19"/>
  <c r="D136" i="19"/>
  <c r="D143" i="19"/>
  <c r="D145" i="19"/>
  <c r="E136" i="19"/>
  <c r="E137" i="19"/>
  <c r="E142" i="19"/>
  <c r="E145" i="19"/>
  <c r="E181" i="19"/>
  <c r="E135" i="19"/>
  <c r="E139" i="19"/>
  <c r="E143" i="19"/>
  <c r="E140" i="19"/>
  <c r="E146" i="19"/>
  <c r="E73" i="23"/>
  <c r="W33" i="27"/>
  <c r="E138" i="19"/>
  <c r="W18" i="27"/>
  <c r="D203" i="19" l="1"/>
  <c r="I203" i="19" s="1"/>
  <c r="F203" i="19" s="1"/>
  <c r="D204" i="19"/>
  <c r="I204" i="19" s="1"/>
  <c r="F204" i="19" s="1"/>
  <c r="E74" i="23"/>
  <c r="H112" i="19"/>
  <c r="H113" i="19"/>
  <c r="H114" i="19"/>
  <c r="H115" i="19"/>
  <c r="H116" i="19"/>
  <c r="H117" i="19"/>
  <c r="H118" i="19"/>
  <c r="H119" i="19"/>
  <c r="H120" i="19"/>
  <c r="H121" i="19"/>
  <c r="H122" i="19"/>
  <c r="E75" i="23" l="1"/>
  <c r="A108" i="19"/>
  <c r="H108" i="19"/>
  <c r="A100" i="19"/>
  <c r="H100" i="19"/>
  <c r="A92" i="19"/>
  <c r="H92" i="19"/>
  <c r="A84" i="19"/>
  <c r="H84" i="19"/>
  <c r="A76" i="19"/>
  <c r="H76" i="19"/>
  <c r="A68" i="19"/>
  <c r="H68" i="19"/>
  <c r="A60" i="19"/>
  <c r="H60" i="19"/>
  <c r="A52" i="19"/>
  <c r="H52" i="19"/>
  <c r="A44" i="19"/>
  <c r="H44" i="19"/>
  <c r="A36" i="19"/>
  <c r="H36" i="19"/>
  <c r="A28" i="19"/>
  <c r="H28" i="19"/>
  <c r="A20" i="19"/>
  <c r="H20" i="19"/>
  <c r="A12" i="19"/>
  <c r="H12" i="19"/>
  <c r="A4" i="19"/>
  <c r="H4" i="19"/>
  <c r="A111" i="19"/>
  <c r="H111" i="19"/>
  <c r="E210" i="19" s="1"/>
  <c r="I210" i="19" s="1"/>
  <c r="F210" i="19" s="1"/>
  <c r="A103" i="19"/>
  <c r="H103" i="19"/>
  <c r="A95" i="19"/>
  <c r="H95" i="19"/>
  <c r="A87" i="19"/>
  <c r="H87" i="19"/>
  <c r="A79" i="19"/>
  <c r="H79" i="19"/>
  <c r="A71" i="19"/>
  <c r="H71" i="19"/>
  <c r="A63" i="19"/>
  <c r="H63" i="19"/>
  <c r="A55" i="19"/>
  <c r="H55" i="19"/>
  <c r="A47" i="19"/>
  <c r="H47" i="19"/>
  <c r="A39" i="19"/>
  <c r="H39" i="19"/>
  <c r="A31" i="19"/>
  <c r="H31" i="19"/>
  <c r="A23" i="19"/>
  <c r="H23" i="19"/>
  <c r="A15" i="19"/>
  <c r="H15" i="19"/>
  <c r="A7" i="19"/>
  <c r="H7" i="19"/>
  <c r="A110" i="19"/>
  <c r="H110" i="19"/>
  <c r="A106" i="19"/>
  <c r="H106" i="19"/>
  <c r="A102" i="19"/>
  <c r="H102" i="19"/>
  <c r="A98" i="19"/>
  <c r="H98" i="19"/>
  <c r="A94" i="19"/>
  <c r="H94" i="19"/>
  <c r="A90" i="19"/>
  <c r="H90" i="19"/>
  <c r="A86" i="19"/>
  <c r="H86" i="19"/>
  <c r="A82" i="19"/>
  <c r="H82" i="19"/>
  <c r="A78" i="19"/>
  <c r="H78" i="19"/>
  <c r="A74" i="19"/>
  <c r="H74" i="19"/>
  <c r="A70" i="19"/>
  <c r="H70" i="19"/>
  <c r="A66" i="19"/>
  <c r="H66" i="19"/>
  <c r="A62" i="19"/>
  <c r="H62" i="19"/>
  <c r="A58" i="19"/>
  <c r="H58" i="19"/>
  <c r="A54" i="19"/>
  <c r="H54" i="19"/>
  <c r="A50" i="19"/>
  <c r="H50" i="19"/>
  <c r="A46" i="19"/>
  <c r="H46" i="19"/>
  <c r="A42" i="19"/>
  <c r="H42" i="19"/>
  <c r="A38" i="19"/>
  <c r="H38" i="19"/>
  <c r="A34" i="19"/>
  <c r="H34" i="19"/>
  <c r="A30" i="19"/>
  <c r="H30" i="19"/>
  <c r="A26" i="19"/>
  <c r="H26" i="19"/>
  <c r="A22" i="19"/>
  <c r="H22" i="19"/>
  <c r="A18" i="19"/>
  <c r="H18" i="19"/>
  <c r="A14" i="19"/>
  <c r="H14" i="19"/>
  <c r="A10" i="19"/>
  <c r="H10" i="19"/>
  <c r="A6" i="19"/>
  <c r="H6" i="19"/>
  <c r="A104" i="19"/>
  <c r="H104" i="19"/>
  <c r="A96" i="19"/>
  <c r="H96" i="19"/>
  <c r="A88" i="19"/>
  <c r="H88" i="19"/>
  <c r="A80" i="19"/>
  <c r="H80" i="19"/>
  <c r="A72" i="19"/>
  <c r="H72" i="19"/>
  <c r="A64" i="19"/>
  <c r="H64" i="19"/>
  <c r="A56" i="19"/>
  <c r="H56" i="19"/>
  <c r="A48" i="19"/>
  <c r="H48" i="19"/>
  <c r="A40" i="19"/>
  <c r="H40" i="19"/>
  <c r="A32" i="19"/>
  <c r="H32" i="19"/>
  <c r="A24" i="19"/>
  <c r="H24" i="19"/>
  <c r="A16" i="19"/>
  <c r="H16" i="19"/>
  <c r="A8" i="19"/>
  <c r="H8" i="19"/>
  <c r="A107" i="19"/>
  <c r="H107" i="19"/>
  <c r="A99" i="19"/>
  <c r="H99" i="19"/>
  <c r="A91" i="19"/>
  <c r="H91" i="19"/>
  <c r="A83" i="19"/>
  <c r="H83" i="19"/>
  <c r="A75" i="19"/>
  <c r="H75" i="19"/>
  <c r="A67" i="19"/>
  <c r="H67" i="19"/>
  <c r="A59" i="19"/>
  <c r="H59" i="19"/>
  <c r="A51" i="19"/>
  <c r="H51" i="19"/>
  <c r="A43" i="19"/>
  <c r="H43" i="19"/>
  <c r="A35" i="19"/>
  <c r="H35" i="19"/>
  <c r="A27" i="19"/>
  <c r="H27" i="19"/>
  <c r="A19" i="19"/>
  <c r="H19" i="19"/>
  <c r="A11" i="19"/>
  <c r="H11" i="19"/>
  <c r="A3" i="19"/>
  <c r="H3" i="19"/>
  <c r="A109" i="19"/>
  <c r="H109" i="19"/>
  <c r="A105" i="19"/>
  <c r="H105" i="19"/>
  <c r="A101" i="19"/>
  <c r="H101" i="19"/>
  <c r="A97" i="19"/>
  <c r="H97" i="19"/>
  <c r="A93" i="19"/>
  <c r="H93" i="19"/>
  <c r="A89" i="19"/>
  <c r="H89" i="19"/>
  <c r="A85" i="19"/>
  <c r="H85" i="19"/>
  <c r="A81" i="19"/>
  <c r="H81" i="19"/>
  <c r="A77" i="19"/>
  <c r="H77" i="19"/>
  <c r="A73" i="19"/>
  <c r="H73" i="19"/>
  <c r="A69" i="19"/>
  <c r="H69" i="19"/>
  <c r="A65" i="19"/>
  <c r="H65" i="19"/>
  <c r="A61" i="19"/>
  <c r="H61" i="19"/>
  <c r="A57" i="19"/>
  <c r="H57" i="19"/>
  <c r="A53" i="19"/>
  <c r="H53" i="19"/>
  <c r="A49" i="19"/>
  <c r="H49" i="19"/>
  <c r="A45" i="19"/>
  <c r="H45" i="19"/>
  <c r="A41" i="19"/>
  <c r="H41" i="19"/>
  <c r="A37" i="19"/>
  <c r="H37" i="19"/>
  <c r="A33" i="19"/>
  <c r="H33" i="19"/>
  <c r="A29" i="19"/>
  <c r="H29" i="19"/>
  <c r="A25" i="19"/>
  <c r="H25" i="19"/>
  <c r="A21" i="19"/>
  <c r="H21" i="19"/>
  <c r="A17" i="19"/>
  <c r="H17" i="19"/>
  <c r="A13" i="19"/>
  <c r="H13" i="19"/>
  <c r="A9" i="19"/>
  <c r="H9" i="19"/>
  <c r="A5" i="19"/>
  <c r="H5" i="19"/>
  <c r="A116" i="19"/>
  <c r="A119" i="19"/>
  <c r="A122" i="19"/>
  <c r="A118" i="19"/>
  <c r="A114" i="19"/>
  <c r="A120" i="19"/>
  <c r="A112" i="19"/>
  <c r="A115" i="19"/>
  <c r="A121" i="19"/>
  <c r="A117" i="19"/>
  <c r="A113" i="19"/>
  <c r="D327" i="24"/>
  <c r="G75" i="23" l="1"/>
  <c r="F8" i="23" s="1"/>
  <c r="G8" i="23" s="1"/>
  <c r="E76" i="23" s="1"/>
  <c r="F75" i="23"/>
  <c r="C153" i="19"/>
  <c r="D156" i="19"/>
  <c r="C151" i="19"/>
  <c r="D158" i="19"/>
  <c r="C154" i="19"/>
  <c r="C152" i="19"/>
  <c r="C161" i="19"/>
  <c r="D155" i="19"/>
  <c r="D159" i="19"/>
  <c r="D157" i="19"/>
  <c r="C155" i="19"/>
  <c r="D154" i="19"/>
  <c r="D161" i="19"/>
  <c r="D160" i="19"/>
  <c r="C156" i="19"/>
  <c r="D162" i="19"/>
  <c r="C162" i="19"/>
  <c r="D152" i="19"/>
  <c r="D151" i="19"/>
  <c r="D153" i="19"/>
  <c r="E77" i="23" l="1"/>
  <c r="I7" i="23"/>
  <c r="E78" i="23" l="1"/>
  <c r="J7" i="23"/>
  <c r="A25" i="24"/>
  <c r="E79" i="23" l="1"/>
  <c r="G3" i="19"/>
  <c r="O3" i="19" s="1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O21" i="19" s="1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57" i="19"/>
  <c r="G58" i="19"/>
  <c r="G59" i="19"/>
  <c r="G60" i="19"/>
  <c r="G61" i="19"/>
  <c r="G62" i="19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O75" i="19" s="1"/>
  <c r="G76" i="19"/>
  <c r="O76" i="19" s="1"/>
  <c r="G77" i="19"/>
  <c r="O77" i="19" s="1"/>
  <c r="G78" i="19"/>
  <c r="O78" i="19" s="1"/>
  <c r="G79" i="19"/>
  <c r="O79" i="19" s="1"/>
  <c r="G80" i="19"/>
  <c r="O80" i="19" s="1"/>
  <c r="G81" i="19"/>
  <c r="O81" i="19" s="1"/>
  <c r="G82" i="19"/>
  <c r="O82" i="19" s="1"/>
  <c r="G83" i="19"/>
  <c r="O83" i="19" s="1"/>
  <c r="G84" i="19"/>
  <c r="O84" i="19" s="1"/>
  <c r="G85" i="19"/>
  <c r="O85" i="19" s="1"/>
  <c r="G86" i="19"/>
  <c r="O86" i="19" s="1"/>
  <c r="G87" i="19"/>
  <c r="O87" i="19" s="1"/>
  <c r="G88" i="19"/>
  <c r="O88" i="19" s="1"/>
  <c r="G89" i="19"/>
  <c r="O89" i="19" s="1"/>
  <c r="G90" i="19"/>
  <c r="O90" i="19" s="1"/>
  <c r="G91" i="19"/>
  <c r="O91" i="19" s="1"/>
  <c r="G92" i="19"/>
  <c r="O92" i="19" s="1"/>
  <c r="G93" i="19"/>
  <c r="O93" i="19" s="1"/>
  <c r="G94" i="19"/>
  <c r="O94" i="19" s="1"/>
  <c r="G95" i="19"/>
  <c r="O95" i="19" s="1"/>
  <c r="G96" i="19"/>
  <c r="O96" i="19" s="1"/>
  <c r="G97" i="19"/>
  <c r="O97" i="19" s="1"/>
  <c r="G98" i="19"/>
  <c r="O98" i="19" s="1"/>
  <c r="G99" i="19"/>
  <c r="O99" i="19" s="1"/>
  <c r="G100" i="19"/>
  <c r="O100" i="19" s="1"/>
  <c r="G101" i="19"/>
  <c r="O101" i="19" s="1"/>
  <c r="G102" i="19"/>
  <c r="O102" i="19" s="1"/>
  <c r="G103" i="19"/>
  <c r="O103" i="19" s="1"/>
  <c r="G104" i="19"/>
  <c r="O104" i="19" s="1"/>
  <c r="G105" i="19"/>
  <c r="O105" i="19" s="1"/>
  <c r="G106" i="19"/>
  <c r="O106" i="19" s="1"/>
  <c r="G107" i="19"/>
  <c r="O107" i="19" s="1"/>
  <c r="G108" i="19"/>
  <c r="O108" i="19" s="1"/>
  <c r="G109" i="19"/>
  <c r="O109" i="19" s="1"/>
  <c r="G110" i="19"/>
  <c r="O110" i="19" s="1"/>
  <c r="G111" i="19"/>
  <c r="O111" i="19" s="1"/>
  <c r="G112" i="19"/>
  <c r="O112" i="19" s="1"/>
  <c r="G113" i="19"/>
  <c r="O113" i="19" s="1"/>
  <c r="G114" i="19"/>
  <c r="O114" i="19" s="1"/>
  <c r="G115" i="19"/>
  <c r="O115" i="19" s="1"/>
  <c r="G116" i="19"/>
  <c r="O116" i="19" s="1"/>
  <c r="G117" i="19"/>
  <c r="O117" i="19" s="1"/>
  <c r="G118" i="19"/>
  <c r="O118" i="19" s="1"/>
  <c r="G119" i="19"/>
  <c r="O119" i="19" s="1"/>
  <c r="G120" i="19"/>
  <c r="O120" i="19" s="1"/>
  <c r="G121" i="19"/>
  <c r="O121" i="19" s="1"/>
  <c r="G122" i="19"/>
  <c r="O122" i="19" s="1"/>
  <c r="G123" i="19"/>
  <c r="O123" i="19" s="1"/>
  <c r="G124" i="19"/>
  <c r="O124" i="19" s="1"/>
  <c r="G125" i="19"/>
  <c r="O125" i="19" s="1"/>
  <c r="G126" i="19"/>
  <c r="O126" i="19" s="1"/>
  <c r="G127" i="19"/>
  <c r="O127" i="19" s="1"/>
  <c r="G128" i="19"/>
  <c r="O128" i="19" s="1"/>
  <c r="G129" i="19"/>
  <c r="O129" i="19" s="1"/>
  <c r="G130" i="19"/>
  <c r="O130" i="19" s="1"/>
  <c r="G131" i="19"/>
  <c r="O131" i="19" s="1"/>
  <c r="G132" i="19"/>
  <c r="O132" i="19" s="1"/>
  <c r="G133" i="19"/>
  <c r="O133" i="19" s="1"/>
  <c r="G134" i="19"/>
  <c r="O134" i="19" s="1"/>
  <c r="G135" i="19"/>
  <c r="G136" i="19"/>
  <c r="G172" i="19" s="1"/>
  <c r="G137" i="19"/>
  <c r="G173" i="19" s="1"/>
  <c r="G138" i="19"/>
  <c r="G174" i="19" s="1"/>
  <c r="G139" i="19"/>
  <c r="G175" i="19" s="1"/>
  <c r="G140" i="19"/>
  <c r="G141" i="19"/>
  <c r="G142" i="19"/>
  <c r="G143" i="19"/>
  <c r="G144" i="19"/>
  <c r="G145" i="19"/>
  <c r="G146" i="19"/>
  <c r="O71" i="19" l="1"/>
  <c r="P71" i="19" s="1"/>
  <c r="Q71" i="19" s="1"/>
  <c r="O63" i="19"/>
  <c r="P63" i="19" s="1"/>
  <c r="Q63" i="19" s="1"/>
  <c r="O55" i="19"/>
  <c r="P55" i="19" s="1"/>
  <c r="Q55" i="19" s="1"/>
  <c r="O47" i="19"/>
  <c r="P47" i="19" s="1"/>
  <c r="Q47" i="19" s="1"/>
  <c r="O39" i="19"/>
  <c r="P39" i="19" s="1"/>
  <c r="Q39" i="19" s="1"/>
  <c r="O31" i="19"/>
  <c r="P31" i="19" s="1"/>
  <c r="Q31" i="19" s="1"/>
  <c r="O23" i="19"/>
  <c r="P23" i="19" s="1"/>
  <c r="Q23" i="19" s="1"/>
  <c r="O15" i="19"/>
  <c r="P15" i="19" s="1"/>
  <c r="Q15" i="19" s="1"/>
  <c r="G178" i="19"/>
  <c r="O142" i="19"/>
  <c r="O70" i="19"/>
  <c r="P70" i="19" s="1"/>
  <c r="Q70" i="19" s="1"/>
  <c r="O62" i="19"/>
  <c r="P62" i="19" s="1"/>
  <c r="Q62" i="19" s="1"/>
  <c r="G180" i="19"/>
  <c r="O144" i="19"/>
  <c r="G176" i="19"/>
  <c r="O140" i="19"/>
  <c r="O72" i="19"/>
  <c r="P72" i="19" s="1"/>
  <c r="Q72" i="19" s="1"/>
  <c r="O68" i="19"/>
  <c r="P68" i="19" s="1"/>
  <c r="Q68" i="19" s="1"/>
  <c r="O64" i="19"/>
  <c r="P64" i="19" s="1"/>
  <c r="Q64" i="19" s="1"/>
  <c r="O60" i="19"/>
  <c r="P60" i="19" s="1"/>
  <c r="Q60" i="19" s="1"/>
  <c r="O56" i="19"/>
  <c r="P56" i="19" s="1"/>
  <c r="Q56" i="19" s="1"/>
  <c r="O52" i="19"/>
  <c r="P52" i="19" s="1"/>
  <c r="Q52" i="19" s="1"/>
  <c r="O48" i="19"/>
  <c r="P48" i="19" s="1"/>
  <c r="Q48" i="19" s="1"/>
  <c r="O44" i="19"/>
  <c r="P44" i="19" s="1"/>
  <c r="Q44" i="19" s="1"/>
  <c r="O40" i="19"/>
  <c r="P40" i="19" s="1"/>
  <c r="Q40" i="19" s="1"/>
  <c r="O36" i="19"/>
  <c r="P36" i="19" s="1"/>
  <c r="Q36" i="19" s="1"/>
  <c r="O32" i="19"/>
  <c r="P32" i="19" s="1"/>
  <c r="Q32" i="19" s="1"/>
  <c r="O28" i="19"/>
  <c r="P28" i="19" s="1"/>
  <c r="Q28" i="19" s="1"/>
  <c r="O24" i="19"/>
  <c r="P24" i="19" s="1"/>
  <c r="Q24" i="19" s="1"/>
  <c r="O20" i="19"/>
  <c r="P20" i="19" s="1"/>
  <c r="Q20" i="19" s="1"/>
  <c r="O16" i="19"/>
  <c r="P16" i="19" s="1"/>
  <c r="Q16" i="19" s="1"/>
  <c r="O12" i="19"/>
  <c r="P12" i="19" s="1"/>
  <c r="Q12" i="19" s="1"/>
  <c r="O8" i="19"/>
  <c r="P8" i="19" s="1"/>
  <c r="Q8" i="19" s="1"/>
  <c r="O4" i="19"/>
  <c r="P4" i="19" s="1"/>
  <c r="Q4" i="19" s="1"/>
  <c r="G179" i="19"/>
  <c r="O143" i="19"/>
  <c r="O67" i="19"/>
  <c r="P67" i="19" s="1"/>
  <c r="Q67" i="19" s="1"/>
  <c r="O59" i="19"/>
  <c r="P59" i="19" s="1"/>
  <c r="Q59" i="19" s="1"/>
  <c r="O51" i="19"/>
  <c r="P51" i="19" s="1"/>
  <c r="Q51" i="19" s="1"/>
  <c r="O43" i="19"/>
  <c r="P43" i="19" s="1"/>
  <c r="Q43" i="19" s="1"/>
  <c r="O35" i="19"/>
  <c r="P35" i="19" s="1"/>
  <c r="Q35" i="19" s="1"/>
  <c r="O27" i="19"/>
  <c r="P27" i="19" s="1"/>
  <c r="Q27" i="19" s="1"/>
  <c r="O19" i="19"/>
  <c r="P19" i="19" s="1"/>
  <c r="Q19" i="19" s="1"/>
  <c r="O11" i="19"/>
  <c r="P11" i="19" s="1"/>
  <c r="Q11" i="19" s="1"/>
  <c r="O7" i="19"/>
  <c r="P7" i="19" s="1"/>
  <c r="Q7" i="19" s="1"/>
  <c r="G182" i="19"/>
  <c r="O146" i="19"/>
  <c r="O74" i="19"/>
  <c r="P74" i="19" s="1"/>
  <c r="Q74" i="19" s="1"/>
  <c r="O66" i="19"/>
  <c r="P66" i="19" s="1"/>
  <c r="Q66" i="19" s="1"/>
  <c r="O58" i="19"/>
  <c r="P58" i="19" s="1"/>
  <c r="Q58" i="19" s="1"/>
  <c r="O54" i="19"/>
  <c r="P54" i="19" s="1"/>
  <c r="Q54" i="19" s="1"/>
  <c r="O50" i="19"/>
  <c r="P50" i="19" s="1"/>
  <c r="Q50" i="19" s="1"/>
  <c r="O46" i="19"/>
  <c r="P46" i="19" s="1"/>
  <c r="Q46" i="19" s="1"/>
  <c r="O42" i="19"/>
  <c r="P42" i="19" s="1"/>
  <c r="Q42" i="19" s="1"/>
  <c r="O38" i="19"/>
  <c r="P38" i="19" s="1"/>
  <c r="Q38" i="19" s="1"/>
  <c r="O34" i="19"/>
  <c r="P34" i="19" s="1"/>
  <c r="Q34" i="19" s="1"/>
  <c r="O30" i="19"/>
  <c r="P30" i="19" s="1"/>
  <c r="Q30" i="19" s="1"/>
  <c r="O26" i="19"/>
  <c r="P26" i="19" s="1"/>
  <c r="Q26" i="19" s="1"/>
  <c r="O22" i="19"/>
  <c r="P22" i="19" s="1"/>
  <c r="Q22" i="19" s="1"/>
  <c r="O18" i="19"/>
  <c r="P18" i="19" s="1"/>
  <c r="Q18" i="19" s="1"/>
  <c r="O14" i="19"/>
  <c r="P14" i="19" s="1"/>
  <c r="Q14" i="19" s="1"/>
  <c r="O10" i="19"/>
  <c r="P10" i="19" s="1"/>
  <c r="Q10" i="19" s="1"/>
  <c r="O6" i="19"/>
  <c r="P6" i="19" s="1"/>
  <c r="Q6" i="19" s="1"/>
  <c r="G181" i="19"/>
  <c r="O145" i="19"/>
  <c r="G177" i="19"/>
  <c r="O141" i="19"/>
  <c r="O73" i="19"/>
  <c r="P73" i="19" s="1"/>
  <c r="Q73" i="19" s="1"/>
  <c r="O69" i="19"/>
  <c r="P69" i="19" s="1"/>
  <c r="Q69" i="19" s="1"/>
  <c r="O65" i="19"/>
  <c r="P65" i="19" s="1"/>
  <c r="Q65" i="19" s="1"/>
  <c r="O61" i="19"/>
  <c r="P61" i="19" s="1"/>
  <c r="Q61" i="19" s="1"/>
  <c r="O57" i="19"/>
  <c r="P57" i="19" s="1"/>
  <c r="Q57" i="19" s="1"/>
  <c r="O53" i="19"/>
  <c r="P53" i="19" s="1"/>
  <c r="Q53" i="19" s="1"/>
  <c r="O49" i="19"/>
  <c r="P49" i="19" s="1"/>
  <c r="Q49" i="19" s="1"/>
  <c r="O45" i="19"/>
  <c r="P45" i="19" s="1"/>
  <c r="Q45" i="19" s="1"/>
  <c r="O41" i="19"/>
  <c r="P41" i="19" s="1"/>
  <c r="Q41" i="19" s="1"/>
  <c r="O37" i="19"/>
  <c r="P37" i="19" s="1"/>
  <c r="Q37" i="19" s="1"/>
  <c r="O33" i="19"/>
  <c r="P33" i="19" s="1"/>
  <c r="Q33" i="19" s="1"/>
  <c r="O29" i="19"/>
  <c r="P29" i="19" s="1"/>
  <c r="Q29" i="19" s="1"/>
  <c r="O25" i="19"/>
  <c r="P25" i="19" s="1"/>
  <c r="Q25" i="19" s="1"/>
  <c r="O17" i="19"/>
  <c r="P17" i="19" s="1"/>
  <c r="Q17" i="19" s="1"/>
  <c r="O13" i="19"/>
  <c r="P13" i="19" s="1"/>
  <c r="Q13" i="19" s="1"/>
  <c r="O9" i="19"/>
  <c r="P9" i="19" s="1"/>
  <c r="Q9" i="19" s="1"/>
  <c r="O5" i="19"/>
  <c r="P5" i="19" s="1"/>
  <c r="Q5" i="19" s="1"/>
  <c r="G171" i="19"/>
  <c r="D208" i="19"/>
  <c r="E208" i="19"/>
  <c r="P21" i="19"/>
  <c r="Q21" i="19" s="1"/>
  <c r="P3" i="19"/>
  <c r="Q3" i="19" s="1"/>
  <c r="E80" i="23"/>
  <c r="I208" i="19" l="1"/>
  <c r="F208" i="19" s="1"/>
  <c r="E81" i="23"/>
  <c r="B3" i="33"/>
  <c r="C3" i="33"/>
  <c r="D3" i="33"/>
  <c r="E3" i="33"/>
  <c r="F3" i="33"/>
  <c r="G3" i="33"/>
  <c r="H3" i="33"/>
  <c r="I3" i="33"/>
  <c r="J3" i="33"/>
  <c r="K3" i="33"/>
  <c r="L3" i="33"/>
  <c r="B4" i="33"/>
  <c r="C4" i="33"/>
  <c r="D4" i="33"/>
  <c r="E4" i="33"/>
  <c r="F4" i="33"/>
  <c r="G4" i="33"/>
  <c r="H4" i="33"/>
  <c r="I4" i="33"/>
  <c r="J4" i="33"/>
  <c r="K4" i="33"/>
  <c r="L4" i="33"/>
  <c r="B5" i="33"/>
  <c r="C5" i="33"/>
  <c r="D5" i="33"/>
  <c r="E5" i="33"/>
  <c r="F5" i="33"/>
  <c r="G5" i="33"/>
  <c r="H5" i="33"/>
  <c r="I5" i="33"/>
  <c r="J5" i="33"/>
  <c r="K5" i="33"/>
  <c r="L5" i="33"/>
  <c r="B6" i="33"/>
  <c r="C6" i="33"/>
  <c r="D6" i="33"/>
  <c r="E6" i="33"/>
  <c r="F6" i="33"/>
  <c r="G6" i="33"/>
  <c r="H6" i="33"/>
  <c r="I6" i="33"/>
  <c r="J6" i="33"/>
  <c r="K6" i="33"/>
  <c r="L6" i="33"/>
  <c r="B7" i="33"/>
  <c r="C7" i="33"/>
  <c r="D7" i="33"/>
  <c r="E7" i="33"/>
  <c r="F7" i="33"/>
  <c r="G7" i="33"/>
  <c r="H7" i="33"/>
  <c r="I7" i="33"/>
  <c r="J7" i="33"/>
  <c r="K7" i="33"/>
  <c r="L7" i="33"/>
  <c r="B8" i="33"/>
  <c r="C8" i="33"/>
  <c r="D8" i="33"/>
  <c r="E8" i="33"/>
  <c r="F8" i="33"/>
  <c r="G8" i="33"/>
  <c r="H8" i="33"/>
  <c r="I8" i="33"/>
  <c r="J8" i="33"/>
  <c r="K8" i="33"/>
  <c r="L8" i="33"/>
  <c r="B9" i="33"/>
  <c r="C9" i="33"/>
  <c r="D9" i="33"/>
  <c r="E9" i="33"/>
  <c r="F9" i="33"/>
  <c r="G9" i="33"/>
  <c r="H9" i="33"/>
  <c r="I9" i="33"/>
  <c r="J9" i="33"/>
  <c r="K9" i="33"/>
  <c r="L9" i="33"/>
  <c r="B10" i="33"/>
  <c r="C10" i="33"/>
  <c r="D10" i="33"/>
  <c r="F10" i="33"/>
  <c r="G10" i="33"/>
  <c r="I10" i="33"/>
  <c r="J10" i="33"/>
  <c r="K10" i="33"/>
  <c r="L10" i="33"/>
  <c r="B11" i="33"/>
  <c r="C11" i="33"/>
  <c r="D11" i="33"/>
  <c r="G11" i="33"/>
  <c r="I11" i="33"/>
  <c r="J11" i="33"/>
  <c r="K11" i="33"/>
  <c r="B12" i="33"/>
  <c r="C12" i="33"/>
  <c r="D12" i="33"/>
  <c r="G12" i="33"/>
  <c r="I12" i="33"/>
  <c r="J12" i="33"/>
  <c r="K12" i="33"/>
  <c r="B13" i="33"/>
  <c r="C13" i="33"/>
  <c r="D13" i="33"/>
  <c r="G13" i="33"/>
  <c r="I13" i="33"/>
  <c r="J13" i="33"/>
  <c r="K13" i="33"/>
  <c r="B14" i="33"/>
  <c r="C14" i="33"/>
  <c r="D14" i="33"/>
  <c r="G14" i="33"/>
  <c r="I14" i="33"/>
  <c r="J14" i="33"/>
  <c r="K14" i="33"/>
  <c r="B15" i="33"/>
  <c r="C15" i="33"/>
  <c r="D15" i="33"/>
  <c r="G15" i="33"/>
  <c r="I15" i="33"/>
  <c r="J15" i="33"/>
  <c r="K15" i="33"/>
  <c r="B16" i="33"/>
  <c r="C16" i="33"/>
  <c r="D16" i="33"/>
  <c r="G16" i="33"/>
  <c r="I16" i="33"/>
  <c r="J16" i="33"/>
  <c r="K16" i="33"/>
  <c r="B17" i="33"/>
  <c r="C17" i="33"/>
  <c r="D17" i="33"/>
  <c r="G17" i="33"/>
  <c r="I17" i="33"/>
  <c r="J17" i="33"/>
  <c r="K17" i="33"/>
  <c r="B18" i="33"/>
  <c r="C18" i="33"/>
  <c r="D18" i="33"/>
  <c r="G18" i="33"/>
  <c r="I18" i="33"/>
  <c r="J18" i="33"/>
  <c r="K18" i="33"/>
  <c r="B19" i="33"/>
  <c r="C19" i="33"/>
  <c r="D19" i="33"/>
  <c r="G19" i="33"/>
  <c r="I19" i="33"/>
  <c r="J19" i="33"/>
  <c r="K19" i="33"/>
  <c r="B20" i="33"/>
  <c r="C20" i="33"/>
  <c r="D20" i="33"/>
  <c r="G20" i="33"/>
  <c r="I20" i="33"/>
  <c r="J20" i="33"/>
  <c r="K20" i="33"/>
  <c r="B21" i="33"/>
  <c r="C21" i="33"/>
  <c r="D21" i="33"/>
  <c r="G21" i="33"/>
  <c r="I21" i="33"/>
  <c r="J21" i="33"/>
  <c r="K21" i="33"/>
  <c r="B22" i="33"/>
  <c r="C22" i="33"/>
  <c r="D22" i="33"/>
  <c r="G22" i="33"/>
  <c r="I22" i="33"/>
  <c r="J22" i="33"/>
  <c r="K22" i="33"/>
  <c r="B23" i="33"/>
  <c r="C23" i="33"/>
  <c r="D23" i="33"/>
  <c r="G23" i="33"/>
  <c r="I23" i="33"/>
  <c r="J23" i="33"/>
  <c r="K23" i="33"/>
  <c r="B24" i="33"/>
  <c r="C24" i="33"/>
  <c r="D24" i="33"/>
  <c r="G24" i="33"/>
  <c r="I24" i="33"/>
  <c r="J24" i="33"/>
  <c r="K24" i="33"/>
  <c r="B25" i="33"/>
  <c r="C25" i="33"/>
  <c r="D25" i="33"/>
  <c r="G25" i="33"/>
  <c r="I25" i="33"/>
  <c r="J25" i="33"/>
  <c r="K25" i="33"/>
  <c r="B26" i="33"/>
  <c r="C26" i="33"/>
  <c r="D26" i="33"/>
  <c r="G26" i="33"/>
  <c r="I26" i="33"/>
  <c r="J26" i="33"/>
  <c r="K26" i="33"/>
  <c r="B27" i="33"/>
  <c r="C27" i="33"/>
  <c r="D27" i="33"/>
  <c r="G27" i="33"/>
  <c r="I27" i="33"/>
  <c r="J27" i="33"/>
  <c r="K27" i="33"/>
  <c r="B28" i="33"/>
  <c r="C28" i="33"/>
  <c r="D28" i="33"/>
  <c r="G28" i="33"/>
  <c r="I28" i="33"/>
  <c r="J28" i="33"/>
  <c r="K28" i="33"/>
  <c r="B29" i="33"/>
  <c r="C29" i="33"/>
  <c r="D29" i="33"/>
  <c r="G29" i="33"/>
  <c r="I29" i="33"/>
  <c r="J29" i="33"/>
  <c r="K29" i="33"/>
  <c r="B30" i="33"/>
  <c r="C30" i="33"/>
  <c r="D30" i="33"/>
  <c r="G30" i="33"/>
  <c r="I30" i="33"/>
  <c r="J30" i="33"/>
  <c r="K30" i="33"/>
  <c r="B31" i="33"/>
  <c r="C31" i="33"/>
  <c r="D31" i="33"/>
  <c r="G31" i="33"/>
  <c r="I31" i="33"/>
  <c r="J31" i="33"/>
  <c r="K31" i="33"/>
  <c r="B32" i="33"/>
  <c r="C32" i="33"/>
  <c r="D32" i="33"/>
  <c r="G32" i="33"/>
  <c r="I32" i="33"/>
  <c r="J32" i="33"/>
  <c r="K32" i="33"/>
  <c r="B33" i="33"/>
  <c r="C33" i="33"/>
  <c r="D33" i="33"/>
  <c r="G33" i="33"/>
  <c r="I33" i="33"/>
  <c r="J33" i="33"/>
  <c r="K33" i="33"/>
  <c r="B34" i="33"/>
  <c r="C34" i="33"/>
  <c r="D34" i="33"/>
  <c r="G34" i="33"/>
  <c r="I34" i="33"/>
  <c r="J34" i="33"/>
  <c r="K34" i="33"/>
  <c r="B35" i="33"/>
  <c r="C35" i="33"/>
  <c r="D35" i="33"/>
  <c r="G35" i="33"/>
  <c r="I35" i="33"/>
  <c r="J35" i="33"/>
  <c r="K35" i="33"/>
  <c r="B36" i="33"/>
  <c r="C36" i="33"/>
  <c r="D36" i="33"/>
  <c r="G36" i="33"/>
  <c r="I36" i="33"/>
  <c r="J36" i="33"/>
  <c r="K36" i="33"/>
  <c r="B37" i="33"/>
  <c r="C37" i="33"/>
  <c r="D37" i="33"/>
  <c r="G37" i="33"/>
  <c r="I37" i="33"/>
  <c r="J37" i="33"/>
  <c r="K37" i="33"/>
  <c r="B38" i="33"/>
  <c r="C38" i="33"/>
  <c r="D38" i="33"/>
  <c r="G38" i="33"/>
  <c r="I38" i="33"/>
  <c r="J38" i="33"/>
  <c r="K38" i="33"/>
  <c r="B39" i="33"/>
  <c r="C39" i="33"/>
  <c r="D39" i="33"/>
  <c r="G39" i="33"/>
  <c r="I39" i="33"/>
  <c r="J39" i="33"/>
  <c r="K39" i="33"/>
  <c r="B40" i="33"/>
  <c r="C40" i="33"/>
  <c r="D40" i="33"/>
  <c r="G40" i="33"/>
  <c r="I40" i="33"/>
  <c r="J40" i="33"/>
  <c r="K40" i="33"/>
  <c r="B41" i="33"/>
  <c r="C41" i="33"/>
  <c r="D41" i="33"/>
  <c r="G41" i="33"/>
  <c r="I41" i="33"/>
  <c r="J41" i="33"/>
  <c r="K41" i="33"/>
  <c r="B42" i="33"/>
  <c r="C42" i="33"/>
  <c r="D42" i="33"/>
  <c r="G42" i="33"/>
  <c r="I42" i="33"/>
  <c r="J42" i="33"/>
  <c r="K42" i="33"/>
  <c r="B43" i="33"/>
  <c r="C43" i="33"/>
  <c r="D43" i="33"/>
  <c r="G43" i="33"/>
  <c r="I43" i="33"/>
  <c r="J43" i="33"/>
  <c r="K43" i="33"/>
  <c r="B44" i="33"/>
  <c r="C44" i="33"/>
  <c r="D44" i="33"/>
  <c r="G44" i="33"/>
  <c r="I44" i="33"/>
  <c r="J44" i="33"/>
  <c r="K44" i="33"/>
  <c r="B45" i="33"/>
  <c r="C45" i="33"/>
  <c r="D45" i="33"/>
  <c r="G45" i="33"/>
  <c r="I45" i="33"/>
  <c r="J45" i="33"/>
  <c r="K45" i="33"/>
  <c r="B46" i="33"/>
  <c r="C46" i="33"/>
  <c r="D46" i="33"/>
  <c r="G46" i="33"/>
  <c r="I46" i="33"/>
  <c r="J46" i="33"/>
  <c r="K46" i="33"/>
  <c r="B47" i="33"/>
  <c r="C47" i="33"/>
  <c r="D47" i="33"/>
  <c r="G47" i="33"/>
  <c r="I47" i="33"/>
  <c r="J47" i="33"/>
  <c r="K47" i="33"/>
  <c r="B48" i="33"/>
  <c r="C48" i="33"/>
  <c r="D48" i="33"/>
  <c r="G48" i="33"/>
  <c r="I48" i="33"/>
  <c r="J48" i="33"/>
  <c r="K48" i="33"/>
  <c r="B49" i="33"/>
  <c r="C49" i="33"/>
  <c r="D49" i="33"/>
  <c r="G49" i="33"/>
  <c r="I49" i="33"/>
  <c r="J49" i="33"/>
  <c r="K49" i="33"/>
  <c r="B50" i="33"/>
  <c r="C50" i="33"/>
  <c r="D50" i="33"/>
  <c r="G50" i="33"/>
  <c r="I50" i="33"/>
  <c r="J50" i="33"/>
  <c r="K50" i="33"/>
  <c r="B51" i="33"/>
  <c r="C51" i="33"/>
  <c r="D51" i="33"/>
  <c r="G51" i="33"/>
  <c r="I51" i="33"/>
  <c r="J51" i="33"/>
  <c r="K51" i="33"/>
  <c r="B52" i="33"/>
  <c r="C52" i="33"/>
  <c r="D52" i="33"/>
  <c r="G52" i="33"/>
  <c r="I52" i="33"/>
  <c r="J52" i="33"/>
  <c r="K52" i="33"/>
  <c r="B53" i="33"/>
  <c r="C53" i="33"/>
  <c r="D53" i="33"/>
  <c r="G53" i="33"/>
  <c r="I53" i="33"/>
  <c r="J53" i="33"/>
  <c r="K53" i="33"/>
  <c r="B54" i="33"/>
  <c r="C54" i="33"/>
  <c r="D54" i="33"/>
  <c r="G54" i="33"/>
  <c r="I54" i="33"/>
  <c r="J54" i="33"/>
  <c r="K54" i="33"/>
  <c r="B55" i="33"/>
  <c r="C55" i="33"/>
  <c r="D55" i="33"/>
  <c r="G55" i="33"/>
  <c r="I55" i="33"/>
  <c r="J55" i="33"/>
  <c r="K55" i="33"/>
  <c r="B56" i="33"/>
  <c r="C56" i="33"/>
  <c r="D56" i="33"/>
  <c r="G56" i="33"/>
  <c r="I56" i="33"/>
  <c r="J56" i="33"/>
  <c r="K56" i="33"/>
  <c r="B57" i="33"/>
  <c r="C57" i="33"/>
  <c r="D57" i="33"/>
  <c r="G57" i="33"/>
  <c r="I57" i="33"/>
  <c r="J57" i="33"/>
  <c r="K57" i="33"/>
  <c r="B58" i="33"/>
  <c r="C58" i="33"/>
  <c r="D58" i="33"/>
  <c r="G58" i="33"/>
  <c r="I58" i="33"/>
  <c r="J58" i="33"/>
  <c r="K58" i="33"/>
  <c r="B59" i="33"/>
  <c r="C59" i="33"/>
  <c r="D59" i="33"/>
  <c r="G59" i="33"/>
  <c r="I59" i="33"/>
  <c r="J59" i="33"/>
  <c r="K59" i="33"/>
  <c r="B60" i="33"/>
  <c r="C60" i="33"/>
  <c r="D60" i="33"/>
  <c r="G60" i="33"/>
  <c r="I60" i="33"/>
  <c r="J60" i="33"/>
  <c r="K60" i="33"/>
  <c r="B61" i="33"/>
  <c r="C61" i="33"/>
  <c r="D61" i="33"/>
  <c r="G61" i="33"/>
  <c r="I61" i="33"/>
  <c r="J61" i="33"/>
  <c r="K61" i="33"/>
  <c r="B62" i="33"/>
  <c r="C62" i="33"/>
  <c r="D62" i="33"/>
  <c r="G62" i="33"/>
  <c r="I62" i="33"/>
  <c r="J62" i="33"/>
  <c r="K62" i="33"/>
  <c r="B63" i="33"/>
  <c r="C63" i="33"/>
  <c r="D63" i="33"/>
  <c r="G63" i="33"/>
  <c r="I63" i="33"/>
  <c r="J63" i="33"/>
  <c r="K63" i="33"/>
  <c r="B64" i="33"/>
  <c r="C64" i="33"/>
  <c r="D64" i="33"/>
  <c r="G64" i="33"/>
  <c r="I64" i="33"/>
  <c r="J64" i="33"/>
  <c r="K64" i="33"/>
  <c r="B65" i="33"/>
  <c r="C65" i="33"/>
  <c r="D65" i="33"/>
  <c r="G65" i="33"/>
  <c r="I65" i="33"/>
  <c r="J65" i="33"/>
  <c r="K65" i="33"/>
  <c r="B66" i="33"/>
  <c r="C66" i="33"/>
  <c r="D66" i="33"/>
  <c r="G66" i="33"/>
  <c r="I66" i="33"/>
  <c r="J66" i="33"/>
  <c r="K66" i="33"/>
  <c r="B67" i="33"/>
  <c r="C67" i="33"/>
  <c r="D67" i="33"/>
  <c r="G67" i="33"/>
  <c r="I67" i="33"/>
  <c r="J67" i="33"/>
  <c r="K67" i="33"/>
  <c r="B68" i="33"/>
  <c r="C68" i="33"/>
  <c r="D68" i="33"/>
  <c r="G68" i="33"/>
  <c r="I68" i="33"/>
  <c r="J68" i="33"/>
  <c r="K68" i="33"/>
  <c r="B69" i="33"/>
  <c r="C69" i="33"/>
  <c r="D69" i="33"/>
  <c r="G69" i="33"/>
  <c r="I69" i="33"/>
  <c r="J69" i="33"/>
  <c r="K69" i="33"/>
  <c r="B70" i="33"/>
  <c r="C70" i="33"/>
  <c r="D70" i="33"/>
  <c r="G70" i="33"/>
  <c r="I70" i="33"/>
  <c r="J70" i="33"/>
  <c r="K70" i="33"/>
  <c r="B71" i="33"/>
  <c r="C71" i="33"/>
  <c r="D71" i="33"/>
  <c r="G71" i="33"/>
  <c r="I71" i="33"/>
  <c r="J71" i="33"/>
  <c r="K71" i="33"/>
  <c r="B72" i="33"/>
  <c r="C72" i="33"/>
  <c r="D72" i="33"/>
  <c r="G72" i="33"/>
  <c r="I72" i="33"/>
  <c r="J72" i="33"/>
  <c r="K72" i="33"/>
  <c r="B73" i="33"/>
  <c r="C73" i="33"/>
  <c r="D73" i="33"/>
  <c r="G73" i="33"/>
  <c r="I73" i="33"/>
  <c r="J73" i="33"/>
  <c r="K73" i="33"/>
  <c r="B74" i="33"/>
  <c r="C74" i="33"/>
  <c r="D74" i="33"/>
  <c r="G74" i="33"/>
  <c r="I74" i="33"/>
  <c r="J74" i="33"/>
  <c r="K74" i="33"/>
  <c r="B75" i="33"/>
  <c r="C75" i="33"/>
  <c r="D75" i="33"/>
  <c r="G75" i="33"/>
  <c r="I75" i="33"/>
  <c r="J75" i="33"/>
  <c r="K75" i="33"/>
  <c r="B76" i="33"/>
  <c r="C76" i="33"/>
  <c r="D76" i="33"/>
  <c r="G76" i="33"/>
  <c r="I76" i="33"/>
  <c r="J76" i="33"/>
  <c r="K76" i="33"/>
  <c r="B77" i="33"/>
  <c r="C77" i="33"/>
  <c r="D77" i="33"/>
  <c r="G77" i="33"/>
  <c r="I77" i="33"/>
  <c r="J77" i="33"/>
  <c r="K77" i="33"/>
  <c r="B78" i="33"/>
  <c r="C78" i="33"/>
  <c r="D78" i="33"/>
  <c r="G78" i="33"/>
  <c r="I78" i="33"/>
  <c r="J78" i="33"/>
  <c r="K78" i="33"/>
  <c r="B79" i="33"/>
  <c r="C79" i="33"/>
  <c r="D79" i="33"/>
  <c r="G79" i="33"/>
  <c r="I79" i="33"/>
  <c r="J79" i="33"/>
  <c r="K79" i="33"/>
  <c r="B80" i="33"/>
  <c r="C80" i="33"/>
  <c r="D80" i="33"/>
  <c r="G80" i="33"/>
  <c r="I80" i="33"/>
  <c r="J80" i="33"/>
  <c r="K80" i="33"/>
  <c r="B81" i="33"/>
  <c r="C81" i="33"/>
  <c r="D81" i="33"/>
  <c r="G81" i="33"/>
  <c r="I81" i="33"/>
  <c r="J81" i="33"/>
  <c r="K81" i="33"/>
  <c r="B82" i="33"/>
  <c r="C82" i="33"/>
  <c r="D82" i="33"/>
  <c r="G82" i="33"/>
  <c r="I82" i="33"/>
  <c r="J82" i="33"/>
  <c r="K82" i="33"/>
  <c r="B83" i="33"/>
  <c r="C83" i="33"/>
  <c r="D83" i="33"/>
  <c r="G83" i="33"/>
  <c r="I83" i="33"/>
  <c r="J83" i="33"/>
  <c r="K83" i="33"/>
  <c r="B84" i="33"/>
  <c r="C84" i="33"/>
  <c r="D84" i="33"/>
  <c r="G84" i="33"/>
  <c r="I84" i="33"/>
  <c r="J84" i="33"/>
  <c r="K84" i="33"/>
  <c r="B85" i="33"/>
  <c r="C85" i="33"/>
  <c r="D85" i="33"/>
  <c r="G85" i="33"/>
  <c r="I85" i="33"/>
  <c r="J85" i="33"/>
  <c r="K85" i="33"/>
  <c r="B86" i="33"/>
  <c r="C86" i="33"/>
  <c r="D86" i="33"/>
  <c r="G86" i="33"/>
  <c r="I86" i="33"/>
  <c r="J86" i="33"/>
  <c r="K86" i="33"/>
  <c r="B87" i="33"/>
  <c r="C87" i="33"/>
  <c r="D87" i="33"/>
  <c r="G87" i="33"/>
  <c r="I87" i="33"/>
  <c r="J87" i="33"/>
  <c r="K87" i="33"/>
  <c r="B88" i="33"/>
  <c r="C88" i="33"/>
  <c r="D88" i="33"/>
  <c r="G88" i="33"/>
  <c r="I88" i="33"/>
  <c r="J88" i="33"/>
  <c r="K88" i="33"/>
  <c r="B89" i="33"/>
  <c r="C89" i="33"/>
  <c r="D89" i="33"/>
  <c r="G89" i="33"/>
  <c r="I89" i="33"/>
  <c r="J89" i="33"/>
  <c r="K89" i="33"/>
  <c r="B90" i="33"/>
  <c r="C90" i="33"/>
  <c r="D90" i="33"/>
  <c r="G90" i="33"/>
  <c r="I90" i="33"/>
  <c r="J90" i="33"/>
  <c r="K90" i="33"/>
  <c r="B91" i="33"/>
  <c r="C91" i="33"/>
  <c r="D91" i="33"/>
  <c r="G91" i="33"/>
  <c r="I91" i="33"/>
  <c r="J91" i="33"/>
  <c r="K91" i="33"/>
  <c r="B92" i="33"/>
  <c r="C92" i="33"/>
  <c r="D92" i="33"/>
  <c r="G92" i="33"/>
  <c r="I92" i="33"/>
  <c r="J92" i="33"/>
  <c r="K92" i="33"/>
  <c r="B93" i="33"/>
  <c r="C93" i="33"/>
  <c r="D93" i="33"/>
  <c r="G93" i="33"/>
  <c r="I93" i="33"/>
  <c r="J93" i="33"/>
  <c r="K93" i="33"/>
  <c r="B94" i="33"/>
  <c r="C94" i="33"/>
  <c r="D94" i="33"/>
  <c r="G94" i="33"/>
  <c r="I94" i="33"/>
  <c r="J94" i="33"/>
  <c r="K94" i="33"/>
  <c r="B95" i="33"/>
  <c r="C95" i="33"/>
  <c r="D95" i="33"/>
  <c r="G95" i="33"/>
  <c r="I95" i="33"/>
  <c r="J95" i="33"/>
  <c r="K95" i="33"/>
  <c r="B96" i="33"/>
  <c r="C96" i="33"/>
  <c r="D96" i="33"/>
  <c r="G96" i="33"/>
  <c r="I96" i="33"/>
  <c r="J96" i="33"/>
  <c r="K96" i="33"/>
  <c r="B97" i="33"/>
  <c r="C97" i="33"/>
  <c r="D97" i="33"/>
  <c r="G97" i="33"/>
  <c r="I97" i="33"/>
  <c r="J97" i="33"/>
  <c r="K97" i="33"/>
  <c r="B98" i="33"/>
  <c r="C98" i="33"/>
  <c r="D98" i="33"/>
  <c r="G98" i="33"/>
  <c r="I98" i="33"/>
  <c r="J98" i="33"/>
  <c r="K98" i="33"/>
  <c r="B99" i="33"/>
  <c r="C99" i="33"/>
  <c r="D99" i="33"/>
  <c r="G99" i="33"/>
  <c r="I99" i="33"/>
  <c r="J99" i="33"/>
  <c r="K99" i="33"/>
  <c r="B100" i="33"/>
  <c r="C100" i="33"/>
  <c r="D100" i="33"/>
  <c r="G100" i="33"/>
  <c r="I100" i="33"/>
  <c r="J100" i="33"/>
  <c r="K100" i="33"/>
  <c r="B101" i="33"/>
  <c r="C101" i="33"/>
  <c r="D101" i="33"/>
  <c r="G101" i="33"/>
  <c r="I101" i="33"/>
  <c r="J101" i="33"/>
  <c r="K101" i="33"/>
  <c r="B102" i="33"/>
  <c r="C102" i="33"/>
  <c r="D102" i="33"/>
  <c r="G102" i="33"/>
  <c r="I102" i="33"/>
  <c r="J102" i="33"/>
  <c r="K102" i="33"/>
  <c r="B103" i="33"/>
  <c r="C103" i="33"/>
  <c r="D103" i="33"/>
  <c r="G103" i="33"/>
  <c r="I103" i="33"/>
  <c r="J103" i="33"/>
  <c r="K103" i="33"/>
  <c r="B104" i="33"/>
  <c r="C104" i="33"/>
  <c r="D104" i="33"/>
  <c r="G104" i="33"/>
  <c r="I104" i="33"/>
  <c r="J104" i="33"/>
  <c r="K104" i="33"/>
  <c r="B105" i="33"/>
  <c r="C105" i="33"/>
  <c r="D105" i="33"/>
  <c r="G105" i="33"/>
  <c r="I105" i="33"/>
  <c r="J105" i="33"/>
  <c r="K105" i="33"/>
  <c r="B106" i="33"/>
  <c r="C106" i="33"/>
  <c r="D106" i="33"/>
  <c r="G106" i="33"/>
  <c r="I106" i="33"/>
  <c r="J106" i="33"/>
  <c r="K106" i="33"/>
  <c r="B107" i="33"/>
  <c r="C107" i="33"/>
  <c r="D107" i="33"/>
  <c r="G107" i="33"/>
  <c r="I107" i="33"/>
  <c r="J107" i="33"/>
  <c r="K107" i="33"/>
  <c r="B108" i="33"/>
  <c r="C108" i="33"/>
  <c r="D108" i="33"/>
  <c r="G108" i="33"/>
  <c r="I108" i="33"/>
  <c r="J108" i="33"/>
  <c r="K108" i="33"/>
  <c r="B109" i="33"/>
  <c r="C109" i="33"/>
  <c r="D109" i="33"/>
  <c r="G109" i="33"/>
  <c r="I109" i="33"/>
  <c r="J109" i="33"/>
  <c r="K109" i="33"/>
  <c r="B110" i="33"/>
  <c r="C110" i="33"/>
  <c r="D110" i="33"/>
  <c r="G110" i="33"/>
  <c r="I110" i="33"/>
  <c r="J110" i="33"/>
  <c r="K110" i="33"/>
  <c r="B111" i="33"/>
  <c r="C111" i="33"/>
  <c r="D111" i="33"/>
  <c r="G111" i="33"/>
  <c r="I111" i="33"/>
  <c r="J111" i="33"/>
  <c r="K111" i="33"/>
  <c r="B112" i="33"/>
  <c r="C112" i="33"/>
  <c r="D112" i="33"/>
  <c r="G112" i="33"/>
  <c r="I112" i="33"/>
  <c r="J112" i="33"/>
  <c r="K112" i="33"/>
  <c r="B113" i="33"/>
  <c r="C113" i="33"/>
  <c r="C125" i="33" s="1"/>
  <c r="C137" i="33" s="1"/>
  <c r="D113" i="33"/>
  <c r="G113" i="33"/>
  <c r="I113" i="33"/>
  <c r="J113" i="33"/>
  <c r="K113" i="33"/>
  <c r="B114" i="33"/>
  <c r="C114" i="33"/>
  <c r="D114" i="33"/>
  <c r="G114" i="33"/>
  <c r="I114" i="33"/>
  <c r="J114" i="33"/>
  <c r="K114" i="33"/>
  <c r="B115" i="33"/>
  <c r="C115" i="33"/>
  <c r="D115" i="33"/>
  <c r="G115" i="33"/>
  <c r="I115" i="33"/>
  <c r="J115" i="33"/>
  <c r="K115" i="33"/>
  <c r="B116" i="33"/>
  <c r="C116" i="33"/>
  <c r="D116" i="33"/>
  <c r="G116" i="33"/>
  <c r="I116" i="33"/>
  <c r="J116" i="33"/>
  <c r="K116" i="33"/>
  <c r="B117" i="33"/>
  <c r="C117" i="33"/>
  <c r="C129" i="33" s="1"/>
  <c r="C141" i="33" s="1"/>
  <c r="D117" i="33"/>
  <c r="G117" i="33"/>
  <c r="I117" i="33"/>
  <c r="J117" i="33"/>
  <c r="K117" i="33"/>
  <c r="G118" i="33"/>
  <c r="J118" i="33"/>
  <c r="K118" i="33"/>
  <c r="G119" i="33"/>
  <c r="K119" i="33"/>
  <c r="G120" i="33"/>
  <c r="J120" i="33"/>
  <c r="K120" i="33"/>
  <c r="G121" i="33"/>
  <c r="J121" i="33"/>
  <c r="K121" i="33"/>
  <c r="G122" i="33"/>
  <c r="J122" i="33"/>
  <c r="K122" i="33"/>
  <c r="G123" i="33"/>
  <c r="J123" i="33"/>
  <c r="K123" i="33"/>
  <c r="G124" i="33"/>
  <c r="J124" i="33"/>
  <c r="K124" i="33"/>
  <c r="G125" i="33"/>
  <c r="J125" i="33"/>
  <c r="K125" i="33"/>
  <c r="G126" i="33"/>
  <c r="J126" i="33"/>
  <c r="K126" i="33"/>
  <c r="G127" i="33"/>
  <c r="J127" i="33"/>
  <c r="K127" i="33"/>
  <c r="G128" i="33"/>
  <c r="J128" i="33"/>
  <c r="K128" i="33"/>
  <c r="G129" i="33"/>
  <c r="J129" i="33"/>
  <c r="K129" i="33"/>
  <c r="E130" i="33"/>
  <c r="G130" i="33"/>
  <c r="J130" i="33"/>
  <c r="K130" i="33"/>
  <c r="E131" i="33"/>
  <c r="G131" i="33"/>
  <c r="J131" i="33"/>
  <c r="K131" i="33"/>
  <c r="E132" i="33"/>
  <c r="G132" i="33"/>
  <c r="J132" i="33"/>
  <c r="K132" i="33"/>
  <c r="E133" i="33"/>
  <c r="G133" i="33"/>
  <c r="J133" i="33"/>
  <c r="K133" i="33"/>
  <c r="E134" i="33"/>
  <c r="G134" i="33"/>
  <c r="J134" i="33"/>
  <c r="K134" i="33"/>
  <c r="E135" i="33"/>
  <c r="G135" i="33"/>
  <c r="J135" i="33"/>
  <c r="K135" i="33"/>
  <c r="E136" i="33"/>
  <c r="G136" i="33"/>
  <c r="J136" i="33"/>
  <c r="K136" i="33"/>
  <c r="E137" i="33"/>
  <c r="G137" i="33"/>
  <c r="J137" i="33"/>
  <c r="K137" i="33"/>
  <c r="E138" i="33"/>
  <c r="G138" i="33"/>
  <c r="J138" i="33"/>
  <c r="K138" i="33"/>
  <c r="E139" i="33"/>
  <c r="G139" i="33"/>
  <c r="J139" i="33"/>
  <c r="K139" i="33"/>
  <c r="E140" i="33"/>
  <c r="G140" i="33"/>
  <c r="J140" i="33"/>
  <c r="K140" i="33"/>
  <c r="E141" i="33"/>
  <c r="G141" i="33"/>
  <c r="J141" i="33"/>
  <c r="K141" i="33"/>
  <c r="M143" i="33"/>
  <c r="M145" i="33"/>
  <c r="M146" i="33"/>
  <c r="M147" i="33"/>
  <c r="M148" i="33"/>
  <c r="M149" i="33"/>
  <c r="M150" i="33"/>
  <c r="M151" i="33"/>
  <c r="M152" i="33"/>
  <c r="M153" i="33"/>
  <c r="M154" i="33"/>
  <c r="M159" i="33" s="1"/>
  <c r="N159" i="33" s="1"/>
  <c r="M155" i="33"/>
  <c r="M157" i="33"/>
  <c r="K189" i="32"/>
  <c r="J189" i="32"/>
  <c r="I189" i="32"/>
  <c r="K188" i="32"/>
  <c r="J188" i="32"/>
  <c r="I188" i="32"/>
  <c r="K187" i="32"/>
  <c r="J187" i="32"/>
  <c r="I187" i="32"/>
  <c r="K186" i="32"/>
  <c r="J186" i="32"/>
  <c r="I186" i="32"/>
  <c r="K185" i="32"/>
  <c r="J185" i="32"/>
  <c r="I185" i="32"/>
  <c r="K184" i="32"/>
  <c r="J184" i="32"/>
  <c r="I184" i="32"/>
  <c r="K183" i="32"/>
  <c r="J183" i="32"/>
  <c r="I183" i="32"/>
  <c r="K182" i="32"/>
  <c r="J182" i="32"/>
  <c r="I182" i="32"/>
  <c r="K181" i="32"/>
  <c r="J181" i="32"/>
  <c r="I181" i="32"/>
  <c r="K180" i="32"/>
  <c r="J180" i="32"/>
  <c r="I180" i="32"/>
  <c r="K179" i="32"/>
  <c r="J179" i="32"/>
  <c r="I179" i="32"/>
  <c r="K178" i="32"/>
  <c r="J178" i="32"/>
  <c r="I178" i="32"/>
  <c r="K175" i="32"/>
  <c r="J175" i="32"/>
  <c r="I175" i="32"/>
  <c r="K174" i="32"/>
  <c r="J174" i="32"/>
  <c r="I174" i="32"/>
  <c r="K173" i="32"/>
  <c r="J173" i="32"/>
  <c r="I173" i="32"/>
  <c r="K172" i="32"/>
  <c r="J172" i="32"/>
  <c r="I172" i="32"/>
  <c r="K171" i="32"/>
  <c r="J171" i="32"/>
  <c r="I171" i="32"/>
  <c r="K170" i="32"/>
  <c r="J170" i="32"/>
  <c r="I170" i="32"/>
  <c r="K169" i="32"/>
  <c r="J169" i="32"/>
  <c r="I169" i="32"/>
  <c r="K168" i="32"/>
  <c r="J168" i="32"/>
  <c r="I168" i="32"/>
  <c r="K167" i="32"/>
  <c r="J167" i="32"/>
  <c r="I167" i="32"/>
  <c r="K166" i="32"/>
  <c r="J166" i="32"/>
  <c r="I166" i="32"/>
  <c r="K165" i="32"/>
  <c r="J165" i="32"/>
  <c r="I165" i="32"/>
  <c r="K164" i="32"/>
  <c r="J164" i="32"/>
  <c r="I164" i="32"/>
  <c r="K141" i="32"/>
  <c r="J141" i="32"/>
  <c r="I141" i="32"/>
  <c r="G141" i="32"/>
  <c r="K140" i="32"/>
  <c r="J140" i="32"/>
  <c r="I140" i="32"/>
  <c r="G140" i="32"/>
  <c r="K139" i="32"/>
  <c r="J139" i="32"/>
  <c r="I139" i="32"/>
  <c r="G139" i="32"/>
  <c r="K138" i="32"/>
  <c r="J138" i="32"/>
  <c r="I138" i="32"/>
  <c r="G138" i="32"/>
  <c r="K137" i="32"/>
  <c r="J137" i="32"/>
  <c r="I137" i="32"/>
  <c r="G137" i="32"/>
  <c r="K136" i="32"/>
  <c r="J136" i="32"/>
  <c r="I136" i="32"/>
  <c r="G136" i="32"/>
  <c r="K135" i="32"/>
  <c r="J135" i="32"/>
  <c r="I135" i="32"/>
  <c r="G135" i="32"/>
  <c r="K134" i="32"/>
  <c r="J134" i="32"/>
  <c r="I134" i="32"/>
  <c r="G134" i="32"/>
  <c r="K133" i="32"/>
  <c r="J133" i="32"/>
  <c r="I133" i="32"/>
  <c r="G133" i="32"/>
  <c r="K132" i="32"/>
  <c r="J132" i="32"/>
  <c r="I132" i="32"/>
  <c r="G132" i="32"/>
  <c r="K131" i="32"/>
  <c r="J131" i="32"/>
  <c r="I131" i="32"/>
  <c r="G131" i="32"/>
  <c r="K130" i="32"/>
  <c r="J130" i="32"/>
  <c r="I130" i="32"/>
  <c r="G130" i="32"/>
  <c r="K129" i="32"/>
  <c r="I129" i="32"/>
  <c r="G129" i="32"/>
  <c r="K128" i="32"/>
  <c r="I128" i="32"/>
  <c r="G128" i="32"/>
  <c r="K127" i="32"/>
  <c r="I127" i="32"/>
  <c r="G127" i="32"/>
  <c r="K126" i="32"/>
  <c r="I126" i="32"/>
  <c r="G126" i="32"/>
  <c r="K125" i="32"/>
  <c r="I125" i="32"/>
  <c r="G125" i="32"/>
  <c r="K124" i="32"/>
  <c r="I124" i="32"/>
  <c r="G124" i="32"/>
  <c r="K123" i="32"/>
  <c r="I123" i="32"/>
  <c r="G123" i="32"/>
  <c r="K122" i="32"/>
  <c r="I122" i="32"/>
  <c r="G122" i="32"/>
  <c r="K121" i="32"/>
  <c r="I121" i="32"/>
  <c r="G121" i="32"/>
  <c r="K120" i="32"/>
  <c r="I120" i="32"/>
  <c r="G120" i="32"/>
  <c r="I119" i="32"/>
  <c r="G119" i="32"/>
  <c r="I118" i="32"/>
  <c r="G118" i="32"/>
  <c r="K117" i="32"/>
  <c r="I117" i="32"/>
  <c r="G117" i="32"/>
  <c r="K116" i="32"/>
  <c r="I116" i="32"/>
  <c r="G116" i="32"/>
  <c r="K115" i="32"/>
  <c r="I115" i="32"/>
  <c r="G115" i="32"/>
  <c r="K114" i="32"/>
  <c r="I114" i="32"/>
  <c r="G114" i="32"/>
  <c r="K113" i="32"/>
  <c r="I113" i="32"/>
  <c r="G113" i="32"/>
  <c r="K112" i="32"/>
  <c r="I112" i="32"/>
  <c r="G112" i="32"/>
  <c r="K111" i="32"/>
  <c r="I111" i="32"/>
  <c r="G111" i="32"/>
  <c r="K110" i="32"/>
  <c r="I110" i="32"/>
  <c r="G110" i="32"/>
  <c r="K109" i="32"/>
  <c r="I109" i="32"/>
  <c r="G109" i="32"/>
  <c r="K108" i="32"/>
  <c r="I108" i="32"/>
  <c r="G108" i="32"/>
  <c r="K107" i="32"/>
  <c r="I107" i="32"/>
  <c r="G107" i="32"/>
  <c r="K106" i="32"/>
  <c r="I106" i="32"/>
  <c r="G106" i="32"/>
  <c r="B154" i="32"/>
  <c r="K105" i="32"/>
  <c r="I105" i="32"/>
  <c r="G105" i="32"/>
  <c r="K104" i="32"/>
  <c r="I104" i="32"/>
  <c r="G104" i="32"/>
  <c r="K103" i="32"/>
  <c r="I103" i="32"/>
  <c r="G103" i="32"/>
  <c r="K102" i="32"/>
  <c r="I102" i="32"/>
  <c r="G102" i="32"/>
  <c r="K101" i="32"/>
  <c r="I101" i="32"/>
  <c r="G101" i="32"/>
  <c r="K100" i="32"/>
  <c r="I100" i="32"/>
  <c r="G100" i="32"/>
  <c r="K99" i="32"/>
  <c r="I99" i="32"/>
  <c r="G99" i="32"/>
  <c r="K98" i="32"/>
  <c r="I98" i="32"/>
  <c r="G98" i="32"/>
  <c r="K97" i="32"/>
  <c r="I97" i="32"/>
  <c r="G97" i="32"/>
  <c r="K96" i="32"/>
  <c r="I96" i="32"/>
  <c r="G96" i="32"/>
  <c r="K95" i="32"/>
  <c r="I95" i="32"/>
  <c r="G95" i="32"/>
  <c r="K94" i="32"/>
  <c r="I94" i="32"/>
  <c r="G94" i="32"/>
  <c r="B153" i="32"/>
  <c r="K93" i="32"/>
  <c r="I93" i="32"/>
  <c r="G93" i="32"/>
  <c r="K92" i="32"/>
  <c r="I92" i="32"/>
  <c r="G92" i="32"/>
  <c r="K91" i="32"/>
  <c r="I91" i="32"/>
  <c r="G91" i="32"/>
  <c r="K90" i="32"/>
  <c r="I90" i="32"/>
  <c r="G90" i="32"/>
  <c r="K89" i="32"/>
  <c r="I89" i="32"/>
  <c r="G89" i="32"/>
  <c r="K88" i="32"/>
  <c r="I88" i="32"/>
  <c r="G88" i="32"/>
  <c r="K87" i="32"/>
  <c r="I87" i="32"/>
  <c r="G87" i="32"/>
  <c r="K86" i="32"/>
  <c r="I86" i="32"/>
  <c r="G86" i="32"/>
  <c r="K85" i="32"/>
  <c r="I85" i="32"/>
  <c r="G85" i="32"/>
  <c r="K84" i="32"/>
  <c r="I84" i="32"/>
  <c r="G84" i="32"/>
  <c r="K83" i="32"/>
  <c r="I83" i="32"/>
  <c r="G83" i="32"/>
  <c r="K82" i="32"/>
  <c r="I82" i="32"/>
  <c r="G82" i="32"/>
  <c r="B152" i="32"/>
  <c r="K81" i="32"/>
  <c r="I81" i="32"/>
  <c r="G81" i="32"/>
  <c r="K80" i="32"/>
  <c r="I80" i="32"/>
  <c r="G80" i="32"/>
  <c r="K79" i="32"/>
  <c r="I79" i="32"/>
  <c r="G79" i="32"/>
  <c r="K78" i="32"/>
  <c r="I78" i="32"/>
  <c r="G78" i="32"/>
  <c r="K77" i="32"/>
  <c r="I77" i="32"/>
  <c r="G77" i="32"/>
  <c r="K76" i="32"/>
  <c r="I76" i="32"/>
  <c r="G76" i="32"/>
  <c r="K75" i="32"/>
  <c r="I75" i="32"/>
  <c r="G75" i="32"/>
  <c r="K74" i="32"/>
  <c r="I74" i="32"/>
  <c r="G74" i="32"/>
  <c r="K73" i="32"/>
  <c r="I73" i="32"/>
  <c r="G73" i="32"/>
  <c r="K72" i="32"/>
  <c r="I72" i="32"/>
  <c r="G72" i="32"/>
  <c r="K71" i="32"/>
  <c r="I71" i="32"/>
  <c r="G71" i="32"/>
  <c r="K70" i="32"/>
  <c r="I70" i="32"/>
  <c r="G70" i="32"/>
  <c r="B151" i="32"/>
  <c r="K69" i="32"/>
  <c r="I69" i="32"/>
  <c r="G69" i="32"/>
  <c r="K68" i="32"/>
  <c r="I68" i="32"/>
  <c r="G68" i="32"/>
  <c r="K67" i="32"/>
  <c r="I67" i="32"/>
  <c r="G67" i="32"/>
  <c r="K66" i="32"/>
  <c r="I66" i="32"/>
  <c r="G66" i="32"/>
  <c r="K65" i="32"/>
  <c r="I65" i="32"/>
  <c r="G65" i="32"/>
  <c r="K64" i="32"/>
  <c r="I64" i="32"/>
  <c r="G64" i="32"/>
  <c r="K63" i="32"/>
  <c r="I63" i="32"/>
  <c r="G63" i="32"/>
  <c r="K62" i="32"/>
  <c r="I62" i="32"/>
  <c r="G62" i="32"/>
  <c r="K61" i="32"/>
  <c r="I61" i="32"/>
  <c r="G61" i="32"/>
  <c r="K60" i="32"/>
  <c r="I60" i="32"/>
  <c r="G60" i="32"/>
  <c r="K59" i="32"/>
  <c r="I59" i="32"/>
  <c r="G59" i="32"/>
  <c r="K58" i="32"/>
  <c r="I58" i="32"/>
  <c r="G58" i="32"/>
  <c r="B150" i="32"/>
  <c r="K57" i="32"/>
  <c r="I57" i="32"/>
  <c r="G57" i="32"/>
  <c r="K56" i="32"/>
  <c r="I56" i="32"/>
  <c r="G56" i="32"/>
  <c r="K55" i="32"/>
  <c r="I55" i="32"/>
  <c r="G55" i="32"/>
  <c r="K54" i="32"/>
  <c r="I54" i="32"/>
  <c r="G54" i="32"/>
  <c r="K53" i="32"/>
  <c r="I53" i="32"/>
  <c r="G53" i="32"/>
  <c r="K52" i="32"/>
  <c r="I52" i="32"/>
  <c r="G52" i="32"/>
  <c r="K51" i="32"/>
  <c r="I51" i="32"/>
  <c r="G51" i="32"/>
  <c r="K50" i="32"/>
  <c r="I50" i="32"/>
  <c r="G50" i="32"/>
  <c r="K49" i="32"/>
  <c r="I49" i="32"/>
  <c r="G49" i="32"/>
  <c r="K48" i="32"/>
  <c r="I48" i="32"/>
  <c r="G48" i="32"/>
  <c r="K47" i="32"/>
  <c r="I47" i="32"/>
  <c r="G47" i="32"/>
  <c r="K46" i="32"/>
  <c r="I46" i="32"/>
  <c r="G46" i="32"/>
  <c r="B149" i="32"/>
  <c r="K45" i="32"/>
  <c r="I45" i="32"/>
  <c r="G45" i="32"/>
  <c r="K44" i="32"/>
  <c r="I44" i="32"/>
  <c r="G44" i="32"/>
  <c r="K43" i="32"/>
  <c r="I43" i="32"/>
  <c r="G43" i="32"/>
  <c r="K42" i="32"/>
  <c r="I42" i="32"/>
  <c r="G42" i="32"/>
  <c r="K41" i="32"/>
  <c r="I41" i="32"/>
  <c r="G41" i="32"/>
  <c r="K40" i="32"/>
  <c r="I40" i="32"/>
  <c r="G40" i="32"/>
  <c r="K39" i="32"/>
  <c r="I39" i="32"/>
  <c r="G39" i="32"/>
  <c r="K38" i="32"/>
  <c r="I38" i="32"/>
  <c r="G38" i="32"/>
  <c r="K37" i="32"/>
  <c r="I37" i="32"/>
  <c r="G37" i="32"/>
  <c r="K36" i="32"/>
  <c r="I36" i="32"/>
  <c r="G36" i="32"/>
  <c r="K35" i="32"/>
  <c r="I35" i="32"/>
  <c r="G35" i="32"/>
  <c r="K34" i="32"/>
  <c r="I34" i="32"/>
  <c r="G34" i="32"/>
  <c r="B148" i="32"/>
  <c r="K33" i="32"/>
  <c r="I33" i="32"/>
  <c r="G33" i="32"/>
  <c r="K32" i="32"/>
  <c r="I32" i="32"/>
  <c r="G32" i="32"/>
  <c r="K31" i="32"/>
  <c r="I31" i="32"/>
  <c r="G31" i="32"/>
  <c r="K30" i="32"/>
  <c r="I30" i="32"/>
  <c r="G30" i="32"/>
  <c r="K29" i="32"/>
  <c r="I29" i="32"/>
  <c r="G29" i="32"/>
  <c r="K28" i="32"/>
  <c r="I28" i="32"/>
  <c r="G28" i="32"/>
  <c r="K27" i="32"/>
  <c r="I27" i="32"/>
  <c r="G27" i="32"/>
  <c r="K26" i="32"/>
  <c r="I26" i="32"/>
  <c r="G26" i="32"/>
  <c r="K25" i="32"/>
  <c r="I25" i="32"/>
  <c r="G25" i="32"/>
  <c r="K24" i="32"/>
  <c r="I24" i="32"/>
  <c r="G24" i="32"/>
  <c r="K23" i="32"/>
  <c r="I23" i="32"/>
  <c r="G23" i="32"/>
  <c r="K22" i="32"/>
  <c r="I22" i="32"/>
  <c r="G22" i="32"/>
  <c r="B147" i="32"/>
  <c r="K21" i="32"/>
  <c r="I21" i="32"/>
  <c r="G21" i="32"/>
  <c r="K20" i="32"/>
  <c r="I20" i="32"/>
  <c r="G20" i="32"/>
  <c r="K19" i="32"/>
  <c r="I19" i="32"/>
  <c r="G19" i="32"/>
  <c r="K18" i="32"/>
  <c r="I18" i="32"/>
  <c r="G18" i="32"/>
  <c r="K17" i="32"/>
  <c r="I17" i="32"/>
  <c r="G17" i="32"/>
  <c r="K16" i="32"/>
  <c r="I16" i="32"/>
  <c r="G16" i="32"/>
  <c r="K15" i="32"/>
  <c r="I15" i="32"/>
  <c r="G15" i="32"/>
  <c r="K14" i="32"/>
  <c r="I14" i="32"/>
  <c r="G14" i="32"/>
  <c r="K13" i="32"/>
  <c r="I13" i="32"/>
  <c r="G13" i="32"/>
  <c r="K12" i="32"/>
  <c r="I12" i="32"/>
  <c r="G12" i="32"/>
  <c r="K11" i="32"/>
  <c r="I11" i="32"/>
  <c r="G11" i="32"/>
  <c r="L10" i="32"/>
  <c r="K10" i="32"/>
  <c r="I10" i="32"/>
  <c r="G10" i="32"/>
  <c r="L9" i="32"/>
  <c r="K9" i="32"/>
  <c r="J9" i="32"/>
  <c r="I9" i="32"/>
  <c r="G9" i="32"/>
  <c r="L8" i="32"/>
  <c r="K8" i="32"/>
  <c r="J8" i="32"/>
  <c r="I8" i="32"/>
  <c r="G8" i="32"/>
  <c r="L7" i="32"/>
  <c r="K7" i="32"/>
  <c r="J7" i="32"/>
  <c r="I7" i="32"/>
  <c r="G7" i="32"/>
  <c r="L6" i="32"/>
  <c r="K6" i="32"/>
  <c r="J6" i="32"/>
  <c r="I6" i="32"/>
  <c r="G6" i="32"/>
  <c r="L5" i="32"/>
  <c r="K5" i="32"/>
  <c r="J5" i="32"/>
  <c r="I5" i="32"/>
  <c r="G5" i="32"/>
  <c r="L4" i="32"/>
  <c r="K4" i="32"/>
  <c r="J4" i="32"/>
  <c r="I4" i="32"/>
  <c r="G4" i="32"/>
  <c r="L3" i="32"/>
  <c r="K3" i="32"/>
  <c r="J3" i="32"/>
  <c r="I3" i="32"/>
  <c r="G3" i="32"/>
  <c r="K190" i="31"/>
  <c r="J190" i="31"/>
  <c r="I190" i="31"/>
  <c r="K189" i="31"/>
  <c r="J189" i="31"/>
  <c r="I189" i="31"/>
  <c r="K188" i="31"/>
  <c r="J188" i="31"/>
  <c r="I188" i="31"/>
  <c r="K187" i="31"/>
  <c r="J187" i="31"/>
  <c r="I187" i="31"/>
  <c r="K186" i="31"/>
  <c r="J186" i="31"/>
  <c r="I186" i="31"/>
  <c r="K185" i="31"/>
  <c r="J185" i="31"/>
  <c r="I185" i="31"/>
  <c r="K184" i="31"/>
  <c r="J184" i="31"/>
  <c r="I184" i="31"/>
  <c r="K183" i="31"/>
  <c r="J183" i="31"/>
  <c r="I183" i="31"/>
  <c r="K182" i="31"/>
  <c r="J182" i="31"/>
  <c r="I182" i="31"/>
  <c r="K181" i="31"/>
  <c r="J181" i="31"/>
  <c r="I181" i="31"/>
  <c r="K180" i="31"/>
  <c r="J180" i="31"/>
  <c r="I180" i="31"/>
  <c r="K179" i="31"/>
  <c r="J179" i="31"/>
  <c r="I179" i="31"/>
  <c r="K176" i="31"/>
  <c r="J176" i="31"/>
  <c r="I176" i="31"/>
  <c r="K175" i="31"/>
  <c r="J175" i="31"/>
  <c r="I175" i="31"/>
  <c r="K174" i="31"/>
  <c r="J174" i="31"/>
  <c r="I174" i="31"/>
  <c r="K173" i="31"/>
  <c r="J173" i="31"/>
  <c r="I173" i="31"/>
  <c r="K172" i="31"/>
  <c r="J172" i="31"/>
  <c r="I172" i="31"/>
  <c r="K171" i="31"/>
  <c r="J171" i="31"/>
  <c r="I171" i="31"/>
  <c r="K170" i="31"/>
  <c r="J170" i="31"/>
  <c r="I170" i="31"/>
  <c r="K169" i="31"/>
  <c r="J169" i="31"/>
  <c r="I169" i="31"/>
  <c r="K168" i="31"/>
  <c r="J168" i="31"/>
  <c r="I168" i="31"/>
  <c r="K167" i="31"/>
  <c r="J167" i="31"/>
  <c r="I167" i="31"/>
  <c r="K166" i="31"/>
  <c r="J166" i="31"/>
  <c r="I166" i="31"/>
  <c r="K165" i="31"/>
  <c r="J165" i="31"/>
  <c r="I165" i="31"/>
  <c r="K141" i="31"/>
  <c r="J141" i="31"/>
  <c r="I141" i="31"/>
  <c r="K140" i="31"/>
  <c r="J140" i="31"/>
  <c r="I140" i="31"/>
  <c r="K139" i="31"/>
  <c r="J139" i="31"/>
  <c r="I139" i="31"/>
  <c r="K138" i="31"/>
  <c r="J138" i="31"/>
  <c r="I138" i="31"/>
  <c r="K137" i="31"/>
  <c r="J137" i="31"/>
  <c r="I137" i="31"/>
  <c r="K136" i="31"/>
  <c r="J136" i="31"/>
  <c r="I136" i="31"/>
  <c r="K135" i="31"/>
  <c r="J135" i="31"/>
  <c r="I135" i="31"/>
  <c r="K134" i="31"/>
  <c r="J134" i="31"/>
  <c r="I134" i="31"/>
  <c r="K133" i="31"/>
  <c r="J133" i="31"/>
  <c r="I133" i="31"/>
  <c r="K132" i="31"/>
  <c r="J132" i="31"/>
  <c r="I132" i="31"/>
  <c r="K131" i="31"/>
  <c r="J131" i="31"/>
  <c r="I131" i="31"/>
  <c r="K130" i="31"/>
  <c r="J130" i="31"/>
  <c r="I130" i="31"/>
  <c r="J129" i="31"/>
  <c r="I129" i="31"/>
  <c r="J128" i="31"/>
  <c r="I128" i="31"/>
  <c r="J127" i="31"/>
  <c r="I127" i="31"/>
  <c r="J126" i="31"/>
  <c r="I126" i="31"/>
  <c r="J125" i="31"/>
  <c r="I125" i="31"/>
  <c r="J124" i="31"/>
  <c r="I124" i="31"/>
  <c r="J123" i="31"/>
  <c r="I123" i="31"/>
  <c r="J122" i="31"/>
  <c r="I122" i="31"/>
  <c r="J121" i="31"/>
  <c r="I121" i="31"/>
  <c r="J120" i="31"/>
  <c r="I120" i="31"/>
  <c r="I119" i="31"/>
  <c r="J118" i="31"/>
  <c r="I118" i="31"/>
  <c r="J117" i="31"/>
  <c r="I117" i="31"/>
  <c r="J116" i="31"/>
  <c r="I116" i="31"/>
  <c r="J115" i="31"/>
  <c r="I115" i="31"/>
  <c r="J114" i="31"/>
  <c r="I114" i="31"/>
  <c r="J113" i="31"/>
  <c r="I113" i="31"/>
  <c r="J112" i="31"/>
  <c r="I112" i="31"/>
  <c r="J111" i="31"/>
  <c r="I111" i="31"/>
  <c r="J110" i="31"/>
  <c r="I110" i="31"/>
  <c r="J109" i="31"/>
  <c r="I109" i="31"/>
  <c r="J108" i="31"/>
  <c r="I108" i="31"/>
  <c r="J107" i="31"/>
  <c r="I107" i="31"/>
  <c r="J106" i="31"/>
  <c r="I106" i="31"/>
  <c r="J105" i="31"/>
  <c r="I105" i="31"/>
  <c r="J104" i="31"/>
  <c r="I104" i="31"/>
  <c r="J103" i="31"/>
  <c r="I103" i="31"/>
  <c r="J102" i="31"/>
  <c r="I102" i="31"/>
  <c r="J101" i="31"/>
  <c r="I101" i="31"/>
  <c r="J100" i="31"/>
  <c r="I100" i="31"/>
  <c r="J99" i="31"/>
  <c r="I99" i="31"/>
  <c r="J98" i="31"/>
  <c r="I98" i="31"/>
  <c r="J97" i="31"/>
  <c r="I97" i="31"/>
  <c r="J96" i="31"/>
  <c r="I96" i="31"/>
  <c r="J95" i="31"/>
  <c r="I95" i="31"/>
  <c r="J94" i="31"/>
  <c r="I94" i="31"/>
  <c r="J93" i="31"/>
  <c r="I93" i="31"/>
  <c r="J92" i="31"/>
  <c r="I92" i="31"/>
  <c r="J91" i="31"/>
  <c r="I91" i="31"/>
  <c r="J90" i="31"/>
  <c r="I90" i="31"/>
  <c r="J89" i="31"/>
  <c r="I89" i="31"/>
  <c r="J88" i="31"/>
  <c r="I88" i="31"/>
  <c r="J87" i="31"/>
  <c r="I87" i="31"/>
  <c r="J86" i="31"/>
  <c r="I86" i="31"/>
  <c r="J85" i="31"/>
  <c r="I85" i="31"/>
  <c r="J84" i="31"/>
  <c r="I84" i="31"/>
  <c r="J83" i="31"/>
  <c r="I83" i="31"/>
  <c r="J82" i="31"/>
  <c r="I82" i="31"/>
  <c r="J81" i="31"/>
  <c r="I81" i="31"/>
  <c r="J80" i="31"/>
  <c r="I80" i="31"/>
  <c r="J79" i="31"/>
  <c r="I79" i="31"/>
  <c r="J78" i="31"/>
  <c r="I78" i="31"/>
  <c r="J77" i="31"/>
  <c r="I77" i="31"/>
  <c r="J76" i="31"/>
  <c r="I76" i="31"/>
  <c r="J75" i="31"/>
  <c r="I75" i="31"/>
  <c r="J74" i="31"/>
  <c r="I74" i="31"/>
  <c r="J73" i="31"/>
  <c r="I73" i="31"/>
  <c r="J72" i="31"/>
  <c r="I72" i="31"/>
  <c r="J71" i="31"/>
  <c r="I71" i="31"/>
  <c r="J70" i="31"/>
  <c r="I70" i="31"/>
  <c r="J69" i="31"/>
  <c r="I69" i="31"/>
  <c r="J68" i="31"/>
  <c r="I68" i="31"/>
  <c r="J67" i="31"/>
  <c r="I67" i="31"/>
  <c r="J66" i="31"/>
  <c r="I66" i="31"/>
  <c r="J65" i="31"/>
  <c r="I65" i="31"/>
  <c r="J64" i="31"/>
  <c r="I64" i="31"/>
  <c r="J63" i="31"/>
  <c r="I63" i="31"/>
  <c r="J62" i="31"/>
  <c r="I62" i="31"/>
  <c r="J61" i="31"/>
  <c r="I61" i="31"/>
  <c r="J60" i="31"/>
  <c r="I60" i="31"/>
  <c r="J59" i="31"/>
  <c r="I59" i="31"/>
  <c r="J58" i="31"/>
  <c r="I58" i="31"/>
  <c r="J57" i="31"/>
  <c r="I57" i="31"/>
  <c r="J56" i="31"/>
  <c r="I56" i="31"/>
  <c r="J55" i="31"/>
  <c r="I55" i="31"/>
  <c r="J54" i="31"/>
  <c r="I54" i="31"/>
  <c r="J53" i="31"/>
  <c r="I53" i="31"/>
  <c r="J52" i="31"/>
  <c r="I52" i="31"/>
  <c r="J51" i="31"/>
  <c r="I51" i="31"/>
  <c r="J50" i="31"/>
  <c r="I50" i="31"/>
  <c r="J49" i="31"/>
  <c r="I49" i="31"/>
  <c r="J48" i="31"/>
  <c r="I48" i="31"/>
  <c r="J47" i="31"/>
  <c r="I47" i="31"/>
  <c r="J46" i="31"/>
  <c r="I46" i="31"/>
  <c r="J45" i="31"/>
  <c r="I45" i="31"/>
  <c r="J44" i="31"/>
  <c r="I44" i="31"/>
  <c r="J43" i="31"/>
  <c r="I43" i="31"/>
  <c r="J42" i="31"/>
  <c r="I42" i="31"/>
  <c r="J41" i="31"/>
  <c r="I41" i="31"/>
  <c r="J40" i="31"/>
  <c r="I40" i="31"/>
  <c r="J39" i="31"/>
  <c r="I39" i="31"/>
  <c r="J38" i="31"/>
  <c r="I38" i="31"/>
  <c r="J37" i="31"/>
  <c r="I37" i="31"/>
  <c r="J36" i="31"/>
  <c r="I36" i="31"/>
  <c r="J35" i="31"/>
  <c r="I35" i="31"/>
  <c r="J34" i="31"/>
  <c r="I34" i="31"/>
  <c r="J33" i="31"/>
  <c r="I33" i="31"/>
  <c r="J32" i="31"/>
  <c r="I32" i="31"/>
  <c r="J31" i="31"/>
  <c r="I31" i="31"/>
  <c r="J30" i="31"/>
  <c r="I30" i="31"/>
  <c r="J29" i="31"/>
  <c r="I29" i="31"/>
  <c r="J28" i="31"/>
  <c r="I28" i="31"/>
  <c r="J27" i="31"/>
  <c r="I27" i="31"/>
  <c r="J26" i="31"/>
  <c r="I26" i="31"/>
  <c r="J25" i="31"/>
  <c r="I25" i="31"/>
  <c r="J24" i="31"/>
  <c r="I24" i="31"/>
  <c r="J23" i="31"/>
  <c r="I23" i="31"/>
  <c r="J22" i="31"/>
  <c r="I22" i="31"/>
  <c r="J21" i="31"/>
  <c r="I21" i="31"/>
  <c r="J20" i="31"/>
  <c r="I20" i="31"/>
  <c r="J19" i="31"/>
  <c r="I19" i="31"/>
  <c r="J18" i="31"/>
  <c r="I18" i="31"/>
  <c r="J17" i="31"/>
  <c r="I17" i="31"/>
  <c r="J16" i="31"/>
  <c r="I16" i="31"/>
  <c r="J15" i="31"/>
  <c r="I15" i="31"/>
  <c r="J14" i="31"/>
  <c r="I14" i="31"/>
  <c r="J13" i="31"/>
  <c r="I13" i="31"/>
  <c r="J12" i="31"/>
  <c r="I12" i="31"/>
  <c r="J11" i="31"/>
  <c r="I11" i="31"/>
  <c r="L10" i="31"/>
  <c r="J10" i="31"/>
  <c r="I10" i="31"/>
  <c r="L9" i="31"/>
  <c r="K9" i="31"/>
  <c r="J9" i="31"/>
  <c r="I9" i="31"/>
  <c r="L8" i="31"/>
  <c r="K8" i="31"/>
  <c r="J8" i="31"/>
  <c r="I8" i="31"/>
  <c r="L7" i="31"/>
  <c r="K7" i="31"/>
  <c r="J7" i="31"/>
  <c r="I7" i="31"/>
  <c r="L6" i="31"/>
  <c r="K6" i="31"/>
  <c r="J6" i="31"/>
  <c r="I6" i="31"/>
  <c r="L5" i="31"/>
  <c r="K5" i="31"/>
  <c r="J5" i="31"/>
  <c r="I5" i="31"/>
  <c r="L4" i="31"/>
  <c r="K4" i="31"/>
  <c r="J4" i="31"/>
  <c r="I4" i="31"/>
  <c r="L3" i="31"/>
  <c r="K3" i="31"/>
  <c r="J3" i="31"/>
  <c r="I3" i="31"/>
  <c r="E82" i="23" l="1"/>
  <c r="B150" i="33"/>
  <c r="N150" i="33" s="1"/>
  <c r="O150" i="33" s="1"/>
  <c r="B146" i="33"/>
  <c r="N146" i="33" s="1"/>
  <c r="O146" i="33" s="1"/>
  <c r="M15" i="31"/>
  <c r="M17" i="31"/>
  <c r="M19" i="31"/>
  <c r="M21" i="31"/>
  <c r="M23" i="31"/>
  <c r="M27" i="31"/>
  <c r="M31" i="31"/>
  <c r="M33" i="31"/>
  <c r="M35" i="31"/>
  <c r="M37" i="31"/>
  <c r="M39" i="31"/>
  <c r="M43" i="31"/>
  <c r="M47" i="31"/>
  <c r="M49" i="31"/>
  <c r="M51" i="31"/>
  <c r="M53" i="31"/>
  <c r="M55" i="31"/>
  <c r="M59" i="31"/>
  <c r="M63" i="31"/>
  <c r="M65" i="31"/>
  <c r="M67" i="31"/>
  <c r="M69" i="31"/>
  <c r="M71" i="31"/>
  <c r="M75" i="31"/>
  <c r="M79" i="31"/>
  <c r="M81" i="31"/>
  <c r="M83" i="31"/>
  <c r="M85" i="31"/>
  <c r="M87" i="31"/>
  <c r="M91" i="31"/>
  <c r="M95" i="31"/>
  <c r="M97" i="31"/>
  <c r="M99" i="31"/>
  <c r="M101" i="31"/>
  <c r="M103" i="31"/>
  <c r="M107" i="31"/>
  <c r="M111" i="31"/>
  <c r="M113" i="31"/>
  <c r="M115" i="31"/>
  <c r="M117" i="31"/>
  <c r="B152" i="33"/>
  <c r="N152" i="33" s="1"/>
  <c r="O152" i="33" s="1"/>
  <c r="B149" i="33"/>
  <c r="N149" i="33" s="1"/>
  <c r="O149" i="33" s="1"/>
  <c r="B148" i="33"/>
  <c r="N148" i="33" s="1"/>
  <c r="O148" i="33" s="1"/>
  <c r="C127" i="33"/>
  <c r="C139" i="33" s="1"/>
  <c r="C123" i="33"/>
  <c r="C135" i="33" s="1"/>
  <c r="B145" i="32"/>
  <c r="B146" i="32"/>
  <c r="B151" i="33"/>
  <c r="N151" i="33" s="1"/>
  <c r="O151" i="33" s="1"/>
  <c r="B147" i="33"/>
  <c r="N147" i="33" s="1"/>
  <c r="O147" i="33" s="1"/>
  <c r="B145" i="33"/>
  <c r="N145" i="33" s="1"/>
  <c r="O145" i="33" s="1"/>
  <c r="D127" i="33"/>
  <c r="D139" i="33" s="1"/>
  <c r="B148" i="31"/>
  <c r="B152" i="31"/>
  <c r="B153" i="33"/>
  <c r="N153" i="33" s="1"/>
  <c r="O153" i="33" s="1"/>
  <c r="D123" i="33"/>
  <c r="D135" i="33" s="1"/>
  <c r="C122" i="33"/>
  <c r="C134" i="33" s="1"/>
  <c r="D128" i="33"/>
  <c r="D140" i="33" s="1"/>
  <c r="D124" i="33"/>
  <c r="D136" i="33" s="1"/>
  <c r="D120" i="33"/>
  <c r="D132" i="33" s="1"/>
  <c r="M18" i="31"/>
  <c r="M24" i="31"/>
  <c r="M28" i="31"/>
  <c r="M32" i="31"/>
  <c r="M36" i="31"/>
  <c r="M40" i="31"/>
  <c r="M44" i="31"/>
  <c r="M48" i="31"/>
  <c r="M52" i="31"/>
  <c r="M56" i="31"/>
  <c r="M60" i="31"/>
  <c r="M64" i="31"/>
  <c r="M68" i="31"/>
  <c r="M72" i="31"/>
  <c r="M76" i="31"/>
  <c r="M80" i="31"/>
  <c r="M84" i="31"/>
  <c r="M88" i="31"/>
  <c r="M92" i="31"/>
  <c r="M96" i="31"/>
  <c r="M98" i="31"/>
  <c r="M100" i="31"/>
  <c r="M104" i="31"/>
  <c r="M108" i="31"/>
  <c r="M112" i="31"/>
  <c r="M116" i="31"/>
  <c r="M21" i="32"/>
  <c r="D129" i="33"/>
  <c r="D141" i="33" s="1"/>
  <c r="C118" i="33"/>
  <c r="C130" i="33" s="1"/>
  <c r="M18" i="32"/>
  <c r="M27" i="32"/>
  <c r="M31" i="32"/>
  <c r="M35" i="32"/>
  <c r="M39" i="32"/>
  <c r="M43" i="32"/>
  <c r="M47" i="32"/>
  <c r="M51" i="32"/>
  <c r="M55" i="32"/>
  <c r="M59" i="32"/>
  <c r="M63" i="32"/>
  <c r="M67" i="32"/>
  <c r="M71" i="32"/>
  <c r="M75" i="32"/>
  <c r="M79" i="32"/>
  <c r="M83" i="32"/>
  <c r="M87" i="32"/>
  <c r="M91" i="32"/>
  <c r="M95" i="32"/>
  <c r="M99" i="32"/>
  <c r="M103" i="32"/>
  <c r="M107" i="32"/>
  <c r="M111" i="32"/>
  <c r="M115" i="32"/>
  <c r="M123" i="32"/>
  <c r="M127" i="32"/>
  <c r="C121" i="33"/>
  <c r="C133" i="33" s="1"/>
  <c r="M16" i="32"/>
  <c r="C120" i="33"/>
  <c r="C132" i="33" s="1"/>
  <c r="M6" i="32"/>
  <c r="M10" i="32"/>
  <c r="M25" i="32"/>
  <c r="C126" i="33"/>
  <c r="C138" i="33" s="1"/>
  <c r="D119" i="33"/>
  <c r="D131" i="33" s="1"/>
  <c r="C128" i="33"/>
  <c r="C140" i="33" s="1"/>
  <c r="C124" i="33"/>
  <c r="C136" i="33" s="1"/>
  <c r="M26" i="32"/>
  <c r="M30" i="32"/>
  <c r="M20" i="32"/>
  <c r="M3" i="32"/>
  <c r="M7" i="32"/>
  <c r="M11" i="32"/>
  <c r="M13" i="32"/>
  <c r="M15" i="32"/>
  <c r="M119" i="32"/>
  <c r="M131" i="32"/>
  <c r="D125" i="33"/>
  <c r="D137" i="33" s="1"/>
  <c r="D121" i="33"/>
  <c r="D133" i="33" s="1"/>
  <c r="M22" i="32"/>
  <c r="M34" i="32"/>
  <c r="M38" i="32"/>
  <c r="M50" i="32"/>
  <c r="M58" i="32"/>
  <c r="M62" i="32"/>
  <c r="M70" i="32"/>
  <c r="M78" i="32"/>
  <c r="M86" i="32"/>
  <c r="M90" i="32"/>
  <c r="M98" i="32"/>
  <c r="M106" i="32"/>
  <c r="M110" i="32"/>
  <c r="D122" i="33"/>
  <c r="D134" i="33" s="1"/>
  <c r="M7" i="31"/>
  <c r="M134" i="31"/>
  <c r="M22" i="31"/>
  <c r="M26" i="31"/>
  <c r="M30" i="31"/>
  <c r="M34" i="31"/>
  <c r="M38" i="31"/>
  <c r="M42" i="31"/>
  <c r="M46" i="31"/>
  <c r="M50" i="31"/>
  <c r="M54" i="31"/>
  <c r="M58" i="31"/>
  <c r="M62" i="31"/>
  <c r="M66" i="31"/>
  <c r="M70" i="31"/>
  <c r="M74" i="31"/>
  <c r="M78" i="31"/>
  <c r="M82" i="31"/>
  <c r="M86" i="31"/>
  <c r="M90" i="31"/>
  <c r="M94" i="31"/>
  <c r="M102" i="31"/>
  <c r="M106" i="31"/>
  <c r="M110" i="31"/>
  <c r="M114" i="31"/>
  <c r="M4" i="32"/>
  <c r="M8" i="32"/>
  <c r="M12" i="32"/>
  <c r="M17" i="32"/>
  <c r="M23" i="32"/>
  <c r="M28" i="32"/>
  <c r="M32" i="32"/>
  <c r="M36" i="32"/>
  <c r="M40" i="32"/>
  <c r="M44" i="32"/>
  <c r="M48" i="32"/>
  <c r="M52" i="32"/>
  <c r="M56" i="32"/>
  <c r="M60" i="32"/>
  <c r="M64" i="32"/>
  <c r="M68" i="32"/>
  <c r="M72" i="32"/>
  <c r="M76" i="32"/>
  <c r="M80" i="32"/>
  <c r="M84" i="32"/>
  <c r="M88" i="32"/>
  <c r="M92" i="32"/>
  <c r="M96" i="32"/>
  <c r="M100" i="32"/>
  <c r="M104" i="32"/>
  <c r="M108" i="32"/>
  <c r="M112" i="32"/>
  <c r="M116" i="32"/>
  <c r="C119" i="33"/>
  <c r="C131" i="33" s="1"/>
  <c r="D118" i="33"/>
  <c r="D130" i="33" s="1"/>
  <c r="M42" i="32"/>
  <c r="M46" i="32"/>
  <c r="M54" i="32"/>
  <c r="M66" i="32"/>
  <c r="M74" i="32"/>
  <c r="M82" i="32"/>
  <c r="M94" i="32"/>
  <c r="M102" i="32"/>
  <c r="M114" i="32"/>
  <c r="D126" i="33"/>
  <c r="D138" i="33" s="1"/>
  <c r="M138" i="31"/>
  <c r="M14" i="32"/>
  <c r="M19" i="32"/>
  <c r="M24" i="32"/>
  <c r="M29" i="32"/>
  <c r="M33" i="32"/>
  <c r="M37" i="32"/>
  <c r="M41" i="32"/>
  <c r="M45" i="32"/>
  <c r="M49" i="32"/>
  <c r="M53" i="32"/>
  <c r="M57" i="32"/>
  <c r="M61" i="32"/>
  <c r="M65" i="32"/>
  <c r="M69" i="32"/>
  <c r="M73" i="32"/>
  <c r="M77" i="32"/>
  <c r="M81" i="32"/>
  <c r="M85" i="32"/>
  <c r="M89" i="32"/>
  <c r="M93" i="32"/>
  <c r="M97" i="32"/>
  <c r="M101" i="32"/>
  <c r="M105" i="32"/>
  <c r="M109" i="32"/>
  <c r="M113" i="32"/>
  <c r="M117" i="32"/>
  <c r="M122" i="32"/>
  <c r="M133" i="32"/>
  <c r="M121" i="32"/>
  <c r="M136" i="32"/>
  <c r="M124" i="32"/>
  <c r="M141" i="32"/>
  <c r="M129" i="32"/>
  <c r="M164" i="32"/>
  <c r="M172" i="32"/>
  <c r="M178" i="32"/>
  <c r="M186" i="32"/>
  <c r="M179" i="32"/>
  <c r="M183" i="32"/>
  <c r="M187" i="32"/>
  <c r="M132" i="32"/>
  <c r="M120" i="32"/>
  <c r="M134" i="32"/>
  <c r="M137" i="32"/>
  <c r="M125" i="32"/>
  <c r="M126" i="32"/>
  <c r="M140" i="32"/>
  <c r="M128" i="32"/>
  <c r="B158" i="32"/>
  <c r="M166" i="32"/>
  <c r="M170" i="32"/>
  <c r="M174" i="32"/>
  <c r="M180" i="32"/>
  <c r="M184" i="32"/>
  <c r="M188" i="32"/>
  <c r="M138" i="32"/>
  <c r="M168" i="32"/>
  <c r="M182" i="32"/>
  <c r="M135" i="32"/>
  <c r="M165" i="32"/>
  <c r="M169" i="32"/>
  <c r="M173" i="32"/>
  <c r="M5" i="32"/>
  <c r="M9" i="32"/>
  <c r="M130" i="32"/>
  <c r="M118" i="32"/>
  <c r="M139" i="32"/>
  <c r="M167" i="32"/>
  <c r="M171" i="32"/>
  <c r="M175" i="32"/>
  <c r="M181" i="32"/>
  <c r="M185" i="32"/>
  <c r="M189" i="32"/>
  <c r="M167" i="31"/>
  <c r="M181" i="31"/>
  <c r="M171" i="31"/>
  <c r="M185" i="31"/>
  <c r="M175" i="31"/>
  <c r="M189" i="31"/>
  <c r="M169" i="31"/>
  <c r="M173" i="31"/>
  <c r="M179" i="31"/>
  <c r="M183" i="31"/>
  <c r="M187" i="31"/>
  <c r="M6" i="31"/>
  <c r="M10" i="31"/>
  <c r="M11" i="31"/>
  <c r="M16" i="31"/>
  <c r="B147" i="31"/>
  <c r="M25" i="31"/>
  <c r="M41" i="31"/>
  <c r="M57" i="31"/>
  <c r="B151" i="31"/>
  <c r="M73" i="31"/>
  <c r="M89" i="31"/>
  <c r="M105" i="31"/>
  <c r="M166" i="31"/>
  <c r="M180" i="31"/>
  <c r="M170" i="31"/>
  <c r="M184" i="31"/>
  <c r="M188" i="31"/>
  <c r="M174" i="31"/>
  <c r="M165" i="31"/>
  <c r="M3" i="31"/>
  <c r="M5" i="31"/>
  <c r="M13" i="31"/>
  <c r="M20" i="31"/>
  <c r="M29" i="31"/>
  <c r="M45" i="31"/>
  <c r="B150" i="31"/>
  <c r="M61" i="31"/>
  <c r="M77" i="31"/>
  <c r="M93" i="31"/>
  <c r="B154" i="31"/>
  <c r="M109" i="31"/>
  <c r="M12" i="31"/>
  <c r="B145" i="31"/>
  <c r="M9" i="31"/>
  <c r="M132" i="31"/>
  <c r="B146" i="31"/>
  <c r="B149" i="31"/>
  <c r="B153" i="31"/>
  <c r="M120" i="31"/>
  <c r="M122" i="31"/>
  <c r="M168" i="31"/>
  <c r="M172" i="31"/>
  <c r="M176" i="31"/>
  <c r="M182" i="31"/>
  <c r="M186" i="31"/>
  <c r="M190" i="31"/>
  <c r="M4" i="31"/>
  <c r="M8" i="31"/>
  <c r="M14" i="31"/>
  <c r="B157" i="33" l="1"/>
  <c r="N157" i="33" s="1"/>
  <c r="E83" i="23"/>
  <c r="M136" i="31"/>
  <c r="M128" i="31"/>
  <c r="M140" i="31"/>
  <c r="M118" i="31"/>
  <c r="M124" i="31"/>
  <c r="M130" i="31"/>
  <c r="B158" i="31"/>
  <c r="M146" i="32"/>
  <c r="N146" i="32" s="1"/>
  <c r="O146" i="32" s="1"/>
  <c r="M126" i="31"/>
  <c r="M154" i="31"/>
  <c r="N154" i="31" s="1"/>
  <c r="O154" i="31" s="1"/>
  <c r="M152" i="32"/>
  <c r="N152" i="32" s="1"/>
  <c r="O152" i="32" s="1"/>
  <c r="M148" i="32"/>
  <c r="N148" i="32" s="1"/>
  <c r="O148" i="32" s="1"/>
  <c r="M149" i="32"/>
  <c r="N149" i="32" s="1"/>
  <c r="O149" i="32" s="1"/>
  <c r="M150" i="31"/>
  <c r="N150" i="31" s="1"/>
  <c r="O150" i="31" s="1"/>
  <c r="M154" i="32"/>
  <c r="N154" i="32" s="1"/>
  <c r="O154" i="32" s="1"/>
  <c r="M153" i="31"/>
  <c r="N153" i="31" s="1"/>
  <c r="O153" i="31" s="1"/>
  <c r="M151" i="32"/>
  <c r="N151" i="32" s="1"/>
  <c r="O151" i="32" s="1"/>
  <c r="M153" i="32"/>
  <c r="N153" i="32" s="1"/>
  <c r="O153" i="32" s="1"/>
  <c r="M151" i="31"/>
  <c r="N151" i="31" s="1"/>
  <c r="O151" i="31" s="1"/>
  <c r="M149" i="31"/>
  <c r="N149" i="31" s="1"/>
  <c r="O149" i="31" s="1"/>
  <c r="M150" i="32"/>
  <c r="N150" i="32" s="1"/>
  <c r="O150" i="32" s="1"/>
  <c r="M147" i="32"/>
  <c r="N147" i="32" s="1"/>
  <c r="O147" i="32" s="1"/>
  <c r="M147" i="31"/>
  <c r="N147" i="31" s="1"/>
  <c r="O147" i="31" s="1"/>
  <c r="M145" i="32"/>
  <c r="M152" i="31"/>
  <c r="N152" i="31" s="1"/>
  <c r="O152" i="31" s="1"/>
  <c r="M148" i="31"/>
  <c r="N148" i="31" s="1"/>
  <c r="O148" i="31" s="1"/>
  <c r="M156" i="32"/>
  <c r="M143" i="32"/>
  <c r="N175" i="32"/>
  <c r="N189" i="32"/>
  <c r="M155" i="32"/>
  <c r="M131" i="31"/>
  <c r="M119" i="31"/>
  <c r="M125" i="31"/>
  <c r="M137" i="31"/>
  <c r="M146" i="31"/>
  <c r="N146" i="31" s="1"/>
  <c r="O146" i="31" s="1"/>
  <c r="M121" i="31"/>
  <c r="M133" i="31"/>
  <c r="M139" i="31"/>
  <c r="M127" i="31"/>
  <c r="M145" i="31"/>
  <c r="N190" i="31"/>
  <c r="M135" i="31"/>
  <c r="M123" i="31"/>
  <c r="M129" i="31"/>
  <c r="M141" i="31"/>
  <c r="N176" i="31"/>
  <c r="E84" i="23" l="1"/>
  <c r="M160" i="32"/>
  <c r="N160" i="32" s="1"/>
  <c r="M158" i="32"/>
  <c r="N158" i="32" s="1"/>
  <c r="M156" i="31"/>
  <c r="N145" i="32"/>
  <c r="O145" i="32" s="1"/>
  <c r="M155" i="31"/>
  <c r="M158" i="31"/>
  <c r="N158" i="31" s="1"/>
  <c r="N145" i="31"/>
  <c r="O145" i="31" s="1"/>
  <c r="M143" i="31"/>
  <c r="E85" i="23" l="1"/>
  <c r="M160" i="31"/>
  <c r="N160" i="31" s="1"/>
  <c r="E86" i="23" l="1"/>
  <c r="C47" i="30"/>
  <c r="C46" i="30"/>
  <c r="C45" i="30"/>
  <c r="C44" i="30"/>
  <c r="C43" i="30"/>
  <c r="A4" i="30"/>
  <c r="A15" i="30" s="1"/>
  <c r="A25" i="30" s="1"/>
  <c r="A3" i="30"/>
  <c r="A14" i="30" s="1"/>
  <c r="A24" i="30" s="1"/>
  <c r="A2" i="30"/>
  <c r="A13" i="30" s="1"/>
  <c r="A23" i="30" s="1"/>
  <c r="C44" i="29"/>
  <c r="C45" i="29"/>
  <c r="C46" i="29"/>
  <c r="C47" i="29"/>
  <c r="C48" i="29"/>
  <c r="C43" i="29"/>
  <c r="A16" i="29"/>
  <c r="A26" i="29" s="1"/>
  <c r="A15" i="29"/>
  <c r="A25" i="29" s="1"/>
  <c r="A14" i="29"/>
  <c r="A24" i="29" s="1"/>
  <c r="A13" i="29"/>
  <c r="A23" i="29" s="1"/>
  <c r="K36" i="11"/>
  <c r="K21" i="11"/>
  <c r="K8" i="11"/>
  <c r="K9" i="11" s="1"/>
  <c r="A18" i="9"/>
  <c r="A36" i="9" s="1"/>
  <c r="A35" i="30" l="1"/>
  <c r="A45" i="30" s="1"/>
  <c r="A55" i="30" s="1"/>
  <c r="A65" i="30" s="1"/>
  <c r="I25" i="30"/>
  <c r="A34" i="30"/>
  <c r="A44" i="30" s="1"/>
  <c r="A54" i="30" s="1"/>
  <c r="A64" i="30" s="1"/>
  <c r="I24" i="30"/>
  <c r="A33" i="29"/>
  <c r="A43" i="29" s="1"/>
  <c r="A53" i="29" s="1"/>
  <c r="A63" i="29" s="1"/>
  <c r="I23" i="29"/>
  <c r="A36" i="29"/>
  <c r="A46" i="29" s="1"/>
  <c r="A56" i="29" s="1"/>
  <c r="A66" i="29" s="1"/>
  <c r="I26" i="29"/>
  <c r="A34" i="29"/>
  <c r="A44" i="29" s="1"/>
  <c r="A54" i="29" s="1"/>
  <c r="A64" i="29" s="1"/>
  <c r="I24" i="29"/>
  <c r="A35" i="29"/>
  <c r="A45" i="29" s="1"/>
  <c r="A55" i="29" s="1"/>
  <c r="A65" i="29" s="1"/>
  <c r="I25" i="29"/>
  <c r="A33" i="30"/>
  <c r="A43" i="30" s="1"/>
  <c r="A53" i="30" s="1"/>
  <c r="A63" i="30" s="1"/>
  <c r="I23" i="30"/>
  <c r="G343" i="24"/>
  <c r="K37" i="11"/>
  <c r="G328" i="24"/>
  <c r="K23" i="11"/>
  <c r="K40" i="11"/>
  <c r="E87" i="23"/>
  <c r="U20" i="27"/>
  <c r="T20" i="27"/>
  <c r="S20" i="27"/>
  <c r="R20" i="27"/>
  <c r="O20" i="27"/>
  <c r="N20" i="27"/>
  <c r="M20" i="27"/>
  <c r="L20" i="27"/>
  <c r="K20" i="27"/>
  <c r="J20" i="27"/>
  <c r="I20" i="27"/>
  <c r="H20" i="27"/>
  <c r="G347" i="24" l="1"/>
  <c r="G87" i="23"/>
  <c r="F9" i="23" s="1"/>
  <c r="G9" i="23" s="1"/>
  <c r="E88" i="23" s="1"/>
  <c r="F87" i="23"/>
  <c r="D357" i="24"/>
  <c r="D351" i="24"/>
  <c r="D338" i="24"/>
  <c r="D333" i="24"/>
  <c r="D328" i="24"/>
  <c r="D324" i="24"/>
  <c r="D320" i="24"/>
  <c r="G255" i="24"/>
  <c r="G275" i="24" s="1"/>
  <c r="G304" i="24" s="1"/>
  <c r="B240" i="24"/>
  <c r="F223" i="24"/>
  <c r="D126" i="24"/>
  <c r="D127" i="24"/>
  <c r="D128" i="24"/>
  <c r="D129" i="24"/>
  <c r="D130" i="24"/>
  <c r="D131" i="24"/>
  <c r="G188" i="19"/>
  <c r="H188" i="19"/>
  <c r="K188" i="19"/>
  <c r="G189" i="19"/>
  <c r="H189" i="19"/>
  <c r="K189" i="19"/>
  <c r="G190" i="19"/>
  <c r="H190" i="19"/>
  <c r="K190" i="19"/>
  <c r="G191" i="19"/>
  <c r="H191" i="19"/>
  <c r="K191" i="19"/>
  <c r="G192" i="19"/>
  <c r="H192" i="19"/>
  <c r="K192" i="19"/>
  <c r="G193" i="19"/>
  <c r="H193" i="19"/>
  <c r="K193" i="19"/>
  <c r="G194" i="19"/>
  <c r="H194" i="19"/>
  <c r="K194" i="19"/>
  <c r="G195" i="19"/>
  <c r="H195" i="19"/>
  <c r="K195" i="19"/>
  <c r="G196" i="19"/>
  <c r="H196" i="19"/>
  <c r="K196" i="19"/>
  <c r="G197" i="19"/>
  <c r="H197" i="19"/>
  <c r="K197" i="19"/>
  <c r="G198" i="19"/>
  <c r="H198" i="19"/>
  <c r="K198" i="19"/>
  <c r="H187" i="19"/>
  <c r="K187" i="19"/>
  <c r="G187" i="19"/>
  <c r="F192" i="19"/>
  <c r="F193" i="19"/>
  <c r="F194" i="19"/>
  <c r="F195" i="19"/>
  <c r="F196" i="19"/>
  <c r="F197" i="19"/>
  <c r="F198" i="19"/>
  <c r="A80" i="24"/>
  <c r="A81" i="24"/>
  <c r="E144" i="24"/>
  <c r="E158" i="24" s="1"/>
  <c r="E173" i="24" s="1"/>
  <c r="E179" i="24" s="1"/>
  <c r="E193" i="24" s="1"/>
  <c r="E208" i="24" s="1"/>
  <c r="F144" i="24"/>
  <c r="F158" i="24" s="1"/>
  <c r="F173" i="24" s="1"/>
  <c r="F179" i="24" s="1"/>
  <c r="F193" i="24" s="1"/>
  <c r="F208" i="24" s="1"/>
  <c r="I144" i="24"/>
  <c r="I158" i="24" s="1"/>
  <c r="I173" i="24" s="1"/>
  <c r="I179" i="24" s="1"/>
  <c r="I193" i="24" s="1"/>
  <c r="I208" i="24" s="1"/>
  <c r="D343" i="24"/>
  <c r="D323" i="24"/>
  <c r="D319" i="24"/>
  <c r="A205" i="24"/>
  <c r="A154" i="24"/>
  <c r="A168" i="24" s="1"/>
  <c r="A153" i="24"/>
  <c r="A167" i="24" s="1"/>
  <c r="A188" i="24" s="1"/>
  <c r="A202" i="24" s="1"/>
  <c r="A284" i="24" s="1"/>
  <c r="A298" i="24" s="1"/>
  <c r="A152" i="24"/>
  <c r="A166" i="24" s="1"/>
  <c r="A187" i="24" s="1"/>
  <c r="A201" i="24" s="1"/>
  <c r="A283" i="24" s="1"/>
  <c r="A297" i="24" s="1"/>
  <c r="A151" i="24"/>
  <c r="A165" i="24" s="1"/>
  <c r="A186" i="24" s="1"/>
  <c r="A200" i="24" s="1"/>
  <c r="A282" i="24" s="1"/>
  <c r="A296" i="24" s="1"/>
  <c r="A150" i="24"/>
  <c r="A164" i="24" s="1"/>
  <c r="A185" i="24" s="1"/>
  <c r="A199" i="24" s="1"/>
  <c r="A281" i="24" s="1"/>
  <c r="A295" i="24" s="1"/>
  <c r="A149" i="24"/>
  <c r="A163" i="24" s="1"/>
  <c r="A184" i="24" s="1"/>
  <c r="A198" i="24" s="1"/>
  <c r="A280" i="24" s="1"/>
  <c r="A294" i="24" s="1"/>
  <c r="A148" i="24"/>
  <c r="A162" i="24" s="1"/>
  <c r="A183" i="24" s="1"/>
  <c r="A197" i="24" s="1"/>
  <c r="A279" i="24" s="1"/>
  <c r="A293" i="24" s="1"/>
  <c r="A147" i="24"/>
  <c r="A161" i="24" s="1"/>
  <c r="A182" i="24" s="1"/>
  <c r="A196" i="24" s="1"/>
  <c r="A278" i="24" s="1"/>
  <c r="A292" i="24" s="1"/>
  <c r="A146" i="24"/>
  <c r="A160" i="24" s="1"/>
  <c r="A181" i="24" s="1"/>
  <c r="A195" i="24" s="1"/>
  <c r="A277" i="24" s="1"/>
  <c r="A291" i="24" s="1"/>
  <c r="A74" i="24"/>
  <c r="A91" i="24" s="1"/>
  <c r="A73" i="24"/>
  <c r="A90" i="24" s="1"/>
  <c r="A89" i="24"/>
  <c r="A88" i="24"/>
  <c r="A87" i="24"/>
  <c r="A86" i="24"/>
  <c r="A85" i="24"/>
  <c r="A84" i="24"/>
  <c r="A83" i="24"/>
  <c r="A82" i="24"/>
  <c r="D144" i="24"/>
  <c r="D158" i="24" s="1"/>
  <c r="D173" i="24" s="1"/>
  <c r="D179" i="24" s="1"/>
  <c r="D193" i="24" s="1"/>
  <c r="D208" i="24" s="1"/>
  <c r="A38" i="24"/>
  <c r="A55" i="24" s="1"/>
  <c r="A37" i="24"/>
  <c r="A54" i="24" s="1"/>
  <c r="A35" i="24"/>
  <c r="A34" i="24"/>
  <c r="A33" i="24"/>
  <c r="A32" i="24"/>
  <c r="A31" i="24"/>
  <c r="A30" i="24"/>
  <c r="A29" i="24"/>
  <c r="A28" i="24"/>
  <c r="A27" i="24"/>
  <c r="D6" i="24"/>
  <c r="D352" i="24" s="1"/>
  <c r="A42" i="24"/>
  <c r="A61" i="24" s="1"/>
  <c r="B7" i="9"/>
  <c r="F7" i="9" s="1"/>
  <c r="B21" i="11"/>
  <c r="B23" i="11" s="1"/>
  <c r="B8" i="9"/>
  <c r="B9" i="9"/>
  <c r="D36" i="11"/>
  <c r="D37" i="11" s="1"/>
  <c r="B10" i="9"/>
  <c r="B11" i="9"/>
  <c r="B12" i="9"/>
  <c r="I36" i="11"/>
  <c r="E16" i="11"/>
  <c r="G16" i="11"/>
  <c r="H12" i="11"/>
  <c r="C21" i="11"/>
  <c r="C23" i="11" s="1"/>
  <c r="D223" i="24"/>
  <c r="A17" i="9"/>
  <c r="A35" i="9" s="1"/>
  <c r="A16" i="9"/>
  <c r="A34" i="9" s="1"/>
  <c r="A7" i="9"/>
  <c r="A25" i="9" s="1"/>
  <c r="A8" i="9"/>
  <c r="A26" i="9" s="1"/>
  <c r="A9" i="9"/>
  <c r="A27" i="9" s="1"/>
  <c r="A10" i="9"/>
  <c r="A28" i="9" s="1"/>
  <c r="A11" i="9"/>
  <c r="A29" i="9" s="1"/>
  <c r="A12" i="9"/>
  <c r="A30" i="9" s="1"/>
  <c r="A13" i="9"/>
  <c r="A31" i="9" s="1"/>
  <c r="A14" i="9"/>
  <c r="A32" i="9" s="1"/>
  <c r="A15" i="9"/>
  <c r="A33" i="9" s="1"/>
  <c r="A24" i="11"/>
  <c r="A15" i="11"/>
  <c r="A11" i="11"/>
  <c r="C29" i="17"/>
  <c r="E170" i="24" s="1"/>
  <c r="E175" i="24" s="1"/>
  <c r="E176" i="24" s="1"/>
  <c r="A34" i="11"/>
  <c r="A29" i="11"/>
  <c r="A19" i="11"/>
  <c r="G4" i="11"/>
  <c r="G55" i="11" s="1"/>
  <c r="F4" i="11"/>
  <c r="F55" i="11" s="1"/>
  <c r="E4" i="11"/>
  <c r="E55" i="11" s="1"/>
  <c r="D4" i="11"/>
  <c r="D55" i="11" s="1"/>
  <c r="C4" i="11"/>
  <c r="C55" i="11" s="1"/>
  <c r="B4" i="11"/>
  <c r="H30" i="11"/>
  <c r="D30" i="11"/>
  <c r="I35" i="11"/>
  <c r="E342" i="24" s="1"/>
  <c r="E25" i="11"/>
  <c r="J16" i="11"/>
  <c r="F323" i="24" s="1"/>
  <c r="G21" i="11"/>
  <c r="G23" i="11" s="1"/>
  <c r="F16" i="11"/>
  <c r="I12" i="11"/>
  <c r="E319" i="24" s="1"/>
  <c r="D21" i="11"/>
  <c r="D23" i="11" s="1"/>
  <c r="B36" i="11"/>
  <c r="B37" i="11" s="1"/>
  <c r="C12" i="11"/>
  <c r="I30" i="11"/>
  <c r="E337" i="24" s="1"/>
  <c r="B25" i="11"/>
  <c r="J36" i="11"/>
  <c r="F21" i="11"/>
  <c r="F23" i="11" s="1"/>
  <c r="C36" i="11"/>
  <c r="C37" i="11" s="1"/>
  <c r="J12" i="11"/>
  <c r="F319" i="24" s="1"/>
  <c r="F20" i="11"/>
  <c r="E36" i="11"/>
  <c r="E37" i="11" s="1"/>
  <c r="H20" i="11"/>
  <c r="E29" i="17"/>
  <c r="E31" i="17" s="1"/>
  <c r="H35" i="11"/>
  <c r="E35" i="11"/>
  <c r="H21" i="11"/>
  <c r="H23" i="11" s="1"/>
  <c r="J21" i="11"/>
  <c r="B16" i="11"/>
  <c r="I25" i="11"/>
  <c r="E332" i="24" s="1"/>
  <c r="G12" i="11"/>
  <c r="I8" i="11"/>
  <c r="I9" i="11" s="1"/>
  <c r="F36" i="11"/>
  <c r="F37" i="11" s="1"/>
  <c r="H25" i="11"/>
  <c r="J25" i="11"/>
  <c r="F332" i="24" s="1"/>
  <c r="H9" i="17"/>
  <c r="H44" i="11" s="1"/>
  <c r="G25" i="11"/>
  <c r="G20" i="11"/>
  <c r="C16" i="11"/>
  <c r="K25" i="11"/>
  <c r="G332" i="24" s="1"/>
  <c r="C20" i="11"/>
  <c r="G36" i="11"/>
  <c r="G37" i="11" s="1"/>
  <c r="I20" i="11"/>
  <c r="E327" i="24" s="1"/>
  <c r="H16" i="11"/>
  <c r="B30" i="11"/>
  <c r="F12" i="11"/>
  <c r="L47" i="9"/>
  <c r="B12" i="11"/>
  <c r="H3" i="17"/>
  <c r="B44" i="11" s="1"/>
  <c r="J30" i="11"/>
  <c r="F337" i="24" s="1"/>
  <c r="F30" i="11"/>
  <c r="H7" i="17"/>
  <c r="F44" i="11" s="1"/>
  <c r="E30" i="11"/>
  <c r="E12" i="11"/>
  <c r="H6" i="17"/>
  <c r="E44" i="11" s="1"/>
  <c r="D20" i="11"/>
  <c r="C35" i="11"/>
  <c r="H4" i="17"/>
  <c r="C44" i="11" s="1"/>
  <c r="D35" i="11"/>
  <c r="G30" i="11"/>
  <c r="B35" i="11"/>
  <c r="B20" i="11"/>
  <c r="C30" i="11"/>
  <c r="D8" i="11"/>
  <c r="D9" i="11" s="1"/>
  <c r="D25" i="11"/>
  <c r="H5" i="17"/>
  <c r="D44" i="11" s="1"/>
  <c r="D12" i="11"/>
  <c r="C25" i="11"/>
  <c r="J35" i="11"/>
  <c r="F342" i="24" s="1"/>
  <c r="J47" i="9"/>
  <c r="J20" i="11"/>
  <c r="F327" i="24" s="1"/>
  <c r="G35" i="11"/>
  <c r="H8" i="17"/>
  <c r="G44" i="11" s="1"/>
  <c r="I16" i="11"/>
  <c r="E323" i="24" s="1"/>
  <c r="H10" i="17"/>
  <c r="E21" i="11"/>
  <c r="E23" i="11" s="1"/>
  <c r="I21" i="11"/>
  <c r="E20" i="11"/>
  <c r="D16" i="11"/>
  <c r="H11" i="17"/>
  <c r="F35" i="11"/>
  <c r="F25" i="11"/>
  <c r="H36" i="11"/>
  <c r="H37" i="11" s="1"/>
  <c r="I44" i="11" l="1"/>
  <c r="E351" i="24" s="1"/>
  <c r="J44" i="11"/>
  <c r="F351" i="24" s="1"/>
  <c r="E346" i="24"/>
  <c r="F343" i="24"/>
  <c r="J37" i="11"/>
  <c r="F328" i="24"/>
  <c r="J23" i="11"/>
  <c r="J40" i="11"/>
  <c r="F346" i="24"/>
  <c r="E343" i="24"/>
  <c r="I37" i="11"/>
  <c r="E328" i="24"/>
  <c r="I23" i="11"/>
  <c r="M35" i="11"/>
  <c r="I342" i="24" s="1"/>
  <c r="I170" i="24"/>
  <c r="D347" i="24"/>
  <c r="D356" i="24" s="1"/>
  <c r="E27" i="17"/>
  <c r="E13" i="17" s="1"/>
  <c r="G170" i="24"/>
  <c r="G175" i="24" s="1"/>
  <c r="G176" i="24" s="1"/>
  <c r="D346" i="24"/>
  <c r="D355" i="24" s="1"/>
  <c r="A189" i="24"/>
  <c r="G162" i="24"/>
  <c r="B55" i="11"/>
  <c r="D221" i="24"/>
  <c r="D255" i="24"/>
  <c r="F221" i="24"/>
  <c r="D275" i="24" s="1"/>
  <c r="F255" i="24"/>
  <c r="I221" i="24"/>
  <c r="E255" i="24"/>
  <c r="E221" i="24"/>
  <c r="A322" i="24" s="1"/>
  <c r="H40" i="11"/>
  <c r="D40" i="11"/>
  <c r="H39" i="11"/>
  <c r="E40" i="11"/>
  <c r="E50" i="11" s="1"/>
  <c r="J39" i="11"/>
  <c r="C39" i="11"/>
  <c r="C49" i="11" s="1"/>
  <c r="I39" i="11"/>
  <c r="G40" i="11"/>
  <c r="I40" i="11"/>
  <c r="D39" i="11"/>
  <c r="D49" i="11" s="1"/>
  <c r="B39" i="11"/>
  <c r="G39" i="11"/>
  <c r="G49" i="11" s="1"/>
  <c r="F40" i="11"/>
  <c r="F50" i="11" s="1"/>
  <c r="B40" i="11"/>
  <c r="B50" i="11" s="1"/>
  <c r="E39" i="11"/>
  <c r="E49" i="11" s="1"/>
  <c r="F39" i="11"/>
  <c r="F49" i="11" s="1"/>
  <c r="C40" i="11"/>
  <c r="C50" i="11" s="1"/>
  <c r="G230" i="24"/>
  <c r="H230" i="24" s="1"/>
  <c r="E89" i="23"/>
  <c r="I8" i="23"/>
  <c r="H165" i="24"/>
  <c r="H170" i="24"/>
  <c r="H175" i="24" s="1"/>
  <c r="H176" i="24" s="1"/>
  <c r="D2" i="18"/>
  <c r="I166" i="24"/>
  <c r="B2" i="18"/>
  <c r="H163" i="24"/>
  <c r="H167" i="24"/>
  <c r="D168" i="24"/>
  <c r="F162" i="24"/>
  <c r="F163" i="24"/>
  <c r="J153" i="24"/>
  <c r="E168" i="24"/>
  <c r="D163" i="24"/>
  <c r="F161" i="24"/>
  <c r="E161" i="24"/>
  <c r="I167" i="24"/>
  <c r="G168" i="24"/>
  <c r="E167" i="24"/>
  <c r="H161" i="24"/>
  <c r="I164" i="24"/>
  <c r="A18" i="29"/>
  <c r="A28" i="29" s="1"/>
  <c r="A6" i="30"/>
  <c r="A17" i="30" s="1"/>
  <c r="A27" i="30" s="1"/>
  <c r="A37" i="30" s="1"/>
  <c r="A47" i="30" s="1"/>
  <c r="A57" i="30" s="1"/>
  <c r="A67" i="30" s="1"/>
  <c r="A7" i="30"/>
  <c r="A18" i="30" s="1"/>
  <c r="A28" i="30" s="1"/>
  <c r="A38" i="30" s="1"/>
  <c r="A48" i="30" s="1"/>
  <c r="A58" i="30" s="1"/>
  <c r="A68" i="30" s="1"/>
  <c r="A78" i="30" s="1"/>
  <c r="A17" i="29"/>
  <c r="A27" i="29" s="1"/>
  <c r="A5" i="30"/>
  <c r="A16" i="30" s="1"/>
  <c r="A26" i="30" s="1"/>
  <c r="A36" i="30" s="1"/>
  <c r="A46" i="30" s="1"/>
  <c r="A56" i="30" s="1"/>
  <c r="A66" i="30" s="1"/>
  <c r="G284" i="24"/>
  <c r="G279" i="24"/>
  <c r="G278" i="24"/>
  <c r="G282" i="24"/>
  <c r="G286" i="24"/>
  <c r="G280" i="24"/>
  <c r="G277" i="24"/>
  <c r="G283" i="24"/>
  <c r="G281" i="24"/>
  <c r="F8" i="11"/>
  <c r="F9" i="11" s="1"/>
  <c r="B8" i="11"/>
  <c r="B9" i="11" s="1"/>
  <c r="G144" i="24"/>
  <c r="G158" i="24" s="1"/>
  <c r="G173" i="24" s="1"/>
  <c r="G179" i="24" s="1"/>
  <c r="G193" i="24" s="1"/>
  <c r="G208" i="24" s="1"/>
  <c r="G221" i="24" s="1"/>
  <c r="E275" i="24" s="1"/>
  <c r="C8" i="11"/>
  <c r="C9" i="11" s="1"/>
  <c r="L43" i="9"/>
  <c r="H8" i="11"/>
  <c r="H9" i="11" s="1"/>
  <c r="E223" i="24"/>
  <c r="M47" i="9"/>
  <c r="E8" i="11"/>
  <c r="E9" i="11" s="1"/>
  <c r="J42" i="9"/>
  <c r="F10" i="9"/>
  <c r="J46" i="9"/>
  <c r="F8" i="9"/>
  <c r="G8" i="11"/>
  <c r="G9" i="11" s="1"/>
  <c r="J8" i="11"/>
  <c r="J9" i="11" s="1"/>
  <c r="A331" i="24"/>
  <c r="G22" i="24"/>
  <c r="H144" i="24" s="1"/>
  <c r="H158" i="24" s="1"/>
  <c r="H173" i="24" s="1"/>
  <c r="H179" i="24" s="1"/>
  <c r="H193" i="24" s="1"/>
  <c r="H208" i="24" s="1"/>
  <c r="F12" i="9"/>
  <c r="F11" i="9"/>
  <c r="K43" i="9"/>
  <c r="L39" i="9"/>
  <c r="F9" i="9"/>
  <c r="J41" i="9"/>
  <c r="K41" i="9"/>
  <c r="J40" i="9"/>
  <c r="M42" i="9"/>
  <c r="G234" i="24"/>
  <c r="H234" i="24" s="1"/>
  <c r="G232" i="24"/>
  <c r="H232" i="24" s="1"/>
  <c r="G227" i="24"/>
  <c r="G229" i="24"/>
  <c r="H229" i="24" s="1"/>
  <c r="G231" i="24"/>
  <c r="H231" i="24" s="1"/>
  <c r="H98" i="24"/>
  <c r="G233" i="24"/>
  <c r="H233" i="24" s="1"/>
  <c r="K40" i="9"/>
  <c r="J45" i="9"/>
  <c r="L42" i="9"/>
  <c r="D167" i="24"/>
  <c r="F168" i="24"/>
  <c r="K44" i="9"/>
  <c r="H166" i="24"/>
  <c r="H168" i="24"/>
  <c r="F164" i="24"/>
  <c r="J147" i="24"/>
  <c r="L40" i="9"/>
  <c r="K42" i="9"/>
  <c r="G165" i="24"/>
  <c r="K35" i="11"/>
  <c r="G342" i="24" s="1"/>
  <c r="L35" i="11"/>
  <c r="E162" i="24"/>
  <c r="J148" i="24"/>
  <c r="D166" i="24"/>
  <c r="D165" i="24"/>
  <c r="D164" i="24"/>
  <c r="J150" i="24"/>
  <c r="F167" i="24"/>
  <c r="E164" i="24"/>
  <c r="J146" i="24"/>
  <c r="M44" i="9"/>
  <c r="D161" i="24"/>
  <c r="F165" i="24"/>
  <c r="J43" i="9"/>
  <c r="J44" i="9"/>
  <c r="I165" i="24"/>
  <c r="E163" i="24"/>
  <c r="J149" i="24"/>
  <c r="M43" i="9"/>
  <c r="H162" i="24"/>
  <c r="J39" i="9"/>
  <c r="J151" i="24"/>
  <c r="D162" i="24"/>
  <c r="E165" i="24"/>
  <c r="G161" i="24"/>
  <c r="I168" i="24"/>
  <c r="E166" i="24"/>
  <c r="J152" i="24"/>
  <c r="F166" i="24"/>
  <c r="J154" i="24"/>
  <c r="K39" i="9"/>
  <c r="L41" i="9"/>
  <c r="G166" i="24"/>
  <c r="G167" i="24"/>
  <c r="L44" i="9"/>
  <c r="H164" i="24"/>
  <c r="G164" i="24"/>
  <c r="G163" i="24"/>
  <c r="AA18" i="27"/>
  <c r="Z18" i="27"/>
  <c r="A38" i="29" l="1"/>
  <c r="A48" i="29" s="1"/>
  <c r="A58" i="29" s="1"/>
  <c r="A68" i="29" s="1"/>
  <c r="A78" i="29" s="1"/>
  <c r="I28" i="29"/>
  <c r="A37" i="29"/>
  <c r="A47" i="29" s="1"/>
  <c r="A57" i="29" s="1"/>
  <c r="A67" i="29" s="1"/>
  <c r="I27" i="29"/>
  <c r="E14" i="17"/>
  <c r="F347" i="24"/>
  <c r="E347" i="24"/>
  <c r="E356" i="24" s="1"/>
  <c r="I44" i="24" a="1"/>
  <c r="I44" i="24" s="1"/>
  <c r="H342" i="24"/>
  <c r="L25" i="11"/>
  <c r="H227" i="24"/>
  <c r="A203" i="24"/>
  <c r="D289" i="24"/>
  <c r="D304" i="24"/>
  <c r="E90" i="23"/>
  <c r="J8" i="23"/>
  <c r="J51" i="9"/>
  <c r="F205" i="24" s="1"/>
  <c r="H50" i="11"/>
  <c r="I50" i="11"/>
  <c r="I51" i="9"/>
  <c r="L51" i="9"/>
  <c r="H205" i="24" s="1"/>
  <c r="K51" i="9"/>
  <c r="G205" i="24" s="1"/>
  <c r="M51" i="9"/>
  <c r="I205" i="24" s="1"/>
  <c r="L199" i="24"/>
  <c r="G50" i="11"/>
  <c r="J50" i="11"/>
  <c r="D50" i="11"/>
  <c r="H221" i="24"/>
  <c r="F275" i="24" s="1"/>
  <c r="L202" i="24"/>
  <c r="E304" i="24"/>
  <c r="E289" i="24"/>
  <c r="G228" i="24"/>
  <c r="G236" i="24" s="1"/>
  <c r="L197" i="24"/>
  <c r="J49" i="11"/>
  <c r="L200" i="24"/>
  <c r="L198" i="24"/>
  <c r="H49" i="11"/>
  <c r="L203" i="24"/>
  <c r="C27" i="17"/>
  <c r="C13" i="17" s="1"/>
  <c r="D83" i="29"/>
  <c r="D170" i="24"/>
  <c r="D175" i="24" s="1"/>
  <c r="F27" i="17"/>
  <c r="F13" i="17" s="1"/>
  <c r="L195" i="24"/>
  <c r="I49" i="11"/>
  <c r="L196" i="24"/>
  <c r="L201" i="24"/>
  <c r="F14" i="17" l="1"/>
  <c r="M25" i="11"/>
  <c r="I45" i="24"/>
  <c r="I53" i="24"/>
  <c r="I52" i="24"/>
  <c r="I48" i="24"/>
  <c r="I50" i="24"/>
  <c r="I49" i="24"/>
  <c r="I46" i="24"/>
  <c r="I54" i="24"/>
  <c r="I47" i="24"/>
  <c r="I55" i="24"/>
  <c r="I51" i="24"/>
  <c r="I49" i="9"/>
  <c r="I35" i="9" s="1"/>
  <c r="I36" i="9" s="1"/>
  <c r="E205" i="24"/>
  <c r="H332" i="24"/>
  <c r="A285" i="24"/>
  <c r="A299" i="24" s="1"/>
  <c r="C14" i="17"/>
  <c r="D84" i="29"/>
  <c r="D83" i="30"/>
  <c r="F83" i="30" s="1"/>
  <c r="F83" i="29"/>
  <c r="E91" i="23"/>
  <c r="B14" i="17"/>
  <c r="F356" i="24"/>
  <c r="G356" i="24"/>
  <c r="F304" i="24"/>
  <c r="F289" i="24"/>
  <c r="H228" i="24"/>
  <c r="H236" i="24"/>
  <c r="F355" i="24"/>
  <c r="M49" i="9"/>
  <c r="M35" i="9" s="1"/>
  <c r="L49" i="9"/>
  <c r="L35" i="9" s="1"/>
  <c r="K49" i="9"/>
  <c r="K30" i="11"/>
  <c r="G337" i="24" s="1"/>
  <c r="L30" i="11"/>
  <c r="D176" i="24"/>
  <c r="K20" i="11"/>
  <c r="G327" i="24" s="1"/>
  <c r="J49" i="9"/>
  <c r="J35" i="9" s="1"/>
  <c r="J54" i="9" s="1"/>
  <c r="D205" i="24"/>
  <c r="H49" i="9"/>
  <c r="H35" i="9" s="1"/>
  <c r="H54" i="9" s="1"/>
  <c r="K12" i="11"/>
  <c r="G319" i="24" s="1"/>
  <c r="H12" i="17"/>
  <c r="K16" i="11"/>
  <c r="G323" i="24" s="1"/>
  <c r="L16" i="11"/>
  <c r="E355" i="24"/>
  <c r="I332" i="24" l="1"/>
  <c r="G44" i="24" a="1"/>
  <c r="G55" i="24" s="1"/>
  <c r="K44" i="11"/>
  <c r="G351" i="24" s="1"/>
  <c r="M16" i="11"/>
  <c r="M12" i="11"/>
  <c r="M30" i="11"/>
  <c r="H63" i="9"/>
  <c r="K35" i="9"/>
  <c r="K54" i="9" s="1"/>
  <c r="G346" i="24"/>
  <c r="I54" i="9"/>
  <c r="H323" i="24"/>
  <c r="H337" i="24"/>
  <c r="I55" i="9"/>
  <c r="I64" i="9" s="1"/>
  <c r="D84" i="30"/>
  <c r="F84" i="30" s="1"/>
  <c r="F85" i="30" s="1"/>
  <c r="F84" i="29"/>
  <c r="F85" i="29" s="1"/>
  <c r="K39" i="11"/>
  <c r="E92" i="23"/>
  <c r="J36" i="9"/>
  <c r="L36" i="9"/>
  <c r="L55" i="9" s="1"/>
  <c r="L54" i="9"/>
  <c r="M36" i="9"/>
  <c r="M55" i="9" s="1"/>
  <c r="M54" i="9"/>
  <c r="L12" i="11"/>
  <c r="L205" i="24"/>
  <c r="K205" i="24"/>
  <c r="G51" i="24" l="1"/>
  <c r="I319" i="24"/>
  <c r="I337" i="24"/>
  <c r="G50" i="24"/>
  <c r="G47" i="24"/>
  <c r="I323" i="24"/>
  <c r="G53" i="24"/>
  <c r="G49" i="24"/>
  <c r="G45" i="24"/>
  <c r="E44" i="24" a="1"/>
  <c r="E54" i="24" s="1"/>
  <c r="G46" i="24"/>
  <c r="G54" i="24"/>
  <c r="G52" i="24"/>
  <c r="G44" i="24"/>
  <c r="G48" i="24"/>
  <c r="H44" i="24" a="1"/>
  <c r="H52" i="24" s="1"/>
  <c r="G355" i="24"/>
  <c r="B95" i="30"/>
  <c r="B95" i="29"/>
  <c r="K36" i="9"/>
  <c r="K55" i="9" s="1"/>
  <c r="K64" i="9" s="1"/>
  <c r="H319" i="24"/>
  <c r="D44" i="24" a="1"/>
  <c r="E93" i="23"/>
  <c r="M64" i="9"/>
  <c r="L64" i="9"/>
  <c r="H36" i="9"/>
  <c r="H55" i="9" s="1"/>
  <c r="M205" i="24"/>
  <c r="K49" i="11"/>
  <c r="K63" i="9"/>
  <c r="L63" i="9"/>
  <c r="M63" i="9"/>
  <c r="I63" i="9"/>
  <c r="E52" i="24" l="1"/>
  <c r="E49" i="24"/>
  <c r="E47" i="24"/>
  <c r="E44" i="24"/>
  <c r="E53" i="24"/>
  <c r="E48" i="24"/>
  <c r="E46" i="24"/>
  <c r="E50" i="24"/>
  <c r="E55" i="24"/>
  <c r="E51" i="24"/>
  <c r="E45" i="24"/>
  <c r="H51" i="24"/>
  <c r="H55" i="24"/>
  <c r="H48" i="24"/>
  <c r="H50" i="24"/>
  <c r="H47" i="24"/>
  <c r="H46" i="24"/>
  <c r="H45" i="24"/>
  <c r="H53" i="24"/>
  <c r="H54" i="24"/>
  <c r="H49" i="24"/>
  <c r="H44" i="24"/>
  <c r="D46" i="24"/>
  <c r="D44" i="24"/>
  <c r="D48" i="24"/>
  <c r="D45" i="24"/>
  <c r="D47" i="24"/>
  <c r="D50" i="24"/>
  <c r="D51" i="24"/>
  <c r="D55" i="24"/>
  <c r="D52" i="24"/>
  <c r="D54" i="24"/>
  <c r="D49" i="24"/>
  <c r="D53" i="24"/>
  <c r="E94" i="23"/>
  <c r="H64" i="9"/>
  <c r="E95" i="23" l="1"/>
  <c r="E96" i="23" l="1"/>
  <c r="E97" i="23" l="1"/>
  <c r="E98" i="23" l="1"/>
  <c r="E99" i="23" l="1"/>
  <c r="J187" i="19"/>
  <c r="G99" i="23" l="1"/>
  <c r="F10" i="23" s="1"/>
  <c r="G10" i="23" s="1"/>
  <c r="E100" i="23" s="1"/>
  <c r="F99" i="23"/>
  <c r="I9" i="23" s="1"/>
  <c r="J9" i="23" s="1"/>
  <c r="J188" i="19"/>
  <c r="E101" i="23" l="1"/>
  <c r="J189" i="19"/>
  <c r="K50" i="11"/>
  <c r="E102" i="23" l="1"/>
  <c r="J190" i="19"/>
  <c r="E103" i="23" l="1"/>
  <c r="J193" i="19"/>
  <c r="J191" i="19"/>
  <c r="E104" i="23" l="1"/>
  <c r="J194" i="19"/>
  <c r="J192" i="19"/>
  <c r="E105" i="23" l="1"/>
  <c r="J195" i="19"/>
  <c r="E106" i="23" l="1"/>
  <c r="J196" i="19"/>
  <c r="E107" i="23" l="1"/>
  <c r="J197" i="19"/>
  <c r="E108" i="23" l="1"/>
  <c r="J198" i="19"/>
  <c r="E109" i="23" l="1"/>
  <c r="E110" i="23" l="1"/>
  <c r="E111" i="23" l="1"/>
  <c r="G111" i="23" l="1"/>
  <c r="F11" i="23" s="1"/>
  <c r="G11" i="23" s="1"/>
  <c r="E112" i="23" s="1"/>
  <c r="F111" i="23"/>
  <c r="I10" i="23" s="1"/>
  <c r="J10" i="23" s="1"/>
  <c r="E113" i="23" l="1"/>
  <c r="I171" i="19" l="1"/>
  <c r="E114" i="23"/>
  <c r="I187" i="19" l="1"/>
  <c r="I172" i="19"/>
  <c r="E115" i="23"/>
  <c r="I188" i="19" l="1"/>
  <c r="I173" i="19"/>
  <c r="E116" i="23"/>
  <c r="I189" i="19" l="1"/>
  <c r="I174" i="19"/>
  <c r="E117" i="23"/>
  <c r="I190" i="19" l="1"/>
  <c r="I175" i="19"/>
  <c r="E118" i="23"/>
  <c r="I176" i="19" l="1"/>
  <c r="I191" i="19"/>
  <c r="E119" i="23"/>
  <c r="I192" i="19" l="1"/>
  <c r="O192" i="19" s="1"/>
  <c r="O176" i="19"/>
  <c r="I177" i="19"/>
  <c r="E120" i="23"/>
  <c r="I193" i="19" l="1"/>
  <c r="O193" i="19" s="1"/>
  <c r="O177" i="19"/>
  <c r="I178" i="19"/>
  <c r="E121" i="23"/>
  <c r="I179" i="19" l="1"/>
  <c r="I194" i="19"/>
  <c r="O194" i="19" s="1"/>
  <c r="O178" i="19"/>
  <c r="E122" i="23"/>
  <c r="I180" i="19" l="1"/>
  <c r="I195" i="19"/>
  <c r="O195" i="19" s="1"/>
  <c r="O179" i="19"/>
  <c r="E123" i="23"/>
  <c r="Y18" i="27"/>
  <c r="Y33" i="27"/>
  <c r="I181" i="19" l="1"/>
  <c r="I196" i="19"/>
  <c r="O196" i="19" s="1"/>
  <c r="O180" i="19"/>
  <c r="D206" i="19"/>
  <c r="I206" i="19" s="1"/>
  <c r="F206" i="19" s="1"/>
  <c r="G123" i="23"/>
  <c r="G124" i="23" s="1"/>
  <c r="E124" i="23"/>
  <c r="F123" i="23"/>
  <c r="I182" i="19" l="1"/>
  <c r="I197" i="19"/>
  <c r="O197" i="19" s="1"/>
  <c r="O181" i="19"/>
  <c r="I11" i="23"/>
  <c r="F124" i="23"/>
  <c r="O155" i="19"/>
  <c r="E130" i="24" s="1"/>
  <c r="F130" i="24" s="1"/>
  <c r="O160" i="19"/>
  <c r="E135" i="24" s="1"/>
  <c r="O159" i="19"/>
  <c r="E134" i="24" s="1"/>
  <c r="O156" i="19"/>
  <c r="P156" i="19" s="1"/>
  <c r="Q156" i="19" s="1"/>
  <c r="O157" i="19"/>
  <c r="O152" i="19"/>
  <c r="O158" i="19"/>
  <c r="O154" i="19"/>
  <c r="O151" i="19"/>
  <c r="O153" i="19"/>
  <c r="E212" i="19" l="1"/>
  <c r="O161" i="19"/>
  <c r="E136" i="24" s="1"/>
  <c r="I198" i="19"/>
  <c r="O198" i="19" s="1"/>
  <c r="O182" i="19"/>
  <c r="O164" i="19"/>
  <c r="J11" i="23"/>
  <c r="J12" i="23" s="1"/>
  <c r="I12" i="23"/>
  <c r="C11" i="9"/>
  <c r="D11" i="9" s="1"/>
  <c r="E11" i="9" s="1"/>
  <c r="P155" i="19"/>
  <c r="Q155" i="19" s="1"/>
  <c r="F5" i="11"/>
  <c r="F6" i="11" s="1"/>
  <c r="C16" i="9"/>
  <c r="C15" i="9"/>
  <c r="C12" i="9"/>
  <c r="D12" i="9" s="1"/>
  <c r="E12" i="9" s="1"/>
  <c r="E131" i="24"/>
  <c r="F131" i="24" s="1"/>
  <c r="J5" i="11"/>
  <c r="G5" i="11"/>
  <c r="G56" i="11" s="1"/>
  <c r="K5" i="11"/>
  <c r="E128" i="24"/>
  <c r="F128" i="24" s="1"/>
  <c r="C9" i="9"/>
  <c r="D9" i="9" s="1"/>
  <c r="E9" i="9" s="1"/>
  <c r="D5" i="11"/>
  <c r="P153" i="19"/>
  <c r="Q153" i="19" s="1"/>
  <c r="E126" i="24"/>
  <c r="F126" i="24" s="1"/>
  <c r="P151" i="19"/>
  <c r="B5" i="11"/>
  <c r="C7" i="9"/>
  <c r="D7" i="9" s="1"/>
  <c r="E7" i="9" s="1"/>
  <c r="E132" i="24"/>
  <c r="C13" i="9"/>
  <c r="H5" i="11"/>
  <c r="E127" i="24"/>
  <c r="F127" i="24" s="1"/>
  <c r="P152" i="19"/>
  <c r="Q152" i="19" s="1"/>
  <c r="C8" i="9"/>
  <c r="D8" i="9" s="1"/>
  <c r="E8" i="9" s="1"/>
  <c r="C5" i="11"/>
  <c r="E129" i="24"/>
  <c r="F129" i="24" s="1"/>
  <c r="E5" i="11"/>
  <c r="P154" i="19"/>
  <c r="Q154" i="19" s="1"/>
  <c r="C10" i="9"/>
  <c r="D10" i="9" s="1"/>
  <c r="E10" i="9" s="1"/>
  <c r="E133" i="24"/>
  <c r="I5" i="11"/>
  <c r="E314" i="24" s="1"/>
  <c r="C14" i="9"/>
  <c r="J56" i="11" l="1"/>
  <c r="F314" i="24"/>
  <c r="K56" i="11"/>
  <c r="G314" i="24"/>
  <c r="L5" i="11"/>
  <c r="H314" i="24" s="1"/>
  <c r="C17" i="9"/>
  <c r="C20" i="9" s="1"/>
  <c r="Q151" i="19"/>
  <c r="F56" i="11"/>
  <c r="G6" i="11"/>
  <c r="H56" i="11"/>
  <c r="E56" i="11"/>
  <c r="E6" i="11"/>
  <c r="I56" i="11"/>
  <c r="C6" i="11"/>
  <c r="C56" i="11"/>
  <c r="B6" i="11"/>
  <c r="B49" i="11" s="1"/>
  <c r="B56" i="11"/>
  <c r="D6" i="11"/>
  <c r="D56" i="11"/>
  <c r="C99" i="19" l="1"/>
  <c r="P99" i="19" s="1"/>
  <c r="Q99" i="19" s="1"/>
  <c r="C100" i="19"/>
  <c r="P100" i="19" s="1"/>
  <c r="Q100" i="19" s="1"/>
  <c r="C101" i="19"/>
  <c r="P101" i="19" s="1"/>
  <c r="Q101" i="19" s="1"/>
  <c r="C102" i="19"/>
  <c r="P102" i="19" s="1"/>
  <c r="Q102" i="19" s="1"/>
  <c r="C103" i="19"/>
  <c r="P103" i="19" s="1"/>
  <c r="Q103" i="19" s="1"/>
  <c r="C104" i="19"/>
  <c r="P104" i="19" s="1"/>
  <c r="Q104" i="19" s="1"/>
  <c r="C105" i="19"/>
  <c r="P105" i="19" s="1"/>
  <c r="Q105" i="19" s="1"/>
  <c r="C106" i="19"/>
  <c r="P106" i="19" s="1"/>
  <c r="Q106" i="19" s="1"/>
  <c r="C107" i="19"/>
  <c r="P107" i="19" s="1"/>
  <c r="Q107" i="19" s="1"/>
  <c r="C108" i="19"/>
  <c r="P108" i="19" s="1"/>
  <c r="Q108" i="19" s="1"/>
  <c r="C109" i="19"/>
  <c r="P109" i="19" s="1"/>
  <c r="Q109" i="19" s="1"/>
  <c r="C110" i="19"/>
  <c r="P110" i="19" s="1"/>
  <c r="Q110" i="19" s="1"/>
  <c r="C159" i="19" l="1"/>
  <c r="D134" i="24" s="1"/>
  <c r="F134" i="24" s="1"/>
  <c r="C91" i="19"/>
  <c r="P91" i="19" s="1"/>
  <c r="Q91" i="19" s="1"/>
  <c r="C92" i="19"/>
  <c r="P92" i="19" s="1"/>
  <c r="Q92" i="19" s="1"/>
  <c r="C90" i="19"/>
  <c r="P90" i="19" s="1"/>
  <c r="Q90" i="19" s="1"/>
  <c r="C98" i="19"/>
  <c r="P98" i="19" s="1"/>
  <c r="Q98" i="19" s="1"/>
  <c r="C97" i="19"/>
  <c r="P97" i="19" s="1"/>
  <c r="Q97" i="19" s="1"/>
  <c r="C96" i="19"/>
  <c r="P96" i="19" s="1"/>
  <c r="Q96" i="19" s="1"/>
  <c r="C95" i="19"/>
  <c r="P95" i="19" s="1"/>
  <c r="Q95" i="19" s="1"/>
  <c r="C94" i="19"/>
  <c r="P94" i="19" s="1"/>
  <c r="Q94" i="19" s="1"/>
  <c r="C93" i="19"/>
  <c r="P93" i="19" s="1"/>
  <c r="Q93" i="19" s="1"/>
  <c r="C89" i="19"/>
  <c r="P89" i="19" s="1"/>
  <c r="Q89" i="19" s="1"/>
  <c r="C88" i="19"/>
  <c r="P88" i="19" s="1"/>
  <c r="Q88" i="19" s="1"/>
  <c r="C87" i="19"/>
  <c r="P87" i="19" s="1"/>
  <c r="Q87" i="19" s="1"/>
  <c r="C76" i="19"/>
  <c r="P76" i="19" s="1"/>
  <c r="Q76" i="19" s="1"/>
  <c r="C77" i="19"/>
  <c r="P77" i="19" s="1"/>
  <c r="Q77" i="19" s="1"/>
  <c r="C78" i="19"/>
  <c r="P78" i="19" s="1"/>
  <c r="Q78" i="19" s="1"/>
  <c r="C79" i="19"/>
  <c r="P79" i="19" s="1"/>
  <c r="Q79" i="19" s="1"/>
  <c r="C80" i="19"/>
  <c r="P80" i="19" s="1"/>
  <c r="Q80" i="19" s="1"/>
  <c r="C81" i="19"/>
  <c r="P81" i="19" s="1"/>
  <c r="Q81" i="19" s="1"/>
  <c r="C82" i="19"/>
  <c r="P82" i="19" s="1"/>
  <c r="Q82" i="19" s="1"/>
  <c r="C83" i="19"/>
  <c r="P83" i="19" s="1"/>
  <c r="Q83" i="19" s="1"/>
  <c r="C84" i="19"/>
  <c r="P84" i="19" s="1"/>
  <c r="Q84" i="19" s="1"/>
  <c r="C85" i="19"/>
  <c r="P85" i="19" s="1"/>
  <c r="Q85" i="19" s="1"/>
  <c r="C86" i="19"/>
  <c r="P86" i="19" s="1"/>
  <c r="Q86" i="19" s="1"/>
  <c r="C75" i="19"/>
  <c r="C122" i="19"/>
  <c r="P122" i="19" s="1"/>
  <c r="Q122" i="19" s="1"/>
  <c r="C117" i="19"/>
  <c r="P117" i="19" s="1"/>
  <c r="Q117" i="19" s="1"/>
  <c r="C116" i="19"/>
  <c r="P116" i="19" s="1"/>
  <c r="Q116" i="19" s="1"/>
  <c r="C114" i="19"/>
  <c r="P114" i="19" s="1"/>
  <c r="Q114" i="19" s="1"/>
  <c r="C111" i="19"/>
  <c r="P111" i="19" s="1"/>
  <c r="Q111" i="19" s="1"/>
  <c r="C119" i="19"/>
  <c r="P119" i="19" s="1"/>
  <c r="Q119" i="19" s="1"/>
  <c r="C113" i="19"/>
  <c r="P113" i="19" s="1"/>
  <c r="Q113" i="19" s="1"/>
  <c r="C118" i="19"/>
  <c r="P118" i="19" s="1"/>
  <c r="Q118" i="19" s="1"/>
  <c r="C121" i="19"/>
  <c r="P121" i="19" s="1"/>
  <c r="Q121" i="19" s="1"/>
  <c r="C120" i="19"/>
  <c r="P120" i="19" s="1"/>
  <c r="Q120" i="19" s="1"/>
  <c r="C112" i="19"/>
  <c r="P112" i="19" s="1"/>
  <c r="Q112" i="19" s="1"/>
  <c r="C115" i="19"/>
  <c r="P115" i="19" s="1"/>
  <c r="Q115" i="19" s="1"/>
  <c r="P75" i="19" l="1"/>
  <c r="Q75" i="19" s="1"/>
  <c r="C148" i="19"/>
  <c r="P159" i="19"/>
  <c r="Q159" i="19" s="1"/>
  <c r="B15" i="9"/>
  <c r="F15" i="9" s="1"/>
  <c r="J4" i="11"/>
  <c r="C160" i="19"/>
  <c r="D135" i="24" s="1"/>
  <c r="F135" i="24" s="1"/>
  <c r="C158" i="19"/>
  <c r="I4" i="11" s="1"/>
  <c r="E313" i="24" s="1"/>
  <c r="C157" i="19"/>
  <c r="P157" i="19" s="1"/>
  <c r="F313" i="24" l="1"/>
  <c r="F315" i="24" s="1"/>
  <c r="P160" i="19"/>
  <c r="Q160" i="19" s="1"/>
  <c r="E213" i="19"/>
  <c r="Q157" i="19"/>
  <c r="D15" i="9"/>
  <c r="E15" i="9" s="1"/>
  <c r="J55" i="11"/>
  <c r="B16" i="9"/>
  <c r="D16" i="9" s="1"/>
  <c r="E16" i="9" s="1"/>
  <c r="K4" i="11"/>
  <c r="G313" i="24" s="1"/>
  <c r="G315" i="24" s="1"/>
  <c r="P158" i="19"/>
  <c r="Q158" i="19" s="1"/>
  <c r="B14" i="9"/>
  <c r="D14" i="9" s="1"/>
  <c r="E14" i="9" s="1"/>
  <c r="J6" i="11"/>
  <c r="D133" i="24"/>
  <c r="F133" i="24" s="1"/>
  <c r="C164" i="19"/>
  <c r="P164" i="19" s="1"/>
  <c r="H4" i="11"/>
  <c r="H55" i="11" s="1"/>
  <c r="D132" i="24"/>
  <c r="F132" i="24" s="1"/>
  <c r="B13" i="9"/>
  <c r="I55" i="11"/>
  <c r="I6" i="11"/>
  <c r="K6" i="11" l="1"/>
  <c r="K55" i="11"/>
  <c r="F13" i="9"/>
  <c r="P163" i="19"/>
  <c r="H6" i="11"/>
  <c r="F16" i="9"/>
  <c r="F14" i="9"/>
  <c r="E315" i="24"/>
  <c r="D13" i="9"/>
  <c r="E13" i="9" s="1"/>
  <c r="F20" i="9" l="1"/>
  <c r="G17" i="9" l="1"/>
  <c r="C13" i="30"/>
  <c r="C14" i="30" s="1"/>
  <c r="C14" i="29"/>
  <c r="C23" i="29"/>
  <c r="H17" i="9" l="1"/>
  <c r="G58" i="9"/>
  <c r="O58" i="9" s="1"/>
  <c r="C23" i="30"/>
  <c r="K23" i="30" s="1"/>
  <c r="C15" i="30"/>
  <c r="C24" i="30"/>
  <c r="K24" i="30" s="1"/>
  <c r="C15" i="29"/>
  <c r="C24" i="29"/>
  <c r="C16" i="29" l="1"/>
  <c r="C25" i="29"/>
  <c r="C16" i="30"/>
  <c r="C25" i="30"/>
  <c r="K25" i="30" s="1"/>
  <c r="C17" i="30" l="1"/>
  <c r="C26" i="30"/>
  <c r="C17" i="29"/>
  <c r="C26" i="29"/>
  <c r="K26" i="30" l="1"/>
  <c r="C18" i="30"/>
  <c r="C27" i="30"/>
  <c r="C18" i="29"/>
  <c r="C27" i="29"/>
  <c r="K27" i="30" l="1"/>
  <c r="C28" i="29"/>
  <c r="C28" i="30"/>
  <c r="K28" i="30" l="1"/>
  <c r="F175" i="19" l="1"/>
  <c r="O139" i="19"/>
  <c r="F173" i="19"/>
  <c r="O137" i="19"/>
  <c r="F174" i="19"/>
  <c r="O138" i="19"/>
  <c r="F172" i="19"/>
  <c r="O136" i="19"/>
  <c r="D205" i="19"/>
  <c r="I205" i="19" s="1"/>
  <c r="F205" i="19" s="1"/>
  <c r="F171" i="19"/>
  <c r="O135" i="19"/>
  <c r="F189" i="19" l="1"/>
  <c r="O189" i="19" s="1"/>
  <c r="O173" i="19"/>
  <c r="F211" i="19"/>
  <c r="G205" i="19" s="1"/>
  <c r="F190" i="19"/>
  <c r="O190" i="19" s="1"/>
  <c r="O174" i="19"/>
  <c r="F187" i="19"/>
  <c r="O187" i="19" s="1"/>
  <c r="O171" i="19"/>
  <c r="O162" i="19"/>
  <c r="E137" i="24" s="1"/>
  <c r="O148" i="19"/>
  <c r="F188" i="19"/>
  <c r="O188" i="19" s="1"/>
  <c r="O172" i="19"/>
  <c r="F191" i="19"/>
  <c r="O191" i="19" s="1"/>
  <c r="O175" i="19"/>
  <c r="P182" i="19" l="1"/>
  <c r="E138" i="24" s="1"/>
  <c r="P198" i="19"/>
  <c r="E139" i="24" s="1"/>
  <c r="G206" i="19"/>
  <c r="G203" i="19"/>
  <c r="G210" i="19"/>
  <c r="G208" i="19"/>
  <c r="G207" i="19"/>
  <c r="G204" i="19"/>
  <c r="G209" i="19"/>
  <c r="M5" i="11"/>
  <c r="I314" i="24" s="1"/>
  <c r="D212" i="19"/>
  <c r="C18" i="9"/>
  <c r="O166" i="19"/>
  <c r="P166" i="19" s="1"/>
  <c r="C21" i="9" l="1"/>
  <c r="G18" i="9"/>
  <c r="H18" i="9" s="1"/>
  <c r="F212" i="19"/>
  <c r="F213" i="19"/>
  <c r="G211" i="19"/>
  <c r="G59" i="9" l="1"/>
  <c r="K195" i="24" l="1"/>
  <c r="M195" i="24" s="1"/>
  <c r="G257" i="24" l="1"/>
  <c r="G256" i="24"/>
  <c r="F170" i="24" l="1"/>
  <c r="J176" i="24" s="1"/>
  <c r="D27" i="17"/>
  <c r="D31" i="17"/>
  <c r="L20" i="11" l="1"/>
  <c r="H13" i="17"/>
  <c r="J175" i="24"/>
  <c r="L44" i="11" l="1"/>
  <c r="H351" i="24" s="1"/>
  <c r="H327" i="24"/>
  <c r="H346" i="24" s="1"/>
  <c r="L39" i="11"/>
  <c r="J55" i="9"/>
  <c r="H14" i="17"/>
  <c r="M20" i="11"/>
  <c r="F44" i="24" s="1" a="1"/>
  <c r="G54" i="9"/>
  <c r="G67" i="9" s="1"/>
  <c r="F67" i="9" s="1"/>
  <c r="J63" i="9"/>
  <c r="H355" i="24" l="1"/>
  <c r="M44" i="11"/>
  <c r="I351" i="24" s="1"/>
  <c r="F54" i="9"/>
  <c r="F77" i="9" s="1"/>
  <c r="E77" i="9" s="1"/>
  <c r="F50" i="24"/>
  <c r="J50" i="24" s="1"/>
  <c r="F49" i="24"/>
  <c r="J49" i="24" s="1"/>
  <c r="F53" i="24"/>
  <c r="J53" i="24" s="1"/>
  <c r="F45" i="24"/>
  <c r="J45" i="24" s="1"/>
  <c r="F46" i="24"/>
  <c r="J46" i="24" s="1"/>
  <c r="F51" i="24"/>
  <c r="J51" i="24" s="1"/>
  <c r="F47" i="24"/>
  <c r="J47" i="24" s="1"/>
  <c r="F48" i="24"/>
  <c r="J48" i="24" s="1"/>
  <c r="F44" i="24"/>
  <c r="J44" i="24" s="1"/>
  <c r="F52" i="24"/>
  <c r="J52" i="24" s="1"/>
  <c r="F54" i="24"/>
  <c r="J54" i="24" s="1"/>
  <c r="F55" i="24"/>
  <c r="J55" i="24" s="1"/>
  <c r="I327" i="24"/>
  <c r="I346" i="24" s="1"/>
  <c r="I355" i="24" s="1"/>
  <c r="M39" i="11"/>
  <c r="N63" i="9"/>
  <c r="J64" i="9"/>
  <c r="G55" i="9"/>
  <c r="F55" i="9" s="1"/>
  <c r="H74" i="9"/>
  <c r="L49" i="11"/>
  <c r="G8" i="24" l="1" a="1"/>
  <c r="G12" i="24" s="1"/>
  <c r="H67" i="9"/>
  <c r="N64" i="9"/>
  <c r="K67" i="9"/>
  <c r="G265" i="24" s="1"/>
  <c r="M67" i="9"/>
  <c r="I265" i="24" s="1"/>
  <c r="L67" i="9"/>
  <c r="H265" i="24" s="1"/>
  <c r="I67" i="9"/>
  <c r="E265" i="24" s="1"/>
  <c r="G68" i="9"/>
  <c r="F68" i="9" s="1"/>
  <c r="H75" i="9"/>
  <c r="J67" i="9"/>
  <c r="F265" i="24" s="1"/>
  <c r="M49" i="11"/>
  <c r="I74" i="9"/>
  <c r="J74" i="9" s="1"/>
  <c r="K74" i="9" s="1"/>
  <c r="L74" i="9" s="1"/>
  <c r="M74" i="9" s="1"/>
  <c r="G19" i="24" l="1"/>
  <c r="G8" i="24"/>
  <c r="G9" i="24"/>
  <c r="H9" i="24" s="1"/>
  <c r="I9" i="24" s="1"/>
  <c r="G14" i="24"/>
  <c r="G15" i="24"/>
  <c r="G13" i="24"/>
  <c r="H14" i="24" s="1"/>
  <c r="I14" i="24" s="1"/>
  <c r="G11" i="24"/>
  <c r="G10" i="24"/>
  <c r="H10" i="24" s="1"/>
  <c r="I10" i="24" s="1"/>
  <c r="G17" i="24"/>
  <c r="G18" i="24"/>
  <c r="H19" i="24" s="1"/>
  <c r="I19" i="24" s="1"/>
  <c r="G16" i="24"/>
  <c r="D265" i="24"/>
  <c r="J265" i="24" s="1"/>
  <c r="H58" i="9"/>
  <c r="J68" i="9"/>
  <c r="F266" i="24" s="1"/>
  <c r="H12" i="24"/>
  <c r="I12" i="24" s="1"/>
  <c r="H18" i="24"/>
  <c r="I18" i="24" s="1"/>
  <c r="N74" i="9"/>
  <c r="O74" i="9" s="1"/>
  <c r="K58" i="9"/>
  <c r="J58" i="9"/>
  <c r="N67" i="9"/>
  <c r="I58" i="9"/>
  <c r="L58" i="9"/>
  <c r="I75" i="9"/>
  <c r="J75" i="9" s="1"/>
  <c r="K75" i="9" s="1"/>
  <c r="L75" i="9" s="1"/>
  <c r="M75" i="9" s="1"/>
  <c r="M58" i="9"/>
  <c r="K68" i="9"/>
  <c r="G266" i="24" s="1"/>
  <c r="H68" i="9"/>
  <c r="D266" i="24" s="1"/>
  <c r="M68" i="9"/>
  <c r="I266" i="24" s="1"/>
  <c r="I68" i="9"/>
  <c r="E266" i="24" s="1"/>
  <c r="L68" i="9"/>
  <c r="H266" i="24" s="1"/>
  <c r="H11" i="24" l="1"/>
  <c r="I11" i="24" s="1"/>
  <c r="H16" i="24"/>
  <c r="I16" i="24" s="1"/>
  <c r="H15" i="24"/>
  <c r="I15" i="24" s="1"/>
  <c r="H13" i="24"/>
  <c r="I13" i="24" s="1"/>
  <c r="H17" i="24"/>
  <c r="I17" i="24" s="1"/>
  <c r="L36" i="11"/>
  <c r="H343" i="24" s="1"/>
  <c r="L17" i="11"/>
  <c r="H324" i="24" s="1"/>
  <c r="J266" i="24"/>
  <c r="N75" i="9"/>
  <c r="O75" i="9" s="1"/>
  <c r="M59" i="9"/>
  <c r="B13" i="18"/>
  <c r="L21" i="11"/>
  <c r="N68" i="9"/>
  <c r="L59" i="9"/>
  <c r="K59" i="9"/>
  <c r="B7" i="29"/>
  <c r="L31" i="11"/>
  <c r="D13" i="18"/>
  <c r="L13" i="11"/>
  <c r="N58" i="9"/>
  <c r="C13" i="18"/>
  <c r="L26" i="11"/>
  <c r="D78" i="29" l="1"/>
  <c r="L37" i="11"/>
  <c r="M36" i="11"/>
  <c r="B3" i="29"/>
  <c r="L18" i="11"/>
  <c r="P58" i="9"/>
  <c r="L8" i="11"/>
  <c r="L9" i="11" s="1"/>
  <c r="L45" i="11"/>
  <c r="H352" i="24" s="1"/>
  <c r="D14" i="18"/>
  <c r="M31" i="11"/>
  <c r="B5" i="29"/>
  <c r="H333" i="24"/>
  <c r="L28" i="11"/>
  <c r="B2" i="29"/>
  <c r="H320" i="24"/>
  <c r="L40" i="11"/>
  <c r="L14" i="11"/>
  <c r="J28" i="29"/>
  <c r="L28" i="29" s="1"/>
  <c r="N28" i="29" s="1"/>
  <c r="B18" i="29"/>
  <c r="D18" i="29" s="1"/>
  <c r="M26" i="11"/>
  <c r="C14" i="18"/>
  <c r="E13" i="18"/>
  <c r="L23" i="11"/>
  <c r="H328" i="24"/>
  <c r="B4" i="29"/>
  <c r="B6" i="29"/>
  <c r="L33" i="11"/>
  <c r="H338" i="24"/>
  <c r="B14" i="29" l="1"/>
  <c r="D14" i="29" s="1"/>
  <c r="B24" i="29"/>
  <c r="B28" i="29"/>
  <c r="D28" i="29" s="1"/>
  <c r="F28" i="29" s="1"/>
  <c r="D73" i="29"/>
  <c r="B23" i="29"/>
  <c r="B25" i="29"/>
  <c r="B7" i="30"/>
  <c r="I343" i="24"/>
  <c r="M37" i="11"/>
  <c r="I27" i="24" s="1" a="1"/>
  <c r="I36" i="24" s="1"/>
  <c r="I72" i="24" s="1"/>
  <c r="B32" i="11" a="1"/>
  <c r="I32" i="11" s="1"/>
  <c r="E339" i="24" s="1"/>
  <c r="B27" i="11" a="1"/>
  <c r="L27" i="11" s="1"/>
  <c r="H334" i="24" s="1"/>
  <c r="J24" i="29"/>
  <c r="L24" i="29" s="1"/>
  <c r="N24" i="29" s="1"/>
  <c r="D74" i="29"/>
  <c r="B9" i="29"/>
  <c r="L50" i="11"/>
  <c r="F14" i="29"/>
  <c r="B15" i="29"/>
  <c r="D15" i="29" s="1"/>
  <c r="J25" i="29"/>
  <c r="L25" i="29" s="1"/>
  <c r="N25" i="29" s="1"/>
  <c r="D55" i="29"/>
  <c r="F18" i="29"/>
  <c r="B17" i="29"/>
  <c r="D17" i="29" s="1"/>
  <c r="J27" i="29"/>
  <c r="L27" i="29" s="1"/>
  <c r="N27" i="29" s="1"/>
  <c r="D57" i="29"/>
  <c r="B5" i="30"/>
  <c r="M28" i="11"/>
  <c r="I333" i="24"/>
  <c r="H347" i="24"/>
  <c r="H356" i="24" s="1"/>
  <c r="J26" i="29"/>
  <c r="L26" i="29" s="1"/>
  <c r="N26" i="29" s="1"/>
  <c r="D56" i="29"/>
  <c r="B16" i="29"/>
  <c r="D16" i="29" s="1"/>
  <c r="B8" i="29"/>
  <c r="B13" i="29"/>
  <c r="D13" i="29" s="1"/>
  <c r="J23" i="29"/>
  <c r="L23" i="29" s="1"/>
  <c r="B6" i="30"/>
  <c r="I338" i="24"/>
  <c r="M33" i="11"/>
  <c r="H27" i="24" s="1" a="1"/>
  <c r="H37" i="24" s="1"/>
  <c r="H73" i="24" s="1"/>
  <c r="B27" i="29" l="1"/>
  <c r="J26" i="30"/>
  <c r="D78" i="30"/>
  <c r="B28" i="30"/>
  <c r="D28" i="30" s="1"/>
  <c r="F28" i="30" s="1"/>
  <c r="B26" i="29"/>
  <c r="D26" i="29" s="1"/>
  <c r="F26" i="29" s="1"/>
  <c r="J28" i="30"/>
  <c r="L28" i="30" s="1"/>
  <c r="N28" i="30" s="1"/>
  <c r="B18" i="30"/>
  <c r="D18" i="30" s="1"/>
  <c r="I33" i="24"/>
  <c r="I69" i="24" s="1"/>
  <c r="I187" i="24" s="1"/>
  <c r="I30" i="24"/>
  <c r="I66" i="24" s="1"/>
  <c r="I184" i="24" s="1"/>
  <c r="G27" i="11"/>
  <c r="K27" i="11"/>
  <c r="G334" i="24" s="1"/>
  <c r="I27" i="11"/>
  <c r="E334" i="24" s="1"/>
  <c r="I27" i="24"/>
  <c r="I34" i="24"/>
  <c r="I70" i="24" s="1"/>
  <c r="I188" i="24" s="1"/>
  <c r="I37" i="24"/>
  <c r="I73" i="24" s="1"/>
  <c r="I90" i="24" s="1"/>
  <c r="I28" i="24"/>
  <c r="M27" i="11"/>
  <c r="H27" i="11"/>
  <c r="D27" i="11"/>
  <c r="F27" i="11"/>
  <c r="C27" i="11"/>
  <c r="I31" i="24"/>
  <c r="I67" i="24" s="1"/>
  <c r="I185" i="24" s="1"/>
  <c r="E27" i="11"/>
  <c r="B27" i="11"/>
  <c r="C5" i="29"/>
  <c r="D36" i="29" s="1"/>
  <c r="J32" i="11"/>
  <c r="F339" i="24" s="1"/>
  <c r="C32" i="11"/>
  <c r="I35" i="24"/>
  <c r="I71" i="24" s="1"/>
  <c r="I89" i="24" s="1"/>
  <c r="I32" i="24"/>
  <c r="I68" i="24" s="1"/>
  <c r="G32" i="11"/>
  <c r="B32" i="11"/>
  <c r="F32" i="11"/>
  <c r="H32" i="11"/>
  <c r="J27" i="11"/>
  <c r="F334" i="24" s="1"/>
  <c r="I38" i="24"/>
  <c r="I74" i="24" s="1"/>
  <c r="E32" i="11"/>
  <c r="I29" i="24"/>
  <c r="M32" i="11"/>
  <c r="K32" i="11"/>
  <c r="G339" i="24" s="1"/>
  <c r="D32" i="11"/>
  <c r="L32" i="11"/>
  <c r="C6" i="29" s="1"/>
  <c r="D24" i="29"/>
  <c r="F24" i="29" s="1"/>
  <c r="F15" i="29"/>
  <c r="F17" i="29"/>
  <c r="F16" i="29"/>
  <c r="D27" i="29"/>
  <c r="F27" i="29" s="1"/>
  <c r="G27" i="24" a="1"/>
  <c r="I78" i="24"/>
  <c r="I190" i="24"/>
  <c r="H32" i="24"/>
  <c r="H68" i="24" s="1"/>
  <c r="H28" i="24"/>
  <c r="H64" i="24" s="1"/>
  <c r="H35" i="24"/>
  <c r="H71" i="24" s="1"/>
  <c r="H33" i="24"/>
  <c r="H69" i="24" s="1"/>
  <c r="H34" i="24"/>
  <c r="H70" i="24" s="1"/>
  <c r="H36" i="24"/>
  <c r="H72" i="24" s="1"/>
  <c r="H90" i="24" s="1"/>
  <c r="H31" i="24"/>
  <c r="H67" i="24" s="1"/>
  <c r="H27" i="24"/>
  <c r="H63" i="24" s="1"/>
  <c r="H181" i="24" s="1"/>
  <c r="H29" i="24"/>
  <c r="H65" i="24" s="1"/>
  <c r="H30" i="24"/>
  <c r="H66" i="24" s="1"/>
  <c r="H38" i="24"/>
  <c r="H74" i="24" s="1"/>
  <c r="H91" i="24" s="1"/>
  <c r="D25" i="29"/>
  <c r="F25" i="29" s="1"/>
  <c r="B19" i="29"/>
  <c r="B17" i="30"/>
  <c r="D17" i="30" s="1"/>
  <c r="J27" i="30"/>
  <c r="L27" i="30" s="1"/>
  <c r="N27" i="30" s="1"/>
  <c r="D57" i="30"/>
  <c r="F57" i="29"/>
  <c r="D67" i="29"/>
  <c r="F67" i="29" s="1"/>
  <c r="D56" i="30"/>
  <c r="B16" i="30"/>
  <c r="D16" i="30" s="1"/>
  <c r="L26" i="30"/>
  <c r="N26" i="30" s="1"/>
  <c r="D38" i="29"/>
  <c r="F18" i="30"/>
  <c r="N23" i="29"/>
  <c r="N29" i="29" s="1"/>
  <c r="L29" i="29"/>
  <c r="F56" i="29"/>
  <c r="D66" i="29"/>
  <c r="F66" i="29" s="1"/>
  <c r="D65" i="29"/>
  <c r="F65" i="29" s="1"/>
  <c r="F55" i="29"/>
  <c r="B26" i="30" l="1"/>
  <c r="B27" i="30"/>
  <c r="I199" i="24"/>
  <c r="I86" i="24"/>
  <c r="I87" i="24"/>
  <c r="I339" i="24"/>
  <c r="C5" i="30"/>
  <c r="D76" i="30" s="1"/>
  <c r="I189" i="24"/>
  <c r="I204" i="24" s="1"/>
  <c r="I91" i="24"/>
  <c r="I334" i="24"/>
  <c r="I85" i="24"/>
  <c r="I186" i="24"/>
  <c r="I201" i="24" s="1"/>
  <c r="D76" i="29"/>
  <c r="F76" i="29" s="1"/>
  <c r="I84" i="24"/>
  <c r="I88" i="24"/>
  <c r="C6" i="30"/>
  <c r="D77" i="30" s="1"/>
  <c r="D46" i="29"/>
  <c r="F46" i="29" s="1"/>
  <c r="F36" i="29"/>
  <c r="H339" i="24"/>
  <c r="D34" i="29"/>
  <c r="F34" i="29" s="1"/>
  <c r="D37" i="29"/>
  <c r="F37" i="29" s="1"/>
  <c r="D77" i="29"/>
  <c r="F16" i="30"/>
  <c r="F17" i="30"/>
  <c r="I202" i="24"/>
  <c r="H183" i="24"/>
  <c r="H82" i="24"/>
  <c r="H187" i="24"/>
  <c r="H86" i="24"/>
  <c r="G32" i="24"/>
  <c r="G68" i="24" s="1"/>
  <c r="G27" i="24"/>
  <c r="G63" i="24" s="1"/>
  <c r="G181" i="24" s="1"/>
  <c r="G34" i="24"/>
  <c r="G70" i="24" s="1"/>
  <c r="G35" i="24"/>
  <c r="G71" i="24" s="1"/>
  <c r="G31" i="24"/>
  <c r="G67" i="24" s="1"/>
  <c r="G33" i="24"/>
  <c r="G69" i="24" s="1"/>
  <c r="G30" i="24"/>
  <c r="G66" i="24" s="1"/>
  <c r="G29" i="24"/>
  <c r="G65" i="24" s="1"/>
  <c r="G28" i="24"/>
  <c r="G64" i="24" s="1"/>
  <c r="G36" i="24"/>
  <c r="G72" i="24" s="1"/>
  <c r="G37" i="24"/>
  <c r="G73" i="24" s="1"/>
  <c r="H184" i="24"/>
  <c r="H83" i="24"/>
  <c r="H89" i="24"/>
  <c r="H78" i="24"/>
  <c r="H190" i="24"/>
  <c r="H182" i="24"/>
  <c r="H196" i="24" s="1"/>
  <c r="H81" i="24"/>
  <c r="I210" i="24"/>
  <c r="H188" i="24"/>
  <c r="H87" i="24"/>
  <c r="H186" i="24"/>
  <c r="H85" i="24"/>
  <c r="G38" i="24"/>
  <c r="G74" i="24" s="1"/>
  <c r="D26" i="30"/>
  <c r="F26" i="30" s="1"/>
  <c r="H185" i="24"/>
  <c r="H84" i="24"/>
  <c r="H189" i="24"/>
  <c r="H88" i="24"/>
  <c r="F56" i="30"/>
  <c r="D66" i="30"/>
  <c r="F66" i="30" s="1"/>
  <c r="F13" i="29"/>
  <c r="D19" i="29"/>
  <c r="F38" i="29"/>
  <c r="D48" i="29"/>
  <c r="D67" i="30"/>
  <c r="F67" i="30" s="1"/>
  <c r="F57" i="30"/>
  <c r="D23" i="29"/>
  <c r="D33" i="29" s="1"/>
  <c r="B29" i="29"/>
  <c r="D38" i="30"/>
  <c r="D27" i="30"/>
  <c r="F27" i="30" s="1"/>
  <c r="I203" i="24" l="1"/>
  <c r="D36" i="30"/>
  <c r="D46" i="30" s="1"/>
  <c r="I200" i="24"/>
  <c r="D37" i="30"/>
  <c r="D47" i="30" s="1"/>
  <c r="D47" i="29"/>
  <c r="F47" i="29" s="1"/>
  <c r="D44" i="29"/>
  <c r="D54" i="29" s="1"/>
  <c r="F54" i="29" s="1"/>
  <c r="H198" i="24"/>
  <c r="F19" i="29"/>
  <c r="B89" i="29" s="1"/>
  <c r="H203" i="24"/>
  <c r="H200" i="24"/>
  <c r="G90" i="24"/>
  <c r="H197" i="24"/>
  <c r="H210" i="24"/>
  <c r="H204" i="24"/>
  <c r="G188" i="24"/>
  <c r="G87" i="24"/>
  <c r="G91" i="24"/>
  <c r="F77" i="29"/>
  <c r="G183" i="24"/>
  <c r="G82" i="24"/>
  <c r="G189" i="24"/>
  <c r="G88" i="24"/>
  <c r="G184" i="24"/>
  <c r="G83" i="24"/>
  <c r="H201" i="24"/>
  <c r="I216" i="24"/>
  <c r="I262" i="24" s="1"/>
  <c r="I271" i="24" s="1"/>
  <c r="I211" i="24"/>
  <c r="I217" i="24" s="1"/>
  <c r="I263" i="24" s="1"/>
  <c r="I272" i="24" s="1"/>
  <c r="G190" i="24"/>
  <c r="G89" i="24"/>
  <c r="G78" i="24"/>
  <c r="G187" i="24"/>
  <c r="G86" i="24"/>
  <c r="H199" i="24"/>
  <c r="H202" i="24"/>
  <c r="G182" i="24"/>
  <c r="G196" i="24" s="1"/>
  <c r="G81" i="24"/>
  <c r="G84" i="24"/>
  <c r="G185" i="24"/>
  <c r="G85" i="24"/>
  <c r="G186" i="24"/>
  <c r="D48" i="30"/>
  <c r="F48" i="29"/>
  <c r="D58" i="29"/>
  <c r="D29" i="29"/>
  <c r="F23" i="29"/>
  <c r="F29" i="29" s="1"/>
  <c r="G198" i="24" l="1"/>
  <c r="G199" i="24"/>
  <c r="D64" i="29"/>
  <c r="F64" i="29" s="1"/>
  <c r="F44" i="29"/>
  <c r="G200" i="24"/>
  <c r="G202" i="24"/>
  <c r="G201" i="24"/>
  <c r="G197" i="24"/>
  <c r="G203" i="24"/>
  <c r="G210" i="24"/>
  <c r="G204" i="24"/>
  <c r="H216" i="24"/>
  <c r="H211" i="24"/>
  <c r="H217" i="24" s="1"/>
  <c r="F33" i="29"/>
  <c r="D43" i="29"/>
  <c r="F74" i="29"/>
  <c r="D58" i="30"/>
  <c r="F58" i="29"/>
  <c r="D68" i="29"/>
  <c r="H263" i="24" l="1"/>
  <c r="H272" i="24" s="1"/>
  <c r="F307" i="24" s="1"/>
  <c r="H262" i="24"/>
  <c r="H271" i="24" s="1"/>
  <c r="F306" i="24" s="1"/>
  <c r="G216" i="24"/>
  <c r="G211" i="24"/>
  <c r="G217" i="24" s="1"/>
  <c r="F78" i="29"/>
  <c r="F68" i="29"/>
  <c r="F58" i="30"/>
  <c r="D68" i="30"/>
  <c r="F43" i="29"/>
  <c r="D53" i="29"/>
  <c r="G262" i="24" l="1"/>
  <c r="G271" i="24" s="1"/>
  <c r="E306" i="24" s="1"/>
  <c r="G263" i="24"/>
  <c r="G272" i="24" s="1"/>
  <c r="E307" i="24" s="1"/>
  <c r="F53" i="29"/>
  <c r="F59" i="29" s="1"/>
  <c r="D63" i="29"/>
  <c r="F68" i="30"/>
  <c r="B90" i="29" l="1"/>
  <c r="F63" i="29"/>
  <c r="F69" i="29" s="1"/>
  <c r="B93" i="29" s="1"/>
  <c r="F73" i="29"/>
  <c r="E33" i="30" l="1"/>
  <c r="E34" i="30"/>
  <c r="E38" i="30" l="1"/>
  <c r="F38" i="30" s="1"/>
  <c r="E36" i="30"/>
  <c r="F36" i="30" s="1"/>
  <c r="E35" i="30"/>
  <c r="E37" i="30"/>
  <c r="F37" i="30" s="1"/>
  <c r="E43" i="30" l="1"/>
  <c r="E44" i="30" l="1"/>
  <c r="E47" i="30"/>
  <c r="E46" i="30"/>
  <c r="E45" i="30"/>
  <c r="E48" i="30"/>
  <c r="F48" i="30" l="1"/>
  <c r="F47" i="30"/>
  <c r="F46" i="30"/>
  <c r="G72" i="9"/>
  <c r="I72" i="9" l="1"/>
  <c r="F72" i="9"/>
  <c r="F78" i="9" s="1"/>
  <c r="O59" i="9"/>
  <c r="J72" i="9"/>
  <c r="H72" i="9"/>
  <c r="J59" i="9" l="1"/>
  <c r="F269" i="24"/>
  <c r="H59" i="9"/>
  <c r="D269" i="24"/>
  <c r="N72" i="9"/>
  <c r="E269" i="24"/>
  <c r="I59" i="9"/>
  <c r="J269" i="24" l="1"/>
  <c r="M13" i="11"/>
  <c r="N59" i="9"/>
  <c r="M17" i="11"/>
  <c r="M21" i="11"/>
  <c r="B14" i="18"/>
  <c r="B22" i="11" l="1" a="1"/>
  <c r="E14" i="18"/>
  <c r="M18" i="11"/>
  <c r="E27" i="24" s="1" a="1"/>
  <c r="B3" i="30"/>
  <c r="I324" i="24"/>
  <c r="M45" i="11"/>
  <c r="I352" i="24" s="1"/>
  <c r="M8" i="11"/>
  <c r="M9" i="11" s="1"/>
  <c r="D8" i="24" s="1" a="1"/>
  <c r="P59" i="9"/>
  <c r="B4" i="30"/>
  <c r="M23" i="11"/>
  <c r="F27" i="24" s="1" a="1"/>
  <c r="I328" i="24"/>
  <c r="M14" i="11"/>
  <c r="D27" i="24" s="1" a="1"/>
  <c r="B2" i="30"/>
  <c r="M40" i="11"/>
  <c r="I320" i="24"/>
  <c r="J25" i="30" l="1"/>
  <c r="I347" i="24"/>
  <c r="I356" i="24" s="1"/>
  <c r="B9" i="30"/>
  <c r="M50" i="11"/>
  <c r="E28" i="24"/>
  <c r="E64" i="24" s="1"/>
  <c r="E27" i="24"/>
  <c r="E63" i="24" s="1"/>
  <c r="E181" i="24" s="1"/>
  <c r="E31" i="24"/>
  <c r="E67" i="24" s="1"/>
  <c r="E35" i="24"/>
  <c r="E71" i="24" s="1"/>
  <c r="E36" i="24"/>
  <c r="E72" i="24" s="1"/>
  <c r="E33" i="24"/>
  <c r="E69" i="24" s="1"/>
  <c r="E32" i="24"/>
  <c r="E68" i="24" s="1"/>
  <c r="E38" i="24"/>
  <c r="E74" i="24" s="1"/>
  <c r="E37" i="24"/>
  <c r="E73" i="24" s="1"/>
  <c r="E29" i="24"/>
  <c r="E65" i="24" s="1"/>
  <c r="E30" i="24"/>
  <c r="E66" i="24" s="1"/>
  <c r="E34" i="24"/>
  <c r="E70" i="24" s="1"/>
  <c r="D74" i="30"/>
  <c r="B14" i="30"/>
  <c r="D14" i="30" s="1"/>
  <c r="J24" i="30"/>
  <c r="L24" i="30" s="1"/>
  <c r="N24" i="30" s="1"/>
  <c r="F30" i="24"/>
  <c r="F66" i="24" s="1"/>
  <c r="F29" i="24"/>
  <c r="F65" i="24" s="1"/>
  <c r="F28" i="24"/>
  <c r="F64" i="24" s="1"/>
  <c r="F27" i="24"/>
  <c r="F63" i="24" s="1"/>
  <c r="F181" i="24" s="1"/>
  <c r="F31" i="24"/>
  <c r="F67" i="24" s="1"/>
  <c r="F38" i="24"/>
  <c r="F74" i="24" s="1"/>
  <c r="F33" i="24"/>
  <c r="F69" i="24" s="1"/>
  <c r="F37" i="24"/>
  <c r="F73" i="24" s="1"/>
  <c r="F36" i="24"/>
  <c r="F72" i="24" s="1"/>
  <c r="F34" i="24"/>
  <c r="F70" i="24" s="1"/>
  <c r="F32" i="24"/>
  <c r="F68" i="24" s="1"/>
  <c r="F35" i="24"/>
  <c r="F71" i="24" s="1"/>
  <c r="D30" i="24"/>
  <c r="D33" i="24"/>
  <c r="D32" i="24"/>
  <c r="D38" i="24"/>
  <c r="D37" i="24"/>
  <c r="D35" i="24"/>
  <c r="D34" i="24"/>
  <c r="D27" i="24"/>
  <c r="D31" i="24"/>
  <c r="D36" i="24"/>
  <c r="D28" i="24"/>
  <c r="D29" i="24"/>
  <c r="L25" i="30"/>
  <c r="N25" i="30" s="1"/>
  <c r="B15" i="30"/>
  <c r="D15" i="30" s="1"/>
  <c r="F15" i="30" s="1"/>
  <c r="D55" i="30"/>
  <c r="B46" i="11" a="1"/>
  <c r="D73" i="30"/>
  <c r="J23" i="30"/>
  <c r="B8" i="30"/>
  <c r="B13" i="30"/>
  <c r="B23" i="30" s="1"/>
  <c r="C22" i="11"/>
  <c r="C41" i="11" s="1"/>
  <c r="F22" i="11"/>
  <c r="F41" i="11" s="1"/>
  <c r="D22" i="11"/>
  <c r="D41" i="11" s="1"/>
  <c r="G22" i="11"/>
  <c r="G41" i="11" s="1"/>
  <c r="J22" i="11"/>
  <c r="L22" i="11"/>
  <c r="H22" i="11"/>
  <c r="H41" i="11" s="1"/>
  <c r="E22" i="11"/>
  <c r="E41" i="11" s="1"/>
  <c r="M22" i="11"/>
  <c r="I22" i="11"/>
  <c r="K22" i="11"/>
  <c r="B22" i="11"/>
  <c r="B41" i="11" s="1"/>
  <c r="D8" i="24"/>
  <c r="D18" i="24"/>
  <c r="D19" i="24"/>
  <c r="D13" i="24"/>
  <c r="D12" i="24"/>
  <c r="D15" i="24"/>
  <c r="D9" i="24"/>
  <c r="D16" i="24"/>
  <c r="D10" i="24"/>
  <c r="D11" i="24"/>
  <c r="D14" i="24"/>
  <c r="D17" i="24"/>
  <c r="B25" i="30" l="1"/>
  <c r="B24" i="30"/>
  <c r="E90" i="24"/>
  <c r="E16" i="24"/>
  <c r="F16" i="24" s="1"/>
  <c r="E19" i="24"/>
  <c r="F19" i="24" s="1"/>
  <c r="E12" i="24"/>
  <c r="F12" i="24" s="1"/>
  <c r="D24" i="30"/>
  <c r="F24" i="30" s="1"/>
  <c r="E11" i="24"/>
  <c r="F11" i="24" s="1"/>
  <c r="D23" i="30"/>
  <c r="E9" i="24"/>
  <c r="F9" i="24" s="1"/>
  <c r="E15" i="24"/>
  <c r="F15" i="24" s="1"/>
  <c r="L41" i="11"/>
  <c r="C4" i="29"/>
  <c r="H329" i="24"/>
  <c r="H348" i="24" s="1"/>
  <c r="E83" i="24"/>
  <c r="E184" i="24"/>
  <c r="J37" i="24"/>
  <c r="D73" i="24"/>
  <c r="F86" i="24"/>
  <c r="F187" i="24"/>
  <c r="E182" i="24"/>
  <c r="E196" i="24" s="1"/>
  <c r="E81" i="24"/>
  <c r="E13" i="24"/>
  <c r="F13" i="24" s="1"/>
  <c r="J29" i="24"/>
  <c r="D65" i="24"/>
  <c r="D74" i="24"/>
  <c r="D91" i="24" s="1"/>
  <c r="J38" i="24"/>
  <c r="F91" i="24"/>
  <c r="F14" i="30"/>
  <c r="E91" i="24"/>
  <c r="J41" i="11"/>
  <c r="F329" i="24"/>
  <c r="F348" i="24" s="1"/>
  <c r="J34" i="24"/>
  <c r="D70" i="24"/>
  <c r="F83" i="24"/>
  <c r="F184" i="24"/>
  <c r="F90" i="24"/>
  <c r="J28" i="24"/>
  <c r="D64" i="24"/>
  <c r="D68" i="24"/>
  <c r="J32" i="24"/>
  <c r="F185" i="24"/>
  <c r="F84" i="24"/>
  <c r="E85" i="24"/>
  <c r="E186" i="24"/>
  <c r="D65" i="30"/>
  <c r="F65" i="30" s="1"/>
  <c r="F55" i="30"/>
  <c r="J27" i="24"/>
  <c r="D63" i="24"/>
  <c r="D181" i="24" s="1"/>
  <c r="F82" i="24"/>
  <c r="F183" i="24"/>
  <c r="E87" i="24"/>
  <c r="E188" i="24"/>
  <c r="E84" i="24"/>
  <c r="E185" i="24"/>
  <c r="E183" i="24"/>
  <c r="E82" i="24"/>
  <c r="E329" i="24"/>
  <c r="E348" i="24" s="1"/>
  <c r="I41" i="11"/>
  <c r="E14" i="24"/>
  <c r="F14" i="24" s="1"/>
  <c r="I46" i="11"/>
  <c r="E353" i="24" s="1"/>
  <c r="D46" i="11"/>
  <c r="D51" i="11" s="1"/>
  <c r="E46" i="11"/>
  <c r="E51" i="11" s="1"/>
  <c r="F46" i="11"/>
  <c r="F51" i="11" s="1"/>
  <c r="L46" i="11"/>
  <c r="H353" i="24" s="1"/>
  <c r="C46" i="11"/>
  <c r="C51" i="11" s="1"/>
  <c r="H46" i="11"/>
  <c r="H51" i="11" s="1"/>
  <c r="K46" i="11"/>
  <c r="G353" i="24" s="1"/>
  <c r="J46" i="11"/>
  <c r="F353" i="24" s="1"/>
  <c r="M46" i="11"/>
  <c r="I353" i="24" s="1"/>
  <c r="G46" i="11"/>
  <c r="G51" i="11" s="1"/>
  <c r="B46" i="11"/>
  <c r="B51" i="11" s="1"/>
  <c r="D72" i="24"/>
  <c r="J36" i="24"/>
  <c r="D69" i="24"/>
  <c r="J33" i="24"/>
  <c r="F88" i="24"/>
  <c r="F189" i="24"/>
  <c r="E187" i="24"/>
  <c r="E86" i="24"/>
  <c r="F87" i="24"/>
  <c r="F188" i="24"/>
  <c r="E189" i="24"/>
  <c r="E88" i="24"/>
  <c r="J29" i="30"/>
  <c r="L23" i="30"/>
  <c r="F78" i="24"/>
  <c r="F89" i="24"/>
  <c r="F190" i="24"/>
  <c r="J35" i="24"/>
  <c r="D71" i="24"/>
  <c r="G329" i="24"/>
  <c r="G348" i="24" s="1"/>
  <c r="G357" i="24" s="1"/>
  <c r="K41" i="11"/>
  <c r="E17" i="24"/>
  <c r="F17" i="24" s="1"/>
  <c r="I329" i="24"/>
  <c r="I348" i="24" s="1"/>
  <c r="C4" i="30"/>
  <c r="M41" i="11"/>
  <c r="E18" i="24"/>
  <c r="F18" i="24" s="1"/>
  <c r="E10" i="24"/>
  <c r="F10" i="24" s="1"/>
  <c r="D13" i="30"/>
  <c r="B19" i="30"/>
  <c r="D25" i="30"/>
  <c r="F25" i="30" s="1"/>
  <c r="D67" i="24"/>
  <c r="J31" i="24"/>
  <c r="J30" i="24"/>
  <c r="D66" i="24"/>
  <c r="F186" i="24"/>
  <c r="F85" i="24"/>
  <c r="F182" i="24"/>
  <c r="F196" i="24" s="1"/>
  <c r="F81" i="24"/>
  <c r="E78" i="24"/>
  <c r="E89" i="24"/>
  <c r="E190" i="24"/>
  <c r="E199" i="24" l="1"/>
  <c r="D34" i="30"/>
  <c r="F34" i="30" s="1"/>
  <c r="F202" i="24"/>
  <c r="K51" i="11"/>
  <c r="F200" i="24"/>
  <c r="E201" i="24"/>
  <c r="F199" i="24"/>
  <c r="H357" i="24"/>
  <c r="F197" i="24"/>
  <c r="D44" i="30"/>
  <c r="D87" i="24"/>
  <c r="D188" i="24"/>
  <c r="E197" i="24"/>
  <c r="F357" i="24"/>
  <c r="N23" i="30"/>
  <c r="N29" i="30" s="1"/>
  <c r="L29" i="30"/>
  <c r="D82" i="24"/>
  <c r="D183" i="24"/>
  <c r="D75" i="29"/>
  <c r="F75" i="29" s="1"/>
  <c r="F79" i="29" s="1"/>
  <c r="C8" i="29"/>
  <c r="D35" i="29"/>
  <c r="D184" i="24"/>
  <c r="D83" i="24"/>
  <c r="J51" i="11"/>
  <c r="E210" i="24"/>
  <c r="E204" i="24"/>
  <c r="F201" i="24"/>
  <c r="C9" i="29"/>
  <c r="L51" i="11"/>
  <c r="D85" i="24"/>
  <c r="D186" i="24"/>
  <c r="D81" i="24"/>
  <c r="D182" i="24"/>
  <c r="D196" i="24" s="1"/>
  <c r="K196" i="24" s="1"/>
  <c r="M196" i="24" s="1"/>
  <c r="F203" i="24"/>
  <c r="I51" i="11"/>
  <c r="E202" i="24"/>
  <c r="B29" i="30"/>
  <c r="F13" i="30"/>
  <c r="D33" i="30"/>
  <c r="D19" i="30"/>
  <c r="F204" i="24"/>
  <c r="F210" i="24"/>
  <c r="M51" i="11"/>
  <c r="C9" i="30"/>
  <c r="D88" i="24"/>
  <c r="D189" i="24"/>
  <c r="D187" i="24"/>
  <c r="D86" i="24"/>
  <c r="D185" i="24"/>
  <c r="D84" i="24"/>
  <c r="C8" i="30"/>
  <c r="D35" i="30"/>
  <c r="D75" i="30"/>
  <c r="I357" i="24"/>
  <c r="E203" i="24"/>
  <c r="D89" i="24"/>
  <c r="D78" i="24"/>
  <c r="D190" i="24"/>
  <c r="E357" i="24"/>
  <c r="E200" i="24"/>
  <c r="F198" i="24"/>
  <c r="D90" i="24"/>
  <c r="E198" i="24"/>
  <c r="F23" i="30"/>
  <c r="F29" i="30" s="1"/>
  <c r="D29" i="30"/>
  <c r="D200" i="24" l="1"/>
  <c r="K200" i="24" s="1"/>
  <c r="M200" i="24" s="1"/>
  <c r="B94" i="29"/>
  <c r="F19" i="30"/>
  <c r="B89" i="30" s="1"/>
  <c r="D199" i="24"/>
  <c r="K199" i="24" s="1"/>
  <c r="M199" i="24" s="1"/>
  <c r="D198" i="24"/>
  <c r="K198" i="24" s="1"/>
  <c r="M198" i="24" s="1"/>
  <c r="D203" i="24"/>
  <c r="K203" i="24" s="1"/>
  <c r="M203" i="24" s="1"/>
  <c r="D201" i="24"/>
  <c r="K201" i="24" s="1"/>
  <c r="M201" i="24" s="1"/>
  <c r="E216" i="24"/>
  <c r="E262" i="24" s="1"/>
  <c r="E271" i="24" s="1"/>
  <c r="E211" i="24"/>
  <c r="E217" i="24" s="1"/>
  <c r="E263" i="24" s="1"/>
  <c r="E272" i="24" s="1"/>
  <c r="F35" i="29"/>
  <c r="F39" i="29" s="1"/>
  <c r="D45" i="29"/>
  <c r="F45" i="29" s="1"/>
  <c r="F49" i="29" s="1"/>
  <c r="D202" i="24"/>
  <c r="K202" i="24" s="1"/>
  <c r="M202" i="24" s="1"/>
  <c r="F216" i="24"/>
  <c r="F262" i="24" s="1"/>
  <c r="F271" i="24" s="1"/>
  <c r="D306" i="24" s="1"/>
  <c r="G306" i="24" s="1"/>
  <c r="F211" i="24"/>
  <c r="F217" i="24" s="1"/>
  <c r="F263" i="24" s="1"/>
  <c r="F272" i="24" s="1"/>
  <c r="D307" i="24" s="1"/>
  <c r="G307" i="24" s="1"/>
  <c r="F33" i="30"/>
  <c r="D43" i="30"/>
  <c r="F44" i="30"/>
  <c r="D54" i="30"/>
  <c r="D204" i="24"/>
  <c r="D210" i="24"/>
  <c r="D45" i="30"/>
  <c r="F45" i="30" s="1"/>
  <c r="F35" i="30"/>
  <c r="D197" i="24"/>
  <c r="K197" i="24" s="1"/>
  <c r="M197" i="24" s="1"/>
  <c r="B92" i="29" l="1"/>
  <c r="B91" i="29"/>
  <c r="B96" i="29" s="1"/>
  <c r="F39" i="30"/>
  <c r="D211" i="24"/>
  <c r="D217" i="24" s="1"/>
  <c r="D216" i="24"/>
  <c r="F54" i="30"/>
  <c r="D64" i="30"/>
  <c r="F64" i="30" s="1"/>
  <c r="F43" i="30"/>
  <c r="D53" i="30"/>
  <c r="F49" i="30" l="1"/>
  <c r="B91" i="30"/>
  <c r="F53" i="30"/>
  <c r="F59" i="30" s="1"/>
  <c r="D63" i="30"/>
  <c r="F63" i="30" s="1"/>
  <c r="F69" i="30" s="1"/>
  <c r="B93" i="30" s="1"/>
  <c r="D262" i="24"/>
  <c r="J216" i="24"/>
  <c r="D263" i="24"/>
  <c r="J217" i="24"/>
  <c r="B92" i="30" l="1"/>
  <c r="B90" i="30"/>
  <c r="D272" i="24"/>
  <c r="J272" i="24" s="1"/>
  <c r="J263" i="24"/>
  <c r="J262" i="24"/>
  <c r="D271" i="24"/>
  <c r="J271" i="24" s="1"/>
  <c r="E75" i="30" l="1"/>
  <c r="F75" i="30" s="1"/>
  <c r="E78" i="30" l="1"/>
  <c r="F78" i="30" s="1"/>
  <c r="E77" i="30"/>
  <c r="F77" i="30" s="1"/>
  <c r="E74" i="30"/>
  <c r="F74" i="30" s="1"/>
  <c r="E76" i="30"/>
  <c r="F76" i="30" s="1"/>
  <c r="E73" i="30" l="1"/>
  <c r="F73" i="30" s="1"/>
  <c r="F79" i="30" s="1"/>
  <c r="B94" i="30" s="1"/>
  <c r="B96" i="30" s="1"/>
</calcChain>
</file>

<file path=xl/comments1.xml><?xml version="1.0" encoding="utf-8"?>
<comments xmlns="http://schemas.openxmlformats.org/spreadsheetml/2006/main">
  <authors>
    <author>jhoward</author>
    <author>Admin</author>
  </authors>
  <commentList>
    <comment ref="G6" authorId="0">
      <text>
        <r>
          <rPr>
            <b/>
            <sz val="9"/>
            <color indexed="81"/>
            <rFont val="Tahoma"/>
            <family val="2"/>
          </rPr>
          <t>jhoward:</t>
        </r>
        <r>
          <rPr>
            <sz val="9"/>
            <color indexed="81"/>
            <rFont val="Tahoma"/>
            <family val="2"/>
          </rPr>
          <t xml:space="preserve">
USL subracted 32 customers and added 151 connections
</t>
        </r>
      </text>
    </comment>
    <comment ref="G257" authorId="1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Didn't use Bruce's method
</t>
        </r>
      </text>
    </comment>
  </commentList>
</comments>
</file>

<file path=xl/comments2.xml><?xml version="1.0" encoding="utf-8"?>
<comments xmlns="http://schemas.openxmlformats.org/spreadsheetml/2006/main">
  <authors>
    <author>Jaclyn Lavigne</author>
    <author>Admin</author>
  </authors>
  <commentList>
    <comment ref="K2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2003-2011 population is census</t>
        </r>
      </text>
    </comment>
    <comment ref="K122" authorId="0">
      <text>
        <r>
          <rPr>
            <b/>
            <sz val="9"/>
            <color indexed="81"/>
            <rFont val="Tahoma"/>
            <family val="2"/>
          </rPr>
          <t>Amy</t>
        </r>
        <r>
          <rPr>
            <sz val="9"/>
            <color indexed="81"/>
            <rFont val="Tahoma"/>
            <family val="2"/>
          </rPr>
          <t xml:space="preserve">
At growth rate of 2006-2011</t>
        </r>
      </text>
    </comment>
    <comment ref="K134" authorId="0">
      <text>
        <r>
          <rPr>
            <b/>
            <sz val="9"/>
            <color indexed="81"/>
            <rFont val="Tahoma"/>
            <family val="2"/>
          </rPr>
          <t xml:space="preserve">Jane:
</t>
        </r>
        <r>
          <rPr>
            <sz val="9"/>
            <color indexed="81"/>
            <rFont val="Tahoma"/>
            <family val="2"/>
          </rPr>
          <t>Forecast form Town of Orangeville 2014</t>
        </r>
      </text>
    </comment>
    <comment ref="C169" authorId="1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Ssame as the above used</t>
        </r>
      </text>
    </comment>
    <comment ref="H236" authorId="0">
      <text>
        <r>
          <rPr>
            <sz val="9"/>
            <color indexed="81"/>
            <rFont val="Tahoma"/>
            <family val="2"/>
          </rPr>
          <t xml:space="preserve">
from the forecast made by town of orangeville provided in 2013
</t>
        </r>
      </text>
    </comment>
  </commentList>
</comments>
</file>

<file path=xl/comments3.xml><?xml version="1.0" encoding="utf-8"?>
<comments xmlns="http://schemas.openxmlformats.org/spreadsheetml/2006/main">
  <authors>
    <author>Admin</author>
  </authors>
  <commentList>
    <comment ref="J2" authorId="0">
      <text>
        <r>
          <rPr>
            <b/>
            <sz val="9"/>
            <color indexed="81"/>
            <rFont val="Tahoma"/>
            <family val="2"/>
          </rPr>
          <t xml:space="preserve">Jane
</t>
        </r>
        <r>
          <rPr>
            <sz val="9"/>
            <color indexed="81"/>
            <rFont val="Tahoma"/>
            <family val="2"/>
          </rPr>
          <t>Combined with GS &gt;50 TOU</t>
        </r>
      </text>
    </comment>
    <comment ref="M10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Before 2006 USL was combined with GS &lt;50 KW</t>
        </r>
      </text>
    </comment>
    <comment ref="M11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includeS GV 18,397 KWh</t>
        </r>
      </text>
    </comment>
    <comment ref="G70" authorId="0">
      <text>
        <r>
          <rPr>
            <b/>
            <sz val="9"/>
            <color indexed="81"/>
            <rFont val="Tahoma"/>
            <family val="2"/>
          </rPr>
          <t>From CDM Strategic Plan</t>
        </r>
      </text>
    </comment>
  </commentList>
</comments>
</file>

<file path=xl/comments4.xml><?xml version="1.0" encoding="utf-8"?>
<comments xmlns="http://schemas.openxmlformats.org/spreadsheetml/2006/main">
  <authors>
    <author>Admin</author>
  </authors>
  <commentList>
    <comment ref="G15" authorId="0">
      <text>
        <r>
          <rPr>
            <b/>
            <sz val="9"/>
            <color indexed="81"/>
            <rFont val="Tahoma"/>
            <family val="2"/>
          </rPr>
          <t xml:space="preserve"> Use July 2013 data 104 for 2013,2014, original=124
</t>
        </r>
      </text>
    </comment>
  </commentList>
</comments>
</file>

<file path=xl/comments5.xml><?xml version="1.0" encoding="utf-8"?>
<comments xmlns="http://schemas.openxmlformats.org/spreadsheetml/2006/main">
  <authors>
    <author>kbrooks</author>
  </authors>
  <commentList>
    <comment ref="G23" authorId="0">
      <text>
        <r>
          <rPr>
            <b/>
            <sz val="9"/>
            <color indexed="81"/>
            <rFont val="Tahoma"/>
            <family val="2"/>
          </rPr>
          <t>kbrooks:</t>
        </r>
        <r>
          <rPr>
            <sz val="9"/>
            <color indexed="81"/>
            <rFont val="Tahoma"/>
            <family val="2"/>
          </rPr>
          <t xml:space="preserve">
sum of forecast wholesale exlectricity price$20.65/MWH and impact of the global adjustment$59.36MWH</t>
        </r>
      </text>
    </comment>
  </commentList>
</comments>
</file>

<file path=xl/comments6.xml><?xml version="1.0" encoding="utf-8"?>
<comments xmlns="http://schemas.openxmlformats.org/spreadsheetml/2006/main">
  <authors>
    <author>Jaclyn Lavigne</author>
  </authors>
  <commentList>
    <comment ref="E33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Need updated from RTSR
</t>
        </r>
      </text>
    </comment>
    <comment ref="E43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Need updated from RTSR
</t>
        </r>
      </text>
    </comment>
  </commentList>
</comments>
</file>

<file path=xl/comments7.xml><?xml version="1.0" encoding="utf-8"?>
<comments xmlns="http://schemas.openxmlformats.org/spreadsheetml/2006/main">
  <authors>
    <author>Jaclyn Lavigne</author>
    <author>Admin</author>
  </authors>
  <commentList>
    <comment ref="E10" authorId="0">
      <text>
        <r>
          <rPr>
            <b/>
            <sz val="9"/>
            <color indexed="81"/>
            <rFont val="Tahoma"/>
            <family val="2"/>
          </rPr>
          <t>2013,2014 incremental CDM are not included here</t>
        </r>
      </text>
    </comment>
    <comment ref="P28" authorId="1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Final</t>
        </r>
      </text>
    </comment>
  </commentList>
</comments>
</file>

<file path=xl/comments8.xml><?xml version="1.0" encoding="utf-8"?>
<comments xmlns="http://schemas.openxmlformats.org/spreadsheetml/2006/main">
  <authors>
    <author>Jaclyn Lavigne</author>
  </authors>
  <commentList>
    <comment ref="W4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=2013 forecast
</t>
        </r>
      </text>
    </comment>
  </commentList>
</comments>
</file>

<file path=xl/comments9.xml><?xml version="1.0" encoding="utf-8"?>
<comments xmlns="http://schemas.openxmlformats.org/spreadsheetml/2006/main">
  <authors>
    <author>Jaclyn Lavigne</author>
  </authors>
  <commentList>
    <comment ref="F103" authorId="0">
      <text>
        <r>
          <rPr>
            <b/>
            <sz val="9"/>
            <color indexed="81"/>
            <rFont val="Tahoma"/>
            <family val="2"/>
          </rPr>
          <t>Jaclyn Lavigne:</t>
        </r>
        <r>
          <rPr>
            <sz val="9"/>
            <color indexed="81"/>
            <rFont val="Tahoma"/>
            <family val="2"/>
          </rPr>
          <t xml:space="preserve">
Census</t>
        </r>
      </text>
    </comment>
    <comment ref="F134" authorId="0">
      <text>
        <r>
          <rPr>
            <b/>
            <sz val="9"/>
            <color indexed="81"/>
            <rFont val="Tahoma"/>
            <family val="2"/>
          </rPr>
          <t xml:space="preserve">Jane:
</t>
        </r>
        <r>
          <rPr>
            <sz val="9"/>
            <color indexed="81"/>
            <rFont val="Tahoma"/>
            <family val="2"/>
          </rPr>
          <t>Forecast form Town of Orangeville 2014</t>
        </r>
      </text>
    </comment>
  </commentList>
</comments>
</file>

<file path=xl/sharedStrings.xml><?xml version="1.0" encoding="utf-8"?>
<sst xmlns="http://schemas.openxmlformats.org/spreadsheetml/2006/main" count="1075" uniqueCount="483">
  <si>
    <t>Loss Factor</t>
  </si>
  <si>
    <t>Total Billed</t>
  </si>
  <si>
    <t>Heating Degree Days</t>
  </si>
  <si>
    <t>Cooling Degree Days</t>
  </si>
  <si>
    <t>Number of Days in Month</t>
  </si>
  <si>
    <t>Ontario Real GDP Monthly %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</si>
  <si>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</si>
  <si>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</si>
  <si>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</si>
  <si>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</si>
  <si>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</si>
  <si>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</si>
  <si>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</si>
  <si>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</si>
  <si>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</si>
  <si>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</si>
  <si>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</si>
  <si>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</si>
  <si>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</si>
  <si>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</si>
  <si>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</si>
  <si>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</si>
  <si>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</si>
  <si>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</si>
  <si>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</si>
  <si>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</si>
  <si>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</si>
  <si>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</si>
  <si>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</si>
  <si>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</si>
  <si>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</si>
  <si>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</si>
  <si>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</si>
  <si>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</si>
  <si>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</si>
  <si>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</si>
  <si>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</si>
  <si>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</si>
  <si>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</si>
  <si>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</si>
  <si>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</si>
  <si>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</si>
  <si>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</si>
  <si>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</si>
  <si>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</si>
  <si>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</si>
  <si>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</si>
  <si>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</si>
  <si>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</si>
  <si>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</si>
  <si>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2003 Actual </t>
  </si>
  <si>
    <t xml:space="preserve">2004 Actual </t>
  </si>
  <si>
    <t xml:space="preserve">2005 Actual </t>
  </si>
  <si>
    <t xml:space="preserve">2006 Actual </t>
  </si>
  <si>
    <t xml:space="preserve">2007 Actual 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</si>
  <si>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</si>
  <si>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</si>
  <si>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</si>
  <si>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</si>
  <si>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</si>
  <si>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</si>
  <si>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</si>
  <si>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</si>
  <si>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Check totals above sould be zero</t>
  </si>
  <si>
    <t>2008 Actual</t>
  </si>
  <si>
    <t>Number of Customers</t>
  </si>
  <si>
    <t>Weather Normal</t>
  </si>
  <si>
    <t xml:space="preserve">2009 Actual </t>
  </si>
  <si>
    <t xml:space="preserve">  Connections</t>
  </si>
  <si>
    <t>Total of Above</t>
  </si>
  <si>
    <t>Total from Model</t>
  </si>
  <si>
    <t>Check should all be zero</t>
  </si>
  <si>
    <t xml:space="preserve">2010 Actual </t>
  </si>
  <si>
    <t>CDM Activity</t>
  </si>
  <si>
    <t>Total to 2011</t>
  </si>
  <si>
    <t xml:space="preserve">2011 Actual </t>
  </si>
  <si>
    <t>2013 Weather Normal</t>
  </si>
  <si>
    <t>Number of Peak Hours</t>
  </si>
  <si>
    <t>Total Annual CDM Results</t>
  </si>
  <si>
    <t>Increase over previous year</t>
  </si>
  <si>
    <t>Check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</si>
  <si>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</si>
  <si>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</si>
  <si>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</si>
  <si>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</si>
  <si>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</si>
  <si>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</si>
  <si>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</si>
  <si>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</si>
  <si>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</si>
  <si>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</si>
  <si>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</si>
  <si>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CDM Activity Variable</t>
  </si>
  <si>
    <t>Dec</t>
  </si>
  <si>
    <t xml:space="preserve">Residential </t>
  </si>
  <si>
    <t xml:space="preserve">Streetlights </t>
  </si>
  <si>
    <t>Sentinel Lights</t>
  </si>
  <si>
    <t xml:space="preserve">Unmetered Loads </t>
  </si>
  <si>
    <t xml:space="preserve"> # Difference</t>
  </si>
  <si>
    <t xml:space="preserve"> % Difference of Net</t>
  </si>
  <si>
    <t>CDM</t>
  </si>
  <si>
    <t>`</t>
  </si>
  <si>
    <t>Year</t>
  </si>
  <si>
    <t>Billed (GWh)</t>
  </si>
  <si>
    <t>Growth 
(GWh)</t>
  </si>
  <si>
    <t>Percent 
Change</t>
  </si>
  <si>
    <t>Customer/
Connection
Count</t>
  </si>
  <si>
    <t xml:space="preserve">Growth </t>
  </si>
  <si>
    <t>Percent 
Change
(%)</t>
  </si>
  <si>
    <t>Billed Energy (GWh) and Customer Count / Connections</t>
  </si>
  <si>
    <t xml:space="preserve">2008 Actual </t>
  </si>
  <si>
    <t>2009 Actual</t>
  </si>
  <si>
    <t>Billed Energy (GWh)</t>
  </si>
  <si>
    <t>Number of Customers/Connections</t>
  </si>
  <si>
    <t>Energy Usage per Customer/Connection (kWh per customer/connection)</t>
  </si>
  <si>
    <t>Annual Growth Rate in Usage per Customer/Connection</t>
  </si>
  <si>
    <t>kWh savings from 2011 programs with presistent impact</t>
  </si>
  <si>
    <t>OPA 2010 Final Results - kWh</t>
  </si>
  <si>
    <t>Statistic</t>
  </si>
  <si>
    <t>Value</t>
  </si>
  <si>
    <t>F Test</t>
  </si>
  <si>
    <t>T-stats by Coefficient</t>
  </si>
  <si>
    <t xml:space="preserve">Actual </t>
  </si>
  <si>
    <t xml:space="preserve">Predicted 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</si>
  <si>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</si>
  <si>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</si>
  <si>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</si>
  <si>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</si>
  <si>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</si>
  <si>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</si>
  <si>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2013 (Not Normalized)</t>
  </si>
  <si>
    <t>Weather Sensitivity</t>
  </si>
  <si>
    <t>OPA 2006-2010 Final CDM Results (Net)</t>
  </si>
  <si>
    <t>4 Year 2011 to 2014 kWh target</t>
  </si>
  <si>
    <t>2011 Programs</t>
  </si>
  <si>
    <t>2012 Programs</t>
  </si>
  <si>
    <t>2013 Programs</t>
  </si>
  <si>
    <t>2014 Programs</t>
  </si>
  <si>
    <t>kWh</t>
  </si>
  <si>
    <t>kW where applicable</t>
  </si>
  <si>
    <t>Non-normalized Weather Billed Energy Forecast (GWh)</t>
  </si>
  <si>
    <t>Weather Adjustment (GWh)</t>
  </si>
  <si>
    <t>CDM Adjustment (GWh)</t>
  </si>
  <si>
    <t>Weather Normalized Billed Energy Forecast (GWh)</t>
  </si>
  <si>
    <t>Billed Annual kW</t>
  </si>
  <si>
    <t>Ratio of kW to kWh</t>
  </si>
  <si>
    <t>Predicted Billed kW</t>
  </si>
  <si>
    <t>2010 
Actual</t>
  </si>
  <si>
    <t>ACTUAL AND PREDICTED KWH PURCHASES</t>
  </si>
  <si>
    <t>% Difference of actual and predicted purchases</t>
  </si>
  <si>
    <t>BILLING DETERMINANTS BY CLASS</t>
  </si>
  <si>
    <t>Residential</t>
  </si>
  <si>
    <t>GS&lt;50</t>
  </si>
  <si>
    <t>GS&gt;50</t>
  </si>
  <si>
    <t>Sentinels</t>
  </si>
  <si>
    <t>USL</t>
  </si>
  <si>
    <t>Table 3-5: Statistcial Results</t>
  </si>
  <si>
    <t xml:space="preserve">Table 3-6: Total System Purchases </t>
  </si>
  <si>
    <t>Actual</t>
  </si>
  <si>
    <t>10 Year Average</t>
  </si>
  <si>
    <t>20 Year Trend</t>
  </si>
  <si>
    <t>Table 3-7: Historical Customer/Connection Data</t>
  </si>
  <si>
    <t>Table 3-8: Growth Rate in Customer/Connections</t>
  </si>
  <si>
    <t>Table 3-9: Customer/Connection Forecast</t>
  </si>
  <si>
    <t>Table 3-10: Historical Annual Usage per Customer</t>
  </si>
  <si>
    <t>Table 3-11: Growth Rate in Usage Per Customer/Connection</t>
  </si>
  <si>
    <t>Table 3-12: Forecast Annual kWh Usage per Customer/Connection</t>
  </si>
  <si>
    <t>Table 3-13: Non-normalized Weather Billed Energy Forecast (GWh)</t>
  </si>
  <si>
    <t>Table 3-14: Weather Sensitivity by Rate Class</t>
  </si>
  <si>
    <t>Table 3-15: Average Net to Gross Percentage</t>
  </si>
  <si>
    <t>Station Name</t>
  </si>
  <si>
    <t>20 Trend</t>
  </si>
  <si>
    <t>TOTAL</t>
  </si>
  <si>
    <t xml:space="preserve">4750-Low Voltage </t>
  </si>
  <si>
    <t xml:space="preserve">4730-Rural Rate Assistance </t>
  </si>
  <si>
    <t>4716-Charges-CN</t>
  </si>
  <si>
    <t>4714-Charges-NW</t>
  </si>
  <si>
    <t>4708-Charges-WMS</t>
  </si>
  <si>
    <t>4705-Power Purchased</t>
  </si>
  <si>
    <t>Class per Load Forecast</t>
  </si>
  <si>
    <t>Rural Rate Assistance</t>
  </si>
  <si>
    <t>Wholesale Market Service</t>
  </si>
  <si>
    <t>kW</t>
  </si>
  <si>
    <t>Metric</t>
  </si>
  <si>
    <t>Volume</t>
  </si>
  <si>
    <t>Transmission - Connection</t>
  </si>
  <si>
    <t>Transmission - Network</t>
  </si>
  <si>
    <t>Electricity - Commodity Non-RPP</t>
  </si>
  <si>
    <t>Class per Load Forecast RPP</t>
  </si>
  <si>
    <t>Electricity - Commodity RPP</t>
  </si>
  <si>
    <t>2013 Load Foreacst</t>
  </si>
  <si>
    <t>2013 Forecasted Metered kWhs</t>
  </si>
  <si>
    <t>2013  Loss Factor</t>
  </si>
  <si>
    <t xml:space="preserve"> Proposed Cost of Service Method</t>
  </si>
  <si>
    <t>Annual kWh at the Meter</t>
  </si>
  <si>
    <t>Manual Adjustment to the Load Forecast from 2013 and 2014 Programs on a Gross Level</t>
  </si>
  <si>
    <t xml:space="preserve">2012 Actual </t>
  </si>
  <si>
    <t>2014 Weather Normal</t>
  </si>
  <si>
    <t>______________ Weather Normal Load Forecast for 2014 Rate Application</t>
  </si>
  <si>
    <t>Weather Normalization Percentage from 2006 Hydro One Study</t>
  </si>
  <si>
    <t>Annual kW for those classes that charge distribution volumetric charges on a kW basis</t>
  </si>
  <si>
    <t>2012 %RPP</t>
  </si>
  <si>
    <t>2014 Forecasted Metered kWhs</t>
  </si>
  <si>
    <t>2014  Loss Factor</t>
  </si>
  <si>
    <t>2014 Load Foreacst</t>
  </si>
  <si>
    <t>Population</t>
  </si>
  <si>
    <t>Employment (000's)</t>
  </si>
  <si>
    <t>Unemployment (000's)</t>
  </si>
  <si>
    <t>Not Used</t>
  </si>
  <si>
    <t>Not used</t>
  </si>
  <si>
    <t>Consumed</t>
  </si>
  <si>
    <t>Employment</t>
  </si>
  <si>
    <t>Trend</t>
  </si>
  <si>
    <t>Predicted Consumed</t>
  </si>
  <si>
    <t>Lower 95.0%</t>
  </si>
  <si>
    <t>Upper 95.0%</t>
  </si>
  <si>
    <t>Weatther Normal</t>
  </si>
  <si>
    <t>Month</t>
  </si>
  <si>
    <t>10 Average</t>
  </si>
  <si>
    <t>ORANGEVILLE MOE</t>
  </si>
  <si>
    <t>Pearson</t>
  </si>
  <si>
    <t>Orangeville</t>
  </si>
  <si>
    <t>X Variable 1</t>
  </si>
  <si>
    <t>April</t>
  </si>
  <si>
    <t>HDD</t>
  </si>
  <si>
    <t>CDD</t>
  </si>
  <si>
    <t xml:space="preserve">A regrassion analysis is done to find the relationship between monthly HDD/CDD in Orangeville and that in Toronto Pearson. </t>
  </si>
  <si>
    <t>Since 2009, if there is missing HDD and CDD for a couple of days, data from Toronto Pearson is used for those days.</t>
  </si>
  <si>
    <t xml:space="preserve"> If there is missiong data for many days in a month, a prpjected data based on the regrassion analysis is used for that month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</si>
  <si>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</si>
  <si>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</t>
    </r>
  </si>
  <si>
    <t>Number of months</t>
  </si>
  <si>
    <t>Annual purchased</t>
  </si>
  <si>
    <t>Total to</t>
  </si>
  <si>
    <t>Usage Growth</t>
  </si>
  <si>
    <t>Family Day</t>
  </si>
  <si>
    <t>Third Monday in February</t>
  </si>
  <si>
    <t>Good Friday</t>
  </si>
  <si>
    <t>Friday before Easter Sunday</t>
  </si>
  <si>
    <t>Monday after Easter Sunday</t>
  </si>
  <si>
    <t>Victoria Day</t>
  </si>
  <si>
    <t>Monday before May 25</t>
  </si>
  <si>
    <t>Canada Day</t>
  </si>
  <si>
    <t>Civic Holiday</t>
  </si>
  <si>
    <t>First Monday in August</t>
  </si>
  <si>
    <t>Labour Day</t>
  </si>
  <si>
    <t>First Monday in September</t>
  </si>
  <si>
    <t>Thanksgiving Day</t>
  </si>
  <si>
    <t>Second Monday in October</t>
  </si>
  <si>
    <t>Christmas Day</t>
  </si>
  <si>
    <t>Boxing Day</t>
  </si>
  <si>
    <t>Weekdays</t>
  </si>
  <si>
    <t>Holidays</t>
  </si>
  <si>
    <t>Net workdays</t>
  </si>
  <si>
    <t xml:space="preserve">Holiday </t>
  </si>
  <si>
    <t>New Year's Day</t>
  </si>
  <si>
    <t>Sat, January 1</t>
  </si>
  <si>
    <t>Sun, January 1</t>
  </si>
  <si>
    <t>Tue, January 1</t>
  </si>
  <si>
    <t>Wed, January 1</t>
  </si>
  <si>
    <t>Mon, February 21</t>
  </si>
  <si>
    <t>Mon, February 20</t>
  </si>
  <si>
    <t>Mon, February 18</t>
  </si>
  <si>
    <t>Mon, February 17</t>
  </si>
  <si>
    <t>Fri, April 22</t>
  </si>
  <si>
    <t>Fri, April 6</t>
  </si>
  <si>
    <t>Fri, March 29</t>
  </si>
  <si>
    <t>Fri, April 18</t>
  </si>
  <si>
    <t>Easter Monday *</t>
  </si>
  <si>
    <t>Mon, April 25</t>
  </si>
  <si>
    <t>Mon, April 9</t>
  </si>
  <si>
    <t>Mon, April 1</t>
  </si>
  <si>
    <t>Mon, April 21</t>
  </si>
  <si>
    <t>Mon, May 23</t>
  </si>
  <si>
    <t>Mon, May 21</t>
  </si>
  <si>
    <t>Mon, May 20</t>
  </si>
  <si>
    <t>Mon, May 19</t>
  </si>
  <si>
    <t>Fri, July 1</t>
  </si>
  <si>
    <t>Sun, July 1</t>
  </si>
  <si>
    <t>Mon, July 1</t>
  </si>
  <si>
    <t>Tue, July 1</t>
  </si>
  <si>
    <r>
      <t>*</t>
    </r>
    <r>
      <rPr>
        <sz val="8"/>
        <color rgb="FF555555"/>
        <rFont val="Arial"/>
        <family val="2"/>
      </rPr>
      <t xml:space="preserve"> not an official stat holiday.</t>
    </r>
  </si>
  <si>
    <t>Mon, August 1</t>
  </si>
  <si>
    <t>Mon, August 6</t>
  </si>
  <si>
    <t>Mon, August 5</t>
  </si>
  <si>
    <t>Mon, August 4</t>
  </si>
  <si>
    <t>Mon, September 5</t>
  </si>
  <si>
    <t>Mon, September 3</t>
  </si>
  <si>
    <t>Mon, September 2</t>
  </si>
  <si>
    <t>Mon, September 1</t>
  </si>
  <si>
    <t>Mon, October 10</t>
  </si>
  <si>
    <t>Mon, October 8</t>
  </si>
  <si>
    <t>Mon, October 14</t>
  </si>
  <si>
    <t>Mon, October 13</t>
  </si>
  <si>
    <t>Sun, December 25</t>
  </si>
  <si>
    <t>Tue, December 25</t>
  </si>
  <si>
    <t>Wed, December 25</t>
  </si>
  <si>
    <t>Thu, December 25</t>
  </si>
  <si>
    <t>Mon, December 26</t>
  </si>
  <si>
    <t>Wed, December 26</t>
  </si>
  <si>
    <t>Thu, December 26</t>
  </si>
  <si>
    <t>Fri, December 26</t>
  </si>
  <si>
    <t xml:space="preserve">From RRR </t>
  </si>
  <si>
    <t>Q1</t>
  </si>
  <si>
    <t>Q2</t>
  </si>
  <si>
    <t>Q3</t>
  </si>
  <si>
    <t>Q4</t>
  </si>
  <si>
    <t>Sum</t>
  </si>
  <si>
    <t>General Service &lt; 50 kW</t>
  </si>
  <si>
    <t>General Service &gt; 50</t>
  </si>
  <si>
    <t>2012 RPP  KWH</t>
  </si>
  <si>
    <t>RPP</t>
  </si>
  <si>
    <t>RPP %</t>
  </si>
  <si>
    <t>http://www.orangevillehydro.on.ca/Billing/rateorder.pdf</t>
  </si>
  <si>
    <t>2013 Tariff sheet</t>
  </si>
  <si>
    <t>Purchased KWh with Losses (loss adjusted), (highest value)</t>
  </si>
  <si>
    <t>Average 2003-2012</t>
  </si>
  <si>
    <t>Customer Number</t>
  </si>
  <si>
    <t>Total OPA Annual CDM Results (Gross) KWh</t>
  </si>
  <si>
    <t>Total OPA Annual CDM Results (Net) KWh</t>
  </si>
  <si>
    <t xml:space="preserve">Monthly Incremental savings </t>
  </si>
  <si>
    <t>Unmetered Loads Connections</t>
  </si>
  <si>
    <t>Sentinel Lights Connections</t>
  </si>
  <si>
    <t xml:space="preserve">Streetlights Connections </t>
  </si>
  <si>
    <t>Average of last year end and this year end</t>
  </si>
  <si>
    <t>Average Number of Customers/Connections</t>
  </si>
  <si>
    <t>2009 USL</t>
  </si>
  <si>
    <t>Actual 01/03/2013</t>
  </si>
  <si>
    <t>Gross MWh</t>
  </si>
  <si>
    <t>Net MWh</t>
  </si>
  <si>
    <t>Don't delete</t>
  </si>
  <si>
    <t>Implementation Period</t>
  </si>
  <si>
    <t>Q4 2012 CDM Status Report_Orangeville Hydro Limited</t>
  </si>
  <si>
    <t>Annual GWh</t>
  </si>
  <si>
    <t xml:space="preserve">Monthly savings including persistent savings from previous months </t>
  </si>
  <si>
    <t>Accumulated unit</t>
  </si>
  <si>
    <t>2006 Programs</t>
  </si>
  <si>
    <t>Final</t>
  </si>
  <si>
    <t>2007 Programs</t>
  </si>
  <si>
    <t>2008 Programs</t>
  </si>
  <si>
    <t>2009 Programs</t>
  </si>
  <si>
    <t>2010 Programs</t>
  </si>
  <si>
    <t>HDD &amp; CDD</t>
  </si>
  <si>
    <t>Connwcrions</t>
  </si>
  <si>
    <t>Actual GWh</t>
  </si>
  <si>
    <t>Predicted GWh</t>
  </si>
  <si>
    <t>average supply cost for RPP consumers is $79.32/MWH</t>
  </si>
  <si>
    <t xml:space="preserve">firsrt complete OEB RTSR workform, </t>
  </si>
  <si>
    <t>sheet 13</t>
  </si>
  <si>
    <t>PER OEB March 21 2013 decesion</t>
  </si>
  <si>
    <t>LV</t>
  </si>
  <si>
    <t>2013 Tarriff sheet</t>
  </si>
  <si>
    <t>go to rate design model total cost, then allocated by class on transmission %</t>
  </si>
  <si>
    <t>PER OEB March 28, 2013 decesion</t>
  </si>
  <si>
    <t>X12 month</t>
  </si>
  <si>
    <t>IESO Smart Meter Entity Charrge</t>
  </si>
  <si>
    <t>Customers</t>
  </si>
  <si>
    <t>4708-Smart meter entity charges</t>
  </si>
  <si>
    <t>2010 Board Approved</t>
  </si>
  <si>
    <t>2013 Bridge</t>
  </si>
  <si>
    <t>2014 Test</t>
  </si>
  <si>
    <t>.</t>
  </si>
  <si>
    <t>Days</t>
  </si>
  <si>
    <t>Peak hours</t>
  </si>
  <si>
    <t>Spring Fall</t>
  </si>
  <si>
    <t>Contribution to increase in KWh</t>
  </si>
  <si>
    <t>Purchase KWh Driver 2004 VS 2012 predicted</t>
  </si>
  <si>
    <t>Predicted KWh</t>
  </si>
  <si>
    <t>4 Year 2011 to 2014 ministry target</t>
  </si>
  <si>
    <t>RPP% based on KWH</t>
  </si>
  <si>
    <t>see 2012 total</t>
  </si>
  <si>
    <t xml:space="preserve">RPP price report April 2013 from the OEB </t>
  </si>
  <si>
    <t>GS &lt; 50 KW</t>
  </si>
  <si>
    <t>GS &gt; 50 KW</t>
  </si>
  <si>
    <t>2013 program</t>
  </si>
  <si>
    <t>2014 program</t>
  </si>
  <si>
    <t>Gross to net ratio</t>
  </si>
  <si>
    <t>Gross to Net Ratio</t>
  </si>
  <si>
    <t>Gross to net ratio used for 2013&amp;2014</t>
  </si>
  <si>
    <t>USL was included in GS &lt; 50, before 2006</t>
  </si>
  <si>
    <t>HOUSEHOLD AND POPULATION STATISTICS – 1996-2012</t>
  </si>
  <si>
    <t xml:space="preserve"> POPULATION</t>
  </si>
  <si>
    <t xml:space="preserve">YEAR </t>
  </si>
  <si>
    <t>Monthly increase</t>
  </si>
  <si>
    <t>Tariff</t>
  </si>
  <si>
    <t>2011-2014 program</t>
  </si>
  <si>
    <t>KWh</t>
  </si>
  <si>
    <t xml:space="preserve">Total annual net </t>
  </si>
  <si>
    <t>Monthly savings</t>
  </si>
  <si>
    <t>Grand Valley</t>
  </si>
  <si>
    <t>Dec, 2012</t>
  </si>
  <si>
    <t>Dec, 2013</t>
  </si>
  <si>
    <t>Dec, 2014</t>
  </si>
  <si>
    <t>Town of Orangeville</t>
  </si>
  <si>
    <t>old forecast</t>
  </si>
  <si>
    <t>with census data</t>
  </si>
  <si>
    <t>without census data</t>
  </si>
  <si>
    <t xml:space="preserve">Ontario Employment </t>
  </si>
  <si>
    <t xml:space="preserve">Update Regression Analysis whenever a number in variables and actual is updated  </t>
  </si>
  <si>
    <t xml:space="preserve">Employment </t>
  </si>
  <si>
    <t xml:space="preserve"> Billed Growth</t>
  </si>
  <si>
    <t xml:space="preserve">  GWh</t>
  </si>
  <si>
    <t xml:space="preserve">          GWh</t>
  </si>
  <si>
    <t xml:space="preserve"> GWh</t>
  </si>
  <si>
    <t>2010 Board App. Vs. 2010 Actual</t>
  </si>
  <si>
    <t>Orangeville Hydro 4 Year 2011 to 2014 kWh target</t>
  </si>
  <si>
    <t>kWh savings from 2012 programs with presistent impact</t>
  </si>
  <si>
    <t>Ontario Employment Number</t>
  </si>
  <si>
    <t>2014 Weather Normal - 10 year average</t>
  </si>
  <si>
    <t>2014 Weather Normal - 20 year trend</t>
  </si>
  <si>
    <t>Growth Rate in Usage per Customer/Connection</t>
  </si>
  <si>
    <t>2014 (Not Normalized)</t>
  </si>
  <si>
    <t>OPA 2006-2010 Final CDM Results (Gross) KWh</t>
  </si>
  <si>
    <t>Table 3-17: 2014 Expected Savings for LRAM Variance Account</t>
  </si>
  <si>
    <t>2013 &amp; 2014 CDM Forecast by Class (net) KWh</t>
  </si>
  <si>
    <t>2013 &amp; 2014 CDM Forecast by Class KW</t>
  </si>
  <si>
    <t>2011 program</t>
  </si>
  <si>
    <t>2012 program</t>
  </si>
  <si>
    <t>2011
Actual</t>
  </si>
  <si>
    <t>2012 
Actual</t>
  </si>
  <si>
    <t xml:space="preserve">2013 Weather Normalized Bridge </t>
  </si>
  <si>
    <t>2014 Weather Normalized Test</t>
  </si>
  <si>
    <t>2013 Normalized Bridge</t>
  </si>
  <si>
    <t>2014 Normalized Test</t>
  </si>
  <si>
    <t>Average 2003 to 2012</t>
  </si>
  <si>
    <t>From 2012 Q4 report</t>
  </si>
  <si>
    <t>2011 Program</t>
  </si>
  <si>
    <t>2012 Program</t>
  </si>
  <si>
    <t>2013 Non-Normalized Bridge</t>
  </si>
  <si>
    <t>2014 Non-Normalized Test</t>
  </si>
  <si>
    <t xml:space="preserve">Plastiflex 2010-2012 Consumption </t>
  </si>
  <si>
    <t>2012 kWh</t>
  </si>
  <si>
    <t>2012 Avg Demand</t>
  </si>
  <si>
    <t>2011 KwH</t>
  </si>
  <si>
    <t>2011 Avg Demand</t>
  </si>
  <si>
    <t xml:space="preserve">2010 kWh </t>
  </si>
  <si>
    <t>2010 Avg Demand</t>
  </si>
  <si>
    <t>Plastiflex usage dropped October 2012, finalled Feb 1 2013</t>
  </si>
  <si>
    <t>Manual adjustment for average</t>
  </si>
  <si>
    <t>Manual</t>
  </si>
  <si>
    <t>Adjustment</t>
  </si>
  <si>
    <t>Persistance???</t>
  </si>
  <si>
    <t>Divided by 2-1/2yr rule?</t>
  </si>
  <si>
    <t>Should be full year?</t>
  </si>
  <si>
    <t>Should be 1/2 yr?</t>
  </si>
  <si>
    <t>Need to manually adjust unbilled revenued was not calculated in 2011</t>
  </si>
  <si>
    <t>Streetlight old data</t>
  </si>
  <si>
    <t>Sent Lt old data</t>
  </si>
  <si>
    <t>Unmetered load calculated consumption okay due to connection# change</t>
  </si>
  <si>
    <t>Original</t>
  </si>
  <si>
    <t>Use average of last 5 years</t>
  </si>
  <si>
    <t>From load forecast</t>
  </si>
  <si>
    <t>Pre 2011 CDM Programs</t>
  </si>
  <si>
    <t>SSS Receiving HOEP</t>
  </si>
  <si>
    <t>Retailer</t>
  </si>
  <si>
    <t>HOEP</t>
  </si>
  <si>
    <t>Electricity - Commodity Non-RPP Non-Retailer</t>
  </si>
  <si>
    <t>Feb 2012 Correction</t>
  </si>
  <si>
    <t>Manual Adjustment</t>
  </si>
  <si>
    <t>1/2 Yr</t>
  </si>
  <si>
    <t>Quantity</t>
  </si>
  <si>
    <t>Table 3-15: Schedule to Achieve 4 Year kWh CDM Target</t>
  </si>
  <si>
    <t>not used</t>
  </si>
  <si>
    <t xml:space="preserve">Table 3-16: Alignment of Non-normal to Weather Normal Forecast </t>
  </si>
  <si>
    <t>1/2 Year</t>
  </si>
  <si>
    <t>Table 3-17: Historical Annual kW per Applicable Rate Class</t>
  </si>
  <si>
    <t>Table 3-18: Historical kW/KWh Ratio per Applicable Rate Class</t>
  </si>
  <si>
    <t>Table 3-19: kW Forecast by Applicable Rate Class</t>
  </si>
  <si>
    <t>Table 3-20: Summary of Forecast</t>
  </si>
  <si>
    <r>
      <t>t</t>
    </r>
    <r>
      <rPr>
        <vertAlign val="subscript"/>
        <sz val="14"/>
        <rFont val="Calibri"/>
        <family val="2"/>
        <scheme val="minor"/>
      </rPr>
      <t xml:space="preserve">α/2,(n-2)      </t>
    </r>
    <r>
      <rPr>
        <sz val="14"/>
        <rFont val="Calibri"/>
        <family val="2"/>
        <scheme val="minor"/>
      </rPr>
      <t>=</t>
    </r>
  </si>
  <si>
    <r>
      <t>t</t>
    </r>
    <r>
      <rPr>
        <vertAlign val="subscript"/>
        <sz val="14"/>
        <rFont val="Calibri"/>
        <family val="2"/>
        <scheme val="minor"/>
      </rPr>
      <t>0.05/2,(120-2)</t>
    </r>
  </si>
  <si>
    <r>
      <t>t</t>
    </r>
    <r>
      <rPr>
        <vertAlign val="subscript"/>
        <sz val="14"/>
        <rFont val="Calibri"/>
        <family val="2"/>
        <scheme val="minor"/>
      </rPr>
      <t>.025,118</t>
    </r>
  </si>
  <si>
    <t xml:space="preserve">2006-2010 </t>
  </si>
  <si>
    <t>Gross KWh</t>
  </si>
  <si>
    <t>Net kWh</t>
  </si>
  <si>
    <t>Linked to Board appendices</t>
  </si>
  <si>
    <t>don't delete</t>
  </si>
  <si>
    <t>Table 3-4: 2012 Final Results and Persistent Impact,                           2011 Verified Results and Persistent Impacts
plus OPA 2010 Final Results and Persistent Impact</t>
  </si>
  <si>
    <t>Needs to be recalculated based on what we are charged</t>
  </si>
  <si>
    <t>from board appendix</t>
  </si>
  <si>
    <t>Table 3-2: Summary of Load and Customer/Connection Forecast</t>
  </si>
  <si>
    <t>Table 3-3: Billed Energy and Number of Customers / Connections by Rate Class</t>
  </si>
  <si>
    <t>Table 3-4: Annual Usage per Customer/Connection by Rate Class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</si>
</sst>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0.0%"/>
    <numFmt numFmtId="167" formatCode="#,##0;\(#,##0\)"/>
    <numFmt numFmtId="168" formatCode="0.0000"/>
    <numFmt numFmtId="169" formatCode="#,##0.0000"/>
    <numFmt numFmtId="170" formatCode="0.0000%"/>
    <numFmt numFmtId="171" formatCode="#,##0.0"/>
    <numFmt numFmtId="172" formatCode="_(* #,##0_);_(* \(#,##0\);_(* &quot;-&quot;??_);_(@_)"/>
    <numFmt numFmtId="173" formatCode="0.0"/>
    <numFmt numFmtId="174" formatCode="_-* #,##0_-;\-* #,##0_-;_-* &quot;-&quot;??_-;_-@_-"/>
    <numFmt numFmtId="175" formatCode="#,##0.000"/>
    <numFmt numFmtId="176" formatCode="0.0;\(0.0\)"/>
    <numFmt numFmtId="177" formatCode="0.0%;\(0.0%\)"/>
    <numFmt numFmtId="178" formatCode="0;\(0\)"/>
    <numFmt numFmtId="179" formatCode="#,##0.0;\(#,##0.0\)"/>
    <numFmt numFmtId="180" formatCode="0.0000%;\(0.0%\)"/>
    <numFmt numFmtId="181" formatCode="#,##0.00000_);\(#,##0.00000\)"/>
    <numFmt numFmtId="182" formatCode="&quot;$&quot;#,##0.0000_);\(&quot;$&quot;#,##0.0000\)"/>
    <numFmt numFmtId="183" formatCode="#,##0.0000_);\(#,##0.0000\)"/>
    <numFmt numFmtId="184" formatCode="&quot;$&quot;#,##0.00000_);\(&quot;$&quot;#,##0.00000\)"/>
    <numFmt numFmtId="185" formatCode="#,##0.0;\-#,##0.0"/>
    <numFmt numFmtId="186" formatCode="#,##0.0_);\(#,##0.0\)"/>
    <numFmt numFmtId="187" formatCode="_(* #,##0.0_);_(* \(#,##0.0\);_(* &quot;-&quot;??_);_(@_)"/>
    <numFmt numFmtId="188" formatCode="_(* #,##0.000_);_(* \(#,##0.000\);_(* &quot;-&quot;??_);_(@_)"/>
    <numFmt numFmtId="189" formatCode="0.000"/>
    <numFmt numFmtId="190" formatCode="#,##0_ ;\-#,##0\ "/>
    <numFmt numFmtId="191" formatCode="_(&quot;$&quot;* #,##0.0000_);_(&quot;$&quot;* \(#,##0.0000\);_(&quot;$&quot;* &quot;-&quot;??_);_(@_)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sz val="10"/>
      <color rgb="FF000000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Arial"/>
      <family val="2"/>
    </font>
    <font>
      <b/>
      <sz val="10"/>
      <color rgb="FFFFFFFF"/>
      <name val="Arial"/>
      <family val="2"/>
    </font>
    <font>
      <sz val="8"/>
      <color rgb="FF555555"/>
      <name val="Arial"/>
      <family val="2"/>
    </font>
    <font>
      <vertAlign val="superscript"/>
      <sz val="8"/>
      <color rgb="FF555555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FF0000"/>
      <name val="Arial"/>
      <family val="2"/>
    </font>
    <font>
      <b/>
      <i/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u/>
      <sz val="10"/>
      <name val="Calibri"/>
      <family val="2"/>
      <scheme val="minor"/>
    </font>
    <font>
      <sz val="14"/>
      <name val="Calibri"/>
      <family val="2"/>
      <scheme val="minor"/>
    </font>
    <font>
      <u/>
      <sz val="10"/>
      <name val="Calibri"/>
      <family val="2"/>
      <scheme val="minor"/>
    </font>
    <font>
      <i/>
      <sz val="10"/>
      <name val="Calibri"/>
      <family val="2"/>
      <scheme val="minor"/>
    </font>
    <font>
      <vertAlign val="subscript"/>
      <sz val="14"/>
      <name val="Calibri"/>
      <family val="2"/>
      <scheme val="minor"/>
    </font>
    <font>
      <sz val="9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05983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444444"/>
      </left>
      <right/>
      <top style="medium">
        <color rgb="FF444444"/>
      </top>
      <bottom style="medium">
        <color rgb="FF444444"/>
      </bottom>
      <diagonal/>
    </border>
    <border>
      <left style="medium">
        <color rgb="FF444444"/>
      </left>
      <right style="medium">
        <color rgb="FF444444"/>
      </right>
      <top/>
      <bottom style="medium">
        <color rgb="FF444444"/>
      </bottom>
      <diagonal/>
    </border>
    <border>
      <left style="medium">
        <color rgb="FF444444"/>
      </left>
      <right style="medium">
        <color rgb="FF444444"/>
      </right>
      <top/>
      <bottom/>
      <diagonal/>
    </border>
    <border>
      <left style="medium">
        <color rgb="FF444444"/>
      </left>
      <right style="medium">
        <color rgb="FF444444"/>
      </right>
      <top style="medium">
        <color rgb="FF444444"/>
      </top>
      <bottom/>
      <diagonal/>
    </border>
    <border>
      <left style="medium">
        <color rgb="FFA8A8A8"/>
      </left>
      <right/>
      <top style="medium">
        <color rgb="FF444444"/>
      </top>
      <bottom style="medium">
        <color rgb="FF444444"/>
      </bottom>
      <diagonal/>
    </border>
    <border>
      <left style="medium">
        <color rgb="FF444444"/>
      </left>
      <right style="medium">
        <color rgb="FFA8A8A8"/>
      </right>
      <top style="medium">
        <color rgb="FF444444"/>
      </top>
      <bottom style="medium">
        <color rgb="FF444444"/>
      </bottom>
      <diagonal/>
    </border>
    <border>
      <left style="medium">
        <color rgb="FFA8A8A8"/>
      </left>
      <right/>
      <top/>
      <bottom/>
      <diagonal/>
    </border>
    <border>
      <left style="medium">
        <color rgb="FF444444"/>
      </left>
      <right style="medium">
        <color rgb="FFA8A8A8"/>
      </right>
      <top style="medium">
        <color rgb="FF444444"/>
      </top>
      <bottom/>
      <diagonal/>
    </border>
    <border>
      <left style="medium">
        <color rgb="FFA8A8A8"/>
      </left>
      <right/>
      <top/>
      <bottom style="medium">
        <color rgb="FF444444"/>
      </bottom>
      <diagonal/>
    </border>
    <border>
      <left style="medium">
        <color rgb="FF444444"/>
      </left>
      <right style="medium">
        <color rgb="FFA8A8A8"/>
      </right>
      <top/>
      <bottom style="medium">
        <color rgb="FF444444"/>
      </bottom>
      <diagonal/>
    </border>
    <border>
      <left style="medium">
        <color rgb="FF444444"/>
      </left>
      <right style="medium">
        <color rgb="FFA8A8A8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9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12" fillId="0" borderId="0"/>
    <xf numFmtId="0" fontId="6" fillId="0" borderId="0"/>
    <xf numFmtId="0" fontId="11" fillId="0" borderId="0"/>
    <xf numFmtId="0" fontId="4" fillId="4" borderId="19" applyNumberFormat="0" applyFont="0" applyAlignment="0" applyProtection="0"/>
    <xf numFmtId="9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3" fillId="0" borderId="0"/>
    <xf numFmtId="0" fontId="12" fillId="0" borderId="0"/>
    <xf numFmtId="0" fontId="5" fillId="0" borderId="0"/>
    <xf numFmtId="0" fontId="12" fillId="0" borderId="0"/>
    <xf numFmtId="9" fontId="12" fillId="0" borderId="0" applyFont="0" applyFill="0" applyBorder="0" applyAlignment="0" applyProtection="0"/>
    <xf numFmtId="0" fontId="2" fillId="0" borderId="0"/>
    <xf numFmtId="0" fontId="1" fillId="0" borderId="0"/>
    <xf numFmtId="0" fontId="20" fillId="0" borderId="0" applyNumberFormat="0" applyFill="0" applyBorder="0" applyAlignment="0" applyProtection="0"/>
    <xf numFmtId="164" fontId="24" fillId="0" borderId="0" applyFont="0" applyFill="0" applyBorder="0" applyAlignment="0" applyProtection="0"/>
  </cellStyleXfs>
  <cellXfs count="833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3" fontId="7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3" fontId="5" fillId="0" borderId="0" xfId="1" applyNumberFormat="1" applyAlignment="1">
      <alignment horizontal="center"/>
    </xf>
    <xf numFmtId="10" fontId="0" fillId="0" borderId="0" xfId="0" applyNumberFormat="1" applyAlignment="1">
      <alignment horizontal="center"/>
    </xf>
    <xf numFmtId="1" fontId="0" fillId="0" borderId="0" xfId="0" applyNumberFormat="1"/>
    <xf numFmtId="0" fontId="0" fillId="2" borderId="0" xfId="0" applyFill="1" applyAlignment="1">
      <alignment horizontal="center"/>
    </xf>
    <xf numFmtId="0" fontId="8" fillId="0" borderId="0" xfId="0" applyFont="1"/>
    <xf numFmtId="0" fontId="8" fillId="0" borderId="0" xfId="0" applyFont="1" applyAlignment="1"/>
    <xf numFmtId="3" fontId="0" fillId="2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0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3" fontId="6" fillId="2" borderId="1" xfId="0" applyNumberFormat="1" applyFont="1" applyFill="1" applyBorder="1" applyAlignment="1">
      <alignment horizontal="center"/>
    </xf>
    <xf numFmtId="0" fontId="0" fillId="0" borderId="0" xfId="0" applyFill="1"/>
    <xf numFmtId="4" fontId="0" fillId="0" borderId="0" xfId="0" applyNumberFormat="1" applyAlignment="1">
      <alignment horizontal="center"/>
    </xf>
    <xf numFmtId="4" fontId="0" fillId="0" borderId="0" xfId="0" applyNumberFormat="1" applyFill="1" applyAlignment="1">
      <alignment horizontal="center"/>
    </xf>
    <xf numFmtId="0" fontId="0" fillId="0" borderId="0" xfId="0" applyFill="1" applyBorder="1" applyAlignment="1"/>
    <xf numFmtId="167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8" fillId="0" borderId="0" xfId="0" applyNumberFormat="1" applyFont="1"/>
    <xf numFmtId="3" fontId="6" fillId="3" borderId="1" xfId="0" applyNumberFormat="1" applyFont="1" applyFill="1" applyBorder="1" applyAlignment="1">
      <alignment horizontal="center"/>
    </xf>
    <xf numFmtId="3" fontId="7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0" fontId="5" fillId="0" borderId="0" xfId="0" applyFont="1" applyFill="1"/>
    <xf numFmtId="168" fontId="0" fillId="0" borderId="0" xfId="0" applyNumberFormat="1" applyFill="1" applyAlignment="1">
      <alignment horizontal="center"/>
    </xf>
    <xf numFmtId="0" fontId="0" fillId="0" borderId="2" xfId="0" applyFill="1" applyBorder="1" applyAlignment="1"/>
    <xf numFmtId="0" fontId="9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Continuous"/>
    </xf>
    <xf numFmtId="10" fontId="0" fillId="3" borderId="0" xfId="0" applyNumberFormat="1" applyFill="1" applyAlignment="1">
      <alignment horizontal="center"/>
    </xf>
    <xf numFmtId="9" fontId="0" fillId="0" borderId="0" xfId="13" applyFont="1" applyFill="1" applyBorder="1" applyAlignment="1"/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174" fontId="5" fillId="0" borderId="0" xfId="4" applyNumberFormat="1"/>
    <xf numFmtId="174" fontId="0" fillId="0" borderId="0" xfId="0" applyNumberFormat="1"/>
    <xf numFmtId="3" fontId="5" fillId="0" borderId="0" xfId="0" applyNumberFormat="1" applyFont="1" applyFill="1" applyAlignment="1">
      <alignment horizontal="center"/>
    </xf>
    <xf numFmtId="166" fontId="0" fillId="0" borderId="0" xfId="13" applyNumberFormat="1" applyFont="1"/>
    <xf numFmtId="3" fontId="0" fillId="0" borderId="0" xfId="0" applyNumberFormat="1"/>
    <xf numFmtId="166" fontId="0" fillId="0" borderId="1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4" xfId="0" applyNumberFormat="1" applyBorder="1"/>
    <xf numFmtId="166" fontId="0" fillId="0" borderId="1" xfId="0" applyNumberFormat="1" applyBorder="1"/>
    <xf numFmtId="3" fontId="0" fillId="0" borderId="4" xfId="0" applyNumberFormat="1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0" fontId="0" fillId="0" borderId="1" xfId="0" applyBorder="1"/>
    <xf numFmtId="0" fontId="7" fillId="0" borderId="0" xfId="0" applyFont="1" applyFill="1" applyAlignment="1">
      <alignment horizontal="center" wrapText="1"/>
    </xf>
    <xf numFmtId="10" fontId="0" fillId="0" borderId="0" xfId="13" applyNumberFormat="1" applyFont="1" applyAlignment="1">
      <alignment horizontal="center"/>
    </xf>
    <xf numFmtId="43" fontId="0" fillId="0" borderId="0" xfId="1" applyFont="1" applyFill="1" applyBorder="1" applyAlignment="1"/>
    <xf numFmtId="43" fontId="0" fillId="0" borderId="2" xfId="1" applyFont="1" applyFill="1" applyBorder="1" applyAlignment="1"/>
    <xf numFmtId="166" fontId="0" fillId="0" borderId="1" xfId="0" applyNumberFormat="1" applyFill="1" applyBorder="1" applyAlignment="1">
      <alignment horizontal="center"/>
    </xf>
    <xf numFmtId="0" fontId="5" fillId="0" borderId="1" xfId="0" applyFont="1" applyBorder="1"/>
    <xf numFmtId="37" fontId="0" fillId="0" borderId="0" xfId="0" applyNumberFormat="1"/>
    <xf numFmtId="17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/>
    <xf numFmtId="0" fontId="5" fillId="0" borderId="0" xfId="0" applyFont="1"/>
    <xf numFmtId="0" fontId="14" fillId="6" borderId="1" xfId="0" applyFont="1" applyFill="1" applyBorder="1" applyAlignment="1">
      <alignment horizontal="center" wrapText="1"/>
    </xf>
    <xf numFmtId="0" fontId="13" fillId="0" borderId="0" xfId="0" applyFont="1" applyAlignment="1">
      <alignment horizontal="center"/>
    </xf>
    <xf numFmtId="17" fontId="13" fillId="0" borderId="0" xfId="0" applyNumberFormat="1" applyFont="1"/>
    <xf numFmtId="37" fontId="13" fillId="5" borderId="0" xfId="0" applyNumberFormat="1" applyFont="1" applyFill="1" applyAlignment="1">
      <alignment horizontal="center"/>
    </xf>
    <xf numFmtId="1" fontId="13" fillId="5" borderId="0" xfId="1" applyNumberFormat="1" applyFont="1" applyFill="1" applyAlignment="1">
      <alignment horizontal="center"/>
    </xf>
    <xf numFmtId="0" fontId="0" fillId="0" borderId="17" xfId="0" applyBorder="1"/>
    <xf numFmtId="0" fontId="0" fillId="0" borderId="15" xfId="0" applyBorder="1"/>
    <xf numFmtId="0" fontId="8" fillId="0" borderId="16" xfId="0" applyFont="1" applyBorder="1"/>
    <xf numFmtId="0" fontId="8" fillId="0" borderId="26" xfId="0" applyFont="1" applyBorder="1" applyAlignment="1">
      <alignment horizontal="center"/>
    </xf>
    <xf numFmtId="0" fontId="8" fillId="0" borderId="13" xfId="0" applyFont="1" applyBorder="1"/>
    <xf numFmtId="0" fontId="8" fillId="0" borderId="12" xfId="0" applyFont="1" applyBorder="1"/>
    <xf numFmtId="0" fontId="8" fillId="0" borderId="0" xfId="0" applyFont="1" applyBorder="1"/>
    <xf numFmtId="0" fontId="8" fillId="0" borderId="0" xfId="0" applyFont="1" applyAlignment="1">
      <alignment horizontal="center"/>
    </xf>
    <xf numFmtId="3" fontId="0" fillId="5" borderId="0" xfId="0" applyNumberFormat="1" applyFill="1" applyAlignment="1">
      <alignment horizontal="center"/>
    </xf>
    <xf numFmtId="169" fontId="0" fillId="5" borderId="0" xfId="0" applyNumberFormat="1" applyFill="1" applyAlignment="1">
      <alignment horizontal="center"/>
    </xf>
    <xf numFmtId="166" fontId="0" fillId="0" borderId="4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/>
    <xf numFmtId="3" fontId="7" fillId="0" borderId="0" xfId="0" applyNumberFormat="1" applyFont="1" applyFill="1" applyAlignment="1">
      <alignment horizontal="center"/>
    </xf>
    <xf numFmtId="4" fontId="7" fillId="0" borderId="0" xfId="0" applyNumberFormat="1" applyFont="1" applyFill="1" applyAlignment="1">
      <alignment horizontal="center" wrapText="1"/>
    </xf>
    <xf numFmtId="3" fontId="7" fillId="0" borderId="0" xfId="0" applyNumberFormat="1" applyFont="1" applyFill="1" applyAlignment="1">
      <alignment horizontal="center" wrapText="1"/>
    </xf>
    <xf numFmtId="37" fontId="5" fillId="0" borderId="0" xfId="0" applyNumberFormat="1" applyFont="1" applyFill="1" applyAlignment="1">
      <alignment horizontal="center"/>
    </xf>
    <xf numFmtId="185" fontId="5" fillId="0" borderId="0" xfId="0" applyNumberFormat="1" applyFont="1" applyFill="1" applyAlignment="1">
      <alignment horizontal="center"/>
    </xf>
    <xf numFmtId="37" fontId="5" fillId="0" borderId="0" xfId="0" applyNumberFormat="1" applyFont="1" applyAlignment="1">
      <alignment horizontal="center"/>
    </xf>
    <xf numFmtId="0" fontId="15" fillId="0" borderId="3" xfId="0" applyFont="1" applyFill="1" applyBorder="1" applyAlignment="1">
      <alignment horizontal="centerContinuous"/>
    </xf>
    <xf numFmtId="9" fontId="15" fillId="0" borderId="3" xfId="13" applyFont="1" applyFill="1" applyBorder="1" applyAlignment="1">
      <alignment horizontal="centerContinuous"/>
    </xf>
    <xf numFmtId="0" fontId="15" fillId="0" borderId="3" xfId="0" applyFont="1" applyFill="1" applyBorder="1" applyAlignment="1">
      <alignment horizontal="center"/>
    </xf>
    <xf numFmtId="4" fontId="5" fillId="0" borderId="0" xfId="0" applyNumberFormat="1" applyFont="1" applyFill="1" applyAlignment="1">
      <alignment horizontal="center"/>
    </xf>
    <xf numFmtId="3" fontId="5" fillId="0" borderId="0" xfId="0" applyNumberFormat="1" applyFont="1" applyAlignment="1">
      <alignment horizontal="center"/>
    </xf>
    <xf numFmtId="37" fontId="0" fillId="0" borderId="0" xfId="0" applyNumberFormat="1" applyFill="1" applyAlignment="1">
      <alignment horizontal="center"/>
    </xf>
    <xf numFmtId="1" fontId="5" fillId="0" borderId="0" xfId="0" applyNumberFormat="1" applyFont="1" applyFill="1" applyAlignment="1">
      <alignment horizontal="center"/>
    </xf>
    <xf numFmtId="4" fontId="5" fillId="3" borderId="0" xfId="0" applyNumberFormat="1" applyFont="1" applyFill="1" applyAlignment="1">
      <alignment horizontal="center"/>
    </xf>
    <xf numFmtId="37" fontId="5" fillId="2" borderId="0" xfId="0" applyNumberFormat="1" applyFont="1" applyFill="1" applyAlignment="1">
      <alignment horizontal="center"/>
    </xf>
    <xf numFmtId="9" fontId="0" fillId="0" borderId="0" xfId="13" applyFont="1"/>
    <xf numFmtId="1" fontId="5" fillId="2" borderId="0" xfId="0" applyNumberFormat="1" applyFont="1" applyFill="1" applyAlignment="1">
      <alignment horizontal="center"/>
    </xf>
    <xf numFmtId="9" fontId="0" fillId="0" borderId="2" xfId="13" applyFont="1" applyFill="1" applyBorder="1" applyAlignment="1"/>
    <xf numFmtId="9" fontId="9" fillId="0" borderId="3" xfId="13" applyFont="1" applyFill="1" applyBorder="1" applyAlignment="1">
      <alignment horizontal="center"/>
    </xf>
    <xf numFmtId="17" fontId="5" fillId="0" borderId="0" xfId="0" applyNumberFormat="1" applyFont="1"/>
    <xf numFmtId="0" fontId="0" fillId="0" borderId="0" xfId="0" applyAlignment="1">
      <alignment horizontal="center"/>
    </xf>
    <xf numFmtId="1" fontId="13" fillId="0" borderId="0" xfId="0" applyNumberFormat="1" applyFont="1" applyAlignment="1">
      <alignment horizontal="center"/>
    </xf>
    <xf numFmtId="37" fontId="1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17" fontId="13" fillId="0" borderId="0" xfId="0" applyNumberFormat="1" applyFont="1" applyAlignment="1">
      <alignment horizontal="center"/>
    </xf>
    <xf numFmtId="0" fontId="16" fillId="0" borderId="0" xfId="0" applyFont="1" applyAlignment="1">
      <alignment horizontal="center" wrapText="1"/>
    </xf>
    <xf numFmtId="37" fontId="9" fillId="0" borderId="0" xfId="0" applyNumberFormat="1" applyFont="1" applyAlignment="1">
      <alignment horizontal="center"/>
    </xf>
    <xf numFmtId="0" fontId="14" fillId="5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37" fontId="13" fillId="7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37" fontId="13" fillId="8" borderId="0" xfId="0" applyNumberFormat="1" applyFont="1" applyFill="1" applyAlignment="1">
      <alignment horizontal="center"/>
    </xf>
    <xf numFmtId="1" fontId="0" fillId="8" borderId="0" xfId="0" applyNumberFormat="1" applyFill="1"/>
    <xf numFmtId="17" fontId="14" fillId="0" borderId="0" xfId="0" applyNumberFormat="1" applyFont="1"/>
    <xf numFmtId="0" fontId="14" fillId="0" borderId="0" xfId="0" applyFont="1" applyAlignment="1">
      <alignment horizontal="center"/>
    </xf>
    <xf numFmtId="0" fontId="8" fillId="0" borderId="0" xfId="0" applyFont="1" applyAlignment="1">
      <alignment wrapText="1"/>
    </xf>
    <xf numFmtId="0" fontId="14" fillId="0" borderId="0" xfId="0" applyFont="1"/>
    <xf numFmtId="2" fontId="0" fillId="8" borderId="0" xfId="0" applyNumberFormat="1" applyFill="1"/>
    <xf numFmtId="1" fontId="13" fillId="0" borderId="0" xfId="1" applyNumberFormat="1" applyFont="1" applyFill="1" applyAlignment="1">
      <alignment horizontal="center"/>
    </xf>
    <xf numFmtId="1" fontId="10" fillId="0" borderId="0" xfId="0" applyNumberFormat="1" applyFont="1" applyFill="1" applyAlignment="1">
      <alignment horizontal="center"/>
    </xf>
    <xf numFmtId="173" fontId="17" fillId="5" borderId="0" xfId="0" applyNumberFormat="1" applyFont="1" applyFill="1"/>
    <xf numFmtId="1" fontId="17" fillId="5" borderId="0" xfId="0" applyNumberFormat="1" applyFont="1" applyFill="1"/>
    <xf numFmtId="0" fontId="17" fillId="5" borderId="0" xfId="0" applyFont="1" applyFill="1"/>
    <xf numFmtId="186" fontId="13" fillId="8" borderId="0" xfId="0" applyNumberFormat="1" applyFont="1" applyFill="1" applyAlignment="1">
      <alignment horizontal="center"/>
    </xf>
    <xf numFmtId="3" fontId="0" fillId="5" borderId="1" xfId="0" applyNumberFormat="1" applyFill="1" applyBorder="1" applyAlignment="1">
      <alignment horizontal="center"/>
    </xf>
    <xf numFmtId="3" fontId="5" fillId="3" borderId="0" xfId="0" applyNumberFormat="1" applyFont="1" applyFill="1" applyAlignment="1">
      <alignment horizontal="center" wrapText="1"/>
    </xf>
    <xf numFmtId="3" fontId="0" fillId="3" borderId="0" xfId="0" applyNumberFormat="1" applyFill="1" applyBorder="1" applyAlignment="1">
      <alignment horizontal="center"/>
    </xf>
    <xf numFmtId="3" fontId="0" fillId="3" borderId="23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3" fontId="6" fillId="3" borderId="0" xfId="0" applyNumberFormat="1" applyFont="1" applyFill="1" applyBorder="1" applyAlignment="1">
      <alignment horizontal="center"/>
    </xf>
    <xf numFmtId="3" fontId="6" fillId="3" borderId="23" xfId="0" applyNumberFormat="1" applyFont="1" applyFill="1" applyBorder="1" applyAlignment="1">
      <alignment horizontal="center"/>
    </xf>
    <xf numFmtId="3" fontId="5" fillId="0" borderId="0" xfId="0" applyNumberFormat="1" applyFont="1" applyAlignment="1">
      <alignment horizontal="left"/>
    </xf>
    <xf numFmtId="168" fontId="5" fillId="0" borderId="0" xfId="0" applyNumberFormat="1" applyFont="1" applyAlignment="1">
      <alignment horizontal="center"/>
    </xf>
    <xf numFmtId="17" fontId="8" fillId="0" borderId="0" xfId="0" applyNumberFormat="1" applyFont="1" applyAlignment="1">
      <alignment wrapText="1"/>
    </xf>
    <xf numFmtId="3" fontId="5" fillId="3" borderId="23" xfId="0" applyNumberFormat="1" applyFont="1" applyFill="1" applyBorder="1" applyAlignment="1">
      <alignment horizontal="center"/>
    </xf>
    <xf numFmtId="0" fontId="0" fillId="5" borderId="0" xfId="0" applyFill="1"/>
    <xf numFmtId="0" fontId="5" fillId="0" borderId="0" xfId="0" applyFont="1" applyAlignment="1">
      <alignment horizontal="left"/>
    </xf>
    <xf numFmtId="3" fontId="8" fillId="0" borderId="0" xfId="0" applyNumberFormat="1" applyFont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1" fillId="9" borderId="30" xfId="0" applyFont="1" applyFill="1" applyBorder="1" applyAlignment="1">
      <alignment vertical="center" wrapText="1"/>
    </xf>
    <xf numFmtId="0" fontId="21" fillId="9" borderId="34" xfId="0" applyFont="1" applyFill="1" applyBorder="1" applyAlignment="1">
      <alignment vertical="center" wrapText="1"/>
    </xf>
    <xf numFmtId="0" fontId="21" fillId="9" borderId="35" xfId="0" applyFont="1" applyFill="1" applyBorder="1" applyAlignment="1">
      <alignment vertical="center" wrapText="1"/>
    </xf>
    <xf numFmtId="0" fontId="20" fillId="10" borderId="36" xfId="27" applyFill="1" applyBorder="1" applyAlignment="1">
      <alignment vertical="center" wrapText="1"/>
    </xf>
    <xf numFmtId="16" fontId="22" fillId="10" borderId="38" xfId="0" applyNumberFormat="1" applyFont="1" applyFill="1" applyBorder="1" applyAlignment="1">
      <alignment vertical="center" wrapText="1"/>
    </xf>
    <xf numFmtId="0" fontId="20" fillId="11" borderId="36" xfId="27" applyFill="1" applyBorder="1" applyAlignment="1">
      <alignment vertical="center" wrapText="1"/>
    </xf>
    <xf numFmtId="0" fontId="22" fillId="11" borderId="38" xfId="0" applyFont="1" applyFill="1" applyBorder="1" applyAlignment="1">
      <alignment vertical="center" wrapText="1"/>
    </xf>
    <xf numFmtId="0" fontId="22" fillId="10" borderId="38" xfId="0" applyFont="1" applyFill="1" applyBorder="1" applyAlignment="1">
      <alignment vertical="center" wrapText="1"/>
    </xf>
    <xf numFmtId="16" fontId="22" fillId="11" borderId="38" xfId="0" applyNumberFormat="1" applyFont="1" applyFill="1" applyBorder="1" applyAlignment="1">
      <alignment vertical="center" wrapText="1"/>
    </xf>
    <xf numFmtId="0" fontId="8" fillId="10" borderId="36" xfId="0" applyFont="1" applyFill="1" applyBorder="1" applyAlignment="1">
      <alignment vertical="center" wrapText="1"/>
    </xf>
    <xf numFmtId="0" fontId="22" fillId="10" borderId="36" xfId="0" applyFont="1" applyFill="1" applyBorder="1" applyAlignment="1">
      <alignment vertical="center" wrapText="1"/>
    </xf>
    <xf numFmtId="0" fontId="23" fillId="10" borderId="38" xfId="0" applyFont="1" applyFill="1" applyBorder="1" applyAlignment="1">
      <alignment vertical="center" wrapText="1"/>
    </xf>
    <xf numFmtId="16" fontId="22" fillId="10" borderId="36" xfId="0" applyNumberFormat="1" applyFont="1" applyFill="1" applyBorder="1" applyAlignment="1">
      <alignment vertical="center" wrapText="1"/>
    </xf>
    <xf numFmtId="0" fontId="0" fillId="0" borderId="20" xfId="0" applyBorder="1"/>
    <xf numFmtId="0" fontId="0" fillId="0" borderId="25" xfId="0" applyBorder="1"/>
    <xf numFmtId="0" fontId="0" fillId="0" borderId="13" xfId="0" applyBorder="1"/>
    <xf numFmtId="0" fontId="0" fillId="0" borderId="11" xfId="0" applyBorder="1"/>
    <xf numFmtId="0" fontId="0" fillId="0" borderId="16" xfId="0" applyBorder="1"/>
    <xf numFmtId="17" fontId="5" fillId="0" borderId="16" xfId="0" applyNumberFormat="1" applyFont="1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3" fontId="0" fillId="5" borderId="1" xfId="0" applyNumberFormat="1" applyFill="1" applyBorder="1" applyAlignment="1">
      <alignment horizontal="center"/>
    </xf>
    <xf numFmtId="17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0" fontId="5" fillId="0" borderId="0" xfId="0" applyFont="1" applyAlignment="1">
      <alignment wrapText="1"/>
    </xf>
    <xf numFmtId="174" fontId="5" fillId="0" borderId="0" xfId="4" applyNumberFormat="1" applyFill="1"/>
    <xf numFmtId="17" fontId="8" fillId="0" borderId="0" xfId="0" applyNumberFormat="1" applyFont="1"/>
    <xf numFmtId="174" fontId="8" fillId="0" borderId="0" xfId="0" applyNumberFormat="1" applyFont="1"/>
    <xf numFmtId="17" fontId="8" fillId="12" borderId="0" xfId="0" applyNumberFormat="1" applyFont="1" applyFill="1" applyAlignment="1"/>
    <xf numFmtId="3" fontId="0" fillId="12" borderId="0" xfId="0" applyNumberFormat="1" applyFill="1" applyAlignment="1">
      <alignment horizontal="center"/>
    </xf>
    <xf numFmtId="169" fontId="0" fillId="0" borderId="16" xfId="0" applyNumberFormat="1" applyBorder="1" applyAlignment="1">
      <alignment horizontal="center"/>
    </xf>
    <xf numFmtId="169" fontId="0" fillId="0" borderId="26" xfId="0" applyNumberFormat="1" applyBorder="1" applyAlignment="1">
      <alignment horizontal="center"/>
    </xf>
    <xf numFmtId="169" fontId="0" fillId="0" borderId="23" xfId="0" applyNumberFormat="1" applyBorder="1" applyAlignment="1">
      <alignment horizontal="center"/>
    </xf>
    <xf numFmtId="169" fontId="0" fillId="0" borderId="22" xfId="0" applyNumberFormat="1" applyBorder="1" applyAlignment="1">
      <alignment horizontal="center"/>
    </xf>
    <xf numFmtId="169" fontId="0" fillId="0" borderId="15" xfId="0" applyNumberFormat="1" applyBorder="1" applyAlignment="1">
      <alignment horizontal="center"/>
    </xf>
    <xf numFmtId="169" fontId="0" fillId="0" borderId="25" xfId="0" applyNumberFormat="1" applyBorder="1" applyAlignment="1">
      <alignment horizontal="center"/>
    </xf>
    <xf numFmtId="0" fontId="8" fillId="0" borderId="0" xfId="0" applyFont="1" applyBorder="1" applyAlignment="1">
      <alignment wrapText="1"/>
    </xf>
    <xf numFmtId="0" fontId="8" fillId="0" borderId="14" xfId="0" applyFont="1" applyBorder="1" applyAlignment="1">
      <alignment wrapText="1"/>
    </xf>
    <xf numFmtId="0" fontId="8" fillId="0" borderId="17" xfId="0" applyFont="1" applyBorder="1" applyAlignment="1">
      <alignment horizontal="center"/>
    </xf>
    <xf numFmtId="0" fontId="0" fillId="0" borderId="0" xfId="0" applyBorder="1"/>
    <xf numFmtId="0" fontId="0" fillId="0" borderId="14" xfId="0" applyBorder="1"/>
    <xf numFmtId="188" fontId="0" fillId="0" borderId="23" xfId="1" applyNumberFormat="1" applyFont="1" applyBorder="1"/>
    <xf numFmtId="188" fontId="0" fillId="0" borderId="22" xfId="1" applyNumberFormat="1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174" fontId="8" fillId="0" borderId="0" xfId="4" applyNumberFormat="1" applyFont="1"/>
    <xf numFmtId="166" fontId="8" fillId="0" borderId="0" xfId="13" applyNumberFormat="1" applyFont="1"/>
    <xf numFmtId="0" fontId="0" fillId="0" borderId="0" xfId="0" applyBorder="1" applyAlignment="1">
      <alignment horizontal="center"/>
    </xf>
    <xf numFmtId="189" fontId="0" fillId="0" borderId="0" xfId="0" applyNumberFormat="1"/>
    <xf numFmtId="173" fontId="0" fillId="0" borderId="0" xfId="0" applyNumberFormat="1"/>
    <xf numFmtId="0" fontId="5" fillId="0" borderId="17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17" xfId="0" applyBorder="1" applyAlignment="1">
      <alignment horizontal="center"/>
    </xf>
    <xf numFmtId="2" fontId="0" fillId="0" borderId="0" xfId="0" applyNumberFormat="1" applyBorder="1"/>
    <xf numFmtId="2" fontId="0" fillId="0" borderId="14" xfId="0" applyNumberFormat="1" applyBorder="1"/>
    <xf numFmtId="0" fontId="5" fillId="0" borderId="26" xfId="0" applyFont="1" applyBorder="1" applyAlignment="1">
      <alignment horizontal="center"/>
    </xf>
    <xf numFmtId="2" fontId="0" fillId="0" borderId="23" xfId="0" applyNumberFormat="1" applyBorder="1"/>
    <xf numFmtId="2" fontId="0" fillId="0" borderId="22" xfId="0" applyNumberFormat="1" applyBorder="1"/>
    <xf numFmtId="0" fontId="5" fillId="0" borderId="17" xfId="0" applyFont="1" applyBorder="1"/>
    <xf numFmtId="2" fontId="0" fillId="5" borderId="0" xfId="0" applyNumberFormat="1" applyFill="1" applyBorder="1"/>
    <xf numFmtId="2" fontId="0" fillId="5" borderId="14" xfId="0" applyNumberFormat="1" applyFill="1" applyBorder="1"/>
    <xf numFmtId="3" fontId="0" fillId="0" borderId="4" xfId="0" applyNumberFormat="1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172" fontId="0" fillId="0" borderId="0" xfId="1" applyNumberFormat="1" applyFont="1"/>
    <xf numFmtId="37" fontId="5" fillId="5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Continuous"/>
    </xf>
    <xf numFmtId="0" fontId="9" fillId="0" borderId="0" xfId="0" applyFont="1" applyFill="1" applyBorder="1" applyAlignment="1">
      <alignment horizontal="center"/>
    </xf>
    <xf numFmtId="3" fontId="5" fillId="0" borderId="0" xfId="0" applyNumberFormat="1" applyFont="1"/>
    <xf numFmtId="10" fontId="0" fillId="0" borderId="0" xfId="0" applyNumberFormat="1" applyFill="1" applyAlignment="1">
      <alignment horizontal="center"/>
    </xf>
    <xf numFmtId="167" fontId="8" fillId="0" borderId="0" xfId="0" applyNumberFormat="1" applyFont="1" applyAlignment="1">
      <alignment horizontal="center"/>
    </xf>
    <xf numFmtId="0" fontId="0" fillId="0" borderId="23" xfId="0" applyBorder="1"/>
    <xf numFmtId="167" fontId="0" fillId="14" borderId="0" xfId="0" applyNumberFormat="1" applyFill="1" applyAlignment="1">
      <alignment horizontal="center"/>
    </xf>
    <xf numFmtId="189" fontId="5" fillId="0" borderId="0" xfId="0" applyNumberFormat="1" applyFont="1"/>
    <xf numFmtId="37" fontId="5" fillId="0" borderId="0" xfId="0" applyNumberFormat="1" applyFont="1" applyFill="1" applyBorder="1" applyAlignment="1">
      <alignment horizontal="center"/>
    </xf>
    <xf numFmtId="0" fontId="5" fillId="0" borderId="23" xfId="0" applyFont="1" applyBorder="1" applyAlignment="1">
      <alignment horizontal="center"/>
    </xf>
    <xf numFmtId="174" fontId="5" fillId="0" borderId="23" xfId="4" applyNumberFormat="1" applyFill="1" applyBorder="1"/>
    <xf numFmtId="174" fontId="5" fillId="0" borderId="23" xfId="4" applyNumberFormat="1" applyBorder="1"/>
    <xf numFmtId="174" fontId="0" fillId="0" borderId="23" xfId="0" applyNumberFormat="1" applyBorder="1"/>
    <xf numFmtId="0" fontId="5" fillId="5" borderId="0" xfId="0" applyFont="1" applyFill="1"/>
    <xf numFmtId="3" fontId="5" fillId="5" borderId="1" xfId="0" applyNumberFormat="1" applyFont="1" applyFill="1" applyBorder="1" applyAlignment="1">
      <alignment horizontal="center"/>
    </xf>
    <xf numFmtId="167" fontId="5" fillId="0" borderId="0" xfId="0" applyNumberFormat="1" applyFont="1" applyAlignment="1">
      <alignment horizontal="center"/>
    </xf>
    <xf numFmtId="0" fontId="0" fillId="0" borderId="26" xfId="0" applyBorder="1"/>
    <xf numFmtId="0" fontId="5" fillId="0" borderId="14" xfId="0" applyFont="1" applyBorder="1"/>
    <xf numFmtId="0" fontId="5" fillId="0" borderId="22" xfId="0" applyFont="1" applyBorder="1"/>
    <xf numFmtId="0" fontId="0" fillId="0" borderId="24" xfId="0" applyBorder="1"/>
    <xf numFmtId="0" fontId="5" fillId="0" borderId="22" xfId="0" applyFont="1" applyFill="1" applyBorder="1"/>
    <xf numFmtId="0" fontId="5" fillId="0" borderId="24" xfId="0" applyFont="1" applyBorder="1"/>
    <xf numFmtId="1" fontId="0" fillId="0" borderId="15" xfId="0" applyNumberFormat="1" applyBorder="1"/>
    <xf numFmtId="1" fontId="0" fillId="0" borderId="16" xfId="0" applyNumberFormat="1" applyBorder="1"/>
    <xf numFmtId="1" fontId="0" fillId="0" borderId="25" xfId="0" applyNumberFormat="1" applyBorder="1"/>
    <xf numFmtId="1" fontId="0" fillId="0" borderId="17" xfId="0" applyNumberFormat="1" applyBorder="1"/>
    <xf numFmtId="1" fontId="0" fillId="0" borderId="0" xfId="0" applyNumberFormat="1" applyBorder="1"/>
    <xf numFmtId="1" fontId="0" fillId="0" borderId="14" xfId="0" applyNumberFormat="1" applyBorder="1"/>
    <xf numFmtId="1" fontId="0" fillId="0" borderId="26" xfId="0" applyNumberFormat="1" applyBorder="1"/>
    <xf numFmtId="1" fontId="0" fillId="0" borderId="23" xfId="0" applyNumberFormat="1" applyBorder="1"/>
    <xf numFmtId="189" fontId="0" fillId="0" borderId="0" xfId="0" applyNumberFormat="1" applyBorder="1"/>
    <xf numFmtId="189" fontId="0" fillId="0" borderId="14" xfId="0" applyNumberFormat="1" applyBorder="1"/>
    <xf numFmtId="189" fontId="0" fillId="0" borderId="23" xfId="0" applyNumberFormat="1" applyBorder="1"/>
    <xf numFmtId="189" fontId="0" fillId="0" borderId="22" xfId="0" applyNumberFormat="1" applyBorder="1"/>
    <xf numFmtId="188" fontId="0" fillId="0" borderId="0" xfId="1" applyNumberFormat="1" applyFont="1" applyBorder="1"/>
    <xf numFmtId="188" fontId="0" fillId="0" borderId="14" xfId="1" applyNumberFormat="1" applyFont="1" applyBorder="1"/>
    <xf numFmtId="188" fontId="0" fillId="0" borderId="0" xfId="1" applyNumberFormat="1" applyFont="1"/>
    <xf numFmtId="189" fontId="8" fillId="0" borderId="0" xfId="0" applyNumberFormat="1" applyFont="1" applyBorder="1"/>
    <xf numFmtId="174" fontId="0" fillId="0" borderId="0" xfId="1" applyNumberFormat="1" applyFont="1" applyFill="1" applyBorder="1"/>
    <xf numFmtId="3" fontId="5" fillId="12" borderId="0" xfId="0" applyNumberFormat="1" applyFont="1" applyFill="1" applyAlignment="1">
      <alignment horizontal="center"/>
    </xf>
    <xf numFmtId="167" fontId="8" fillId="0" borderId="0" xfId="0" applyNumberFormat="1" applyFont="1" applyFill="1" applyAlignment="1">
      <alignment horizontal="center"/>
    </xf>
    <xf numFmtId="3" fontId="0" fillId="0" borderId="17" xfId="0" applyNumberFormat="1" applyFill="1" applyBorder="1"/>
    <xf numFmtId="172" fontId="0" fillId="0" borderId="22" xfId="1" applyNumberFormat="1" applyFont="1" applyBorder="1"/>
    <xf numFmtId="0" fontId="8" fillId="5" borderId="17" xfId="0" applyFont="1" applyFill="1" applyBorder="1"/>
    <xf numFmtId="172" fontId="0" fillId="0" borderId="0" xfId="0" applyNumberFormat="1"/>
    <xf numFmtId="37" fontId="8" fillId="0" borderId="0" xfId="0" applyNumberFormat="1" applyFont="1" applyFill="1" applyBorder="1" applyAlignment="1">
      <alignment horizontal="center"/>
    </xf>
    <xf numFmtId="3" fontId="6" fillId="3" borderId="16" xfId="0" applyNumberFormat="1" applyFont="1" applyFill="1" applyBorder="1" applyAlignment="1">
      <alignment horizontal="center"/>
    </xf>
    <xf numFmtId="3" fontId="5" fillId="3" borderId="0" xfId="0" applyNumberFormat="1" applyFont="1" applyFill="1" applyBorder="1" applyAlignment="1">
      <alignment horizontal="center"/>
    </xf>
    <xf numFmtId="2" fontId="0" fillId="0" borderId="0" xfId="0" applyNumberFormat="1" applyFill="1" applyBorder="1" applyAlignment="1"/>
    <xf numFmtId="167" fontId="8" fillId="14" borderId="0" xfId="0" applyNumberFormat="1" applyFont="1" applyFill="1" applyAlignment="1">
      <alignment horizontal="center"/>
    </xf>
    <xf numFmtId="2" fontId="0" fillId="0" borderId="11" xfId="0" applyNumberFormat="1" applyBorder="1"/>
    <xf numFmtId="3" fontId="0" fillId="0" borderId="12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2" fontId="0" fillId="0" borderId="25" xfId="0" applyNumberFormat="1" applyBorder="1"/>
    <xf numFmtId="2" fontId="0" fillId="0" borderId="26" xfId="0" applyNumberFormat="1" applyBorder="1"/>
    <xf numFmtId="3" fontId="0" fillId="0" borderId="23" xfId="0" applyNumberFormat="1" applyBorder="1"/>
    <xf numFmtId="2" fontId="8" fillId="0" borderId="11" xfId="0" applyNumberFormat="1" applyFont="1" applyBorder="1"/>
    <xf numFmtId="3" fontId="8" fillId="0" borderId="12" xfId="0" applyNumberFormat="1" applyFont="1" applyBorder="1"/>
    <xf numFmtId="2" fontId="8" fillId="0" borderId="12" xfId="0" applyNumberFormat="1" applyFont="1" applyBorder="1"/>
    <xf numFmtId="2" fontId="8" fillId="0" borderId="13" xfId="0" applyNumberFormat="1" applyFont="1" applyBorder="1"/>
    <xf numFmtId="37" fontId="13" fillId="5" borderId="0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1" fontId="13" fillId="5" borderId="0" xfId="1" applyNumberFormat="1" applyFont="1" applyFill="1" applyBorder="1" applyAlignment="1">
      <alignment horizontal="center"/>
    </xf>
    <xf numFmtId="1" fontId="10" fillId="5" borderId="0" xfId="0" applyNumberFormat="1" applyFont="1" applyFill="1" applyBorder="1" applyAlignment="1">
      <alignment horizont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12" xfId="11" applyFont="1" applyFill="1" applyBorder="1" applyAlignment="1">
      <alignment horizontal="center" vertical="center"/>
    </xf>
    <xf numFmtId="0" fontId="25" fillId="0" borderId="1" xfId="11" applyFont="1" applyFill="1" applyBorder="1" applyAlignment="1">
      <alignment horizontal="center" vertical="center" wrapText="1"/>
    </xf>
    <xf numFmtId="0" fontId="25" fillId="0" borderId="0" xfId="11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27" fillId="0" borderId="0" xfId="0" applyFont="1"/>
    <xf numFmtId="0" fontId="26" fillId="0" borderId="11" xfId="0" applyFont="1" applyFill="1" applyBorder="1" applyAlignment="1">
      <alignment horizontal="left" vertical="center"/>
    </xf>
    <xf numFmtId="0" fontId="26" fillId="0" borderId="12" xfId="0" applyFont="1" applyFill="1" applyBorder="1" applyAlignment="1">
      <alignment horizontal="left" vertical="center"/>
    </xf>
    <xf numFmtId="171" fontId="26" fillId="0" borderId="1" xfId="10" applyNumberFormat="1" applyFont="1" applyFill="1" applyBorder="1" applyAlignment="1">
      <alignment horizontal="center" vertical="center"/>
    </xf>
    <xf numFmtId="176" fontId="26" fillId="0" borderId="1" xfId="0" applyNumberFormat="1" applyFont="1" applyFill="1" applyBorder="1" applyAlignment="1">
      <alignment horizontal="center" vertical="center"/>
    </xf>
    <xf numFmtId="177" fontId="26" fillId="0" borderId="1" xfId="0" applyNumberFormat="1" applyFont="1" applyFill="1" applyBorder="1" applyAlignment="1">
      <alignment horizontal="center" vertical="center"/>
    </xf>
    <xf numFmtId="3" fontId="26" fillId="0" borderId="1" xfId="0" applyNumberFormat="1" applyFont="1" applyFill="1" applyBorder="1" applyAlignment="1">
      <alignment horizontal="center" vertical="center"/>
    </xf>
    <xf numFmtId="172" fontId="26" fillId="0" borderId="1" xfId="1" applyNumberFormat="1" applyFont="1" applyFill="1" applyBorder="1" applyAlignment="1">
      <alignment horizontal="center" vertical="center"/>
    </xf>
    <xf numFmtId="177" fontId="26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/>
    <xf numFmtId="178" fontId="26" fillId="0" borderId="1" xfId="0" applyNumberFormat="1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vertical="center" wrapText="1"/>
    </xf>
    <xf numFmtId="0" fontId="25" fillId="0" borderId="12" xfId="0" applyFont="1" applyFill="1" applyBorder="1" applyAlignment="1">
      <alignment vertical="center" wrapText="1"/>
    </xf>
    <xf numFmtId="0" fontId="25" fillId="0" borderId="0" xfId="0" applyFont="1" applyFill="1"/>
    <xf numFmtId="0" fontId="25" fillId="0" borderId="0" xfId="0" applyFont="1"/>
    <xf numFmtId="0" fontId="25" fillId="0" borderId="11" xfId="0" applyFont="1" applyFill="1" applyBorder="1" applyAlignment="1">
      <alignment horizontal="left" vertical="center"/>
    </xf>
    <xf numFmtId="171" fontId="25" fillId="0" borderId="1" xfId="10" applyNumberFormat="1" applyFont="1" applyFill="1" applyBorder="1" applyAlignment="1">
      <alignment horizontal="center" vertical="center"/>
    </xf>
    <xf numFmtId="176" fontId="25" fillId="0" borderId="1" xfId="0" applyNumberFormat="1" applyFont="1" applyFill="1" applyBorder="1" applyAlignment="1">
      <alignment horizontal="center" vertical="center"/>
    </xf>
    <xf numFmtId="177" fontId="25" fillId="0" borderId="1" xfId="0" applyNumberFormat="1" applyFont="1" applyFill="1" applyBorder="1" applyAlignment="1">
      <alignment horizontal="center" vertical="center"/>
    </xf>
    <xf numFmtId="3" fontId="25" fillId="0" borderId="1" xfId="0" applyNumberFormat="1" applyFont="1" applyFill="1" applyBorder="1" applyAlignment="1">
      <alignment horizontal="center" vertical="center"/>
    </xf>
    <xf numFmtId="178" fontId="25" fillId="0" borderId="1" xfId="0" applyNumberFormat="1" applyFont="1" applyFill="1" applyBorder="1" applyAlignment="1">
      <alignment horizontal="center" vertical="center"/>
    </xf>
    <xf numFmtId="177" fontId="25" fillId="0" borderId="0" xfId="0" applyNumberFormat="1" applyFont="1" applyFill="1" applyBorder="1" applyAlignment="1">
      <alignment horizontal="center" vertical="center"/>
    </xf>
    <xf numFmtId="171" fontId="25" fillId="0" borderId="0" xfId="0" applyNumberFormat="1" applyFont="1"/>
    <xf numFmtId="0" fontId="25" fillId="0" borderId="15" xfId="0" applyFont="1" applyFill="1" applyBorder="1" applyAlignment="1">
      <alignment horizontal="left" vertical="center"/>
    </xf>
    <xf numFmtId="0" fontId="25" fillId="0" borderId="16" xfId="0" applyFont="1" applyFill="1" applyBorder="1" applyAlignment="1">
      <alignment horizontal="left" vertical="center"/>
    </xf>
    <xf numFmtId="171" fontId="25" fillId="0" borderId="16" xfId="10" applyNumberFormat="1" applyFont="1" applyFill="1" applyBorder="1" applyAlignment="1">
      <alignment horizontal="center" vertical="center"/>
    </xf>
    <xf numFmtId="176" fontId="25" fillId="0" borderId="16" xfId="0" applyNumberFormat="1" applyFont="1" applyFill="1" applyBorder="1" applyAlignment="1">
      <alignment horizontal="center" vertical="center"/>
    </xf>
    <xf numFmtId="177" fontId="25" fillId="0" borderId="16" xfId="0" applyNumberFormat="1" applyFont="1" applyFill="1" applyBorder="1" applyAlignment="1">
      <alignment horizontal="center" vertical="center"/>
    </xf>
    <xf numFmtId="3" fontId="25" fillId="0" borderId="16" xfId="0" applyNumberFormat="1" applyFont="1" applyFill="1" applyBorder="1" applyAlignment="1">
      <alignment horizontal="center" vertical="center"/>
    </xf>
    <xf numFmtId="178" fontId="25" fillId="0" borderId="16" xfId="0" applyNumberFormat="1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left" vertical="center"/>
    </xf>
    <xf numFmtId="0" fontId="25" fillId="0" borderId="17" xfId="0" applyFont="1" applyFill="1" applyBorder="1" applyAlignment="1">
      <alignment horizontal="left" vertical="center"/>
    </xf>
    <xf numFmtId="0" fontId="26" fillId="0" borderId="0" xfId="0" applyFont="1" applyFill="1" applyAlignment="1">
      <alignment vertical="center"/>
    </xf>
    <xf numFmtId="0" fontId="25" fillId="0" borderId="1" xfId="11" applyFont="1" applyFill="1" applyBorder="1" applyAlignment="1">
      <alignment horizontal="center" vertical="center"/>
    </xf>
    <xf numFmtId="3" fontId="25" fillId="0" borderId="1" xfId="11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/>
    </xf>
    <xf numFmtId="0" fontId="26" fillId="0" borderId="1" xfId="0" applyFont="1" applyBorder="1"/>
    <xf numFmtId="0" fontId="26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 wrapText="1"/>
    </xf>
    <xf numFmtId="0" fontId="28" fillId="0" borderId="0" xfId="0" applyFont="1"/>
    <xf numFmtId="173" fontId="26" fillId="0" borderId="11" xfId="0" applyNumberFormat="1" applyFont="1" applyFill="1" applyBorder="1" applyAlignment="1">
      <alignment vertical="center"/>
    </xf>
    <xf numFmtId="173" fontId="26" fillId="0" borderId="12" xfId="0" applyNumberFormat="1" applyFont="1" applyFill="1" applyBorder="1" applyAlignment="1">
      <alignment vertical="center"/>
    </xf>
    <xf numFmtId="173" fontId="26" fillId="0" borderId="17" xfId="0" applyNumberFormat="1" applyFont="1" applyFill="1" applyBorder="1" applyAlignment="1">
      <alignment vertical="center"/>
    </xf>
    <xf numFmtId="173" fontId="26" fillId="0" borderId="0" xfId="0" applyNumberFormat="1" applyFont="1" applyFill="1" applyBorder="1" applyAlignment="1">
      <alignment vertical="center"/>
    </xf>
    <xf numFmtId="0" fontId="25" fillId="0" borderId="11" xfId="0" applyFont="1" applyFill="1" applyBorder="1" applyAlignment="1">
      <alignment vertical="center"/>
    </xf>
    <xf numFmtId="0" fontId="25" fillId="0" borderId="12" xfId="0" applyFont="1" applyFill="1" applyBorder="1" applyAlignment="1">
      <alignment vertical="center"/>
    </xf>
    <xf numFmtId="0" fontId="25" fillId="0" borderId="17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0" borderId="11" xfId="0" applyFont="1" applyFill="1" applyBorder="1" applyAlignment="1">
      <alignment vertical="center"/>
    </xf>
    <xf numFmtId="0" fontId="26" fillId="0" borderId="12" xfId="0" applyFont="1" applyFill="1" applyBorder="1" applyAlignment="1">
      <alignment vertical="center"/>
    </xf>
    <xf numFmtId="0" fontId="26" fillId="0" borderId="17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3" fontId="26" fillId="0" borderId="1" xfId="1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3" fontId="26" fillId="0" borderId="0" xfId="0" applyNumberFormat="1" applyFont="1"/>
    <xf numFmtId="0" fontId="26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left" vertical="center" wrapText="1"/>
    </xf>
    <xf numFmtId="3" fontId="25" fillId="0" borderId="1" xfId="10" applyNumberFormat="1" applyFont="1" applyFill="1" applyBorder="1" applyAlignment="1">
      <alignment horizontal="center" vertical="center"/>
    </xf>
    <xf numFmtId="3" fontId="25" fillId="0" borderId="0" xfId="0" applyNumberFormat="1" applyFont="1"/>
    <xf numFmtId="0" fontId="25" fillId="0" borderId="1" xfId="0" applyFont="1" applyBorder="1"/>
    <xf numFmtId="0" fontId="25" fillId="0" borderId="11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left" vertical="center"/>
    </xf>
    <xf numFmtId="0" fontId="26" fillId="0" borderId="13" xfId="0" applyFont="1" applyFill="1" applyBorder="1" applyAlignment="1">
      <alignment vertical="center"/>
    </xf>
    <xf numFmtId="177" fontId="25" fillId="0" borderId="11" xfId="0" applyNumberFormat="1" applyFont="1" applyFill="1" applyBorder="1" applyAlignment="1">
      <alignment vertical="center"/>
    </xf>
    <xf numFmtId="177" fontId="25" fillId="0" borderId="12" xfId="0" applyNumberFormat="1" applyFont="1" applyFill="1" applyBorder="1" applyAlignment="1">
      <alignment vertical="center"/>
    </xf>
    <xf numFmtId="177" fontId="25" fillId="0" borderId="13" xfId="0" applyNumberFormat="1" applyFont="1" applyFill="1" applyBorder="1" applyAlignment="1">
      <alignment vertical="center"/>
    </xf>
    <xf numFmtId="177" fontId="26" fillId="0" borderId="1" xfId="0" applyNumberFormat="1" applyFont="1" applyFill="1" applyBorder="1" applyAlignment="1">
      <alignment horizontal="left" vertical="center"/>
    </xf>
    <xf numFmtId="177" fontId="25" fillId="0" borderId="1" xfId="0" applyNumberFormat="1" applyFont="1" applyFill="1" applyBorder="1" applyAlignment="1">
      <alignment horizontal="left" vertical="center"/>
    </xf>
    <xf numFmtId="177" fontId="26" fillId="0" borderId="0" xfId="0" applyNumberFormat="1" applyFont="1" applyFill="1" applyBorder="1" applyAlignment="1">
      <alignment horizontal="left" vertical="center"/>
    </xf>
    <xf numFmtId="177" fontId="25" fillId="0" borderId="0" xfId="0" applyNumberFormat="1" applyFont="1" applyFill="1" applyBorder="1" applyAlignment="1">
      <alignment horizontal="left" vertical="center"/>
    </xf>
    <xf numFmtId="0" fontId="27" fillId="0" borderId="1" xfId="0" applyFont="1" applyBorder="1" applyAlignment="1">
      <alignment horizontal="center"/>
    </xf>
    <xf numFmtId="3" fontId="27" fillId="0" borderId="1" xfId="0" applyNumberFormat="1" applyFont="1" applyBorder="1" applyAlignment="1">
      <alignment horizontal="center"/>
    </xf>
    <xf numFmtId="3" fontId="27" fillId="0" borderId="13" xfId="0" applyNumberFormat="1" applyFont="1" applyBorder="1" applyAlignment="1"/>
    <xf numFmtId="3" fontId="27" fillId="0" borderId="17" xfId="0" applyNumberFormat="1" applyFont="1" applyBorder="1" applyAlignment="1"/>
    <xf numFmtId="3" fontId="27" fillId="0" borderId="12" xfId="0" applyNumberFormat="1" applyFont="1" applyBorder="1" applyAlignment="1">
      <alignment horizontal="center"/>
    </xf>
    <xf numFmtId="3" fontId="27" fillId="0" borderId="0" xfId="0" applyNumberFormat="1" applyFont="1" applyBorder="1" applyAlignment="1">
      <alignment horizontal="center"/>
    </xf>
    <xf numFmtId="9" fontId="26" fillId="0" borderId="1" xfId="10" applyNumberFormat="1" applyFont="1" applyFill="1" applyBorder="1" applyAlignment="1">
      <alignment horizontal="center" vertical="center"/>
    </xf>
    <xf numFmtId="173" fontId="26" fillId="0" borderId="1" xfId="10" applyNumberFormat="1" applyFont="1" applyFill="1" applyBorder="1" applyAlignment="1">
      <alignment horizontal="center" vertical="center"/>
    </xf>
    <xf numFmtId="1" fontId="26" fillId="0" borderId="11" xfId="0" applyNumberFormat="1" applyFont="1" applyFill="1" applyBorder="1" applyAlignment="1">
      <alignment horizontal="left" vertical="center" indent="1"/>
    </xf>
    <xf numFmtId="176" fontId="26" fillId="0" borderId="1" xfId="10" applyNumberFormat="1" applyFont="1" applyFill="1" applyBorder="1" applyAlignment="1">
      <alignment horizontal="center" vertical="center"/>
    </xf>
    <xf numFmtId="1" fontId="26" fillId="0" borderId="12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left" vertical="center"/>
    </xf>
    <xf numFmtId="1" fontId="26" fillId="0" borderId="15" xfId="0" applyNumberFormat="1" applyFont="1" applyFill="1" applyBorder="1" applyAlignment="1">
      <alignment horizontal="left" vertical="center" indent="1"/>
    </xf>
    <xf numFmtId="0" fontId="26" fillId="0" borderId="25" xfId="0" applyFont="1" applyFill="1" applyBorder="1" applyAlignment="1">
      <alignment horizontal="left" vertical="center"/>
    </xf>
    <xf numFmtId="176" fontId="26" fillId="0" borderId="21" xfId="10" applyNumberFormat="1" applyFont="1" applyFill="1" applyBorder="1" applyAlignment="1">
      <alignment horizontal="center" vertical="center"/>
    </xf>
    <xf numFmtId="1" fontId="26" fillId="0" borderId="16" xfId="0" applyNumberFormat="1" applyFont="1" applyFill="1" applyBorder="1" applyAlignment="1">
      <alignment horizontal="left" vertical="center" indent="1"/>
    </xf>
    <xf numFmtId="0" fontId="26" fillId="0" borderId="16" xfId="0" applyFont="1" applyFill="1" applyBorder="1" applyAlignment="1">
      <alignment horizontal="left" vertical="center"/>
    </xf>
    <xf numFmtId="176" fontId="26" fillId="0" borderId="16" xfId="10" applyNumberFormat="1" applyFont="1" applyFill="1" applyBorder="1" applyAlignment="1">
      <alignment horizontal="center" vertical="center"/>
    </xf>
    <xf numFmtId="177" fontId="26" fillId="0" borderId="13" xfId="10" applyNumberFormat="1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left" vertical="center" wrapText="1"/>
    </xf>
    <xf numFmtId="0" fontId="25" fillId="0" borderId="12" xfId="0" applyFont="1" applyFill="1" applyBorder="1" applyAlignment="1">
      <alignment horizontal="left" vertical="center" wrapText="1"/>
    </xf>
    <xf numFmtId="177" fontId="25" fillId="0" borderId="13" xfId="1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5" fillId="0" borderId="13" xfId="0" applyFont="1" applyFill="1" applyBorder="1" applyAlignment="1">
      <alignment vertical="center"/>
    </xf>
    <xf numFmtId="3" fontId="26" fillId="0" borderId="1" xfId="0" applyNumberFormat="1" applyFont="1" applyFill="1" applyBorder="1" applyAlignment="1">
      <alignment horizontal="center" vertical="center" wrapText="1"/>
    </xf>
    <xf numFmtId="177" fontId="26" fillId="0" borderId="1" xfId="0" applyNumberFormat="1" applyFont="1" applyFill="1" applyBorder="1" applyAlignment="1">
      <alignment horizontal="center" vertical="center" wrapText="1"/>
    </xf>
    <xf numFmtId="177" fontId="26" fillId="0" borderId="0" xfId="0" applyNumberFormat="1" applyFont="1"/>
    <xf numFmtId="10" fontId="26" fillId="0" borderId="0" xfId="0" applyNumberFormat="1" applyFont="1"/>
    <xf numFmtId="177" fontId="25" fillId="0" borderId="1" xfId="0" applyNumberFormat="1" applyFont="1" applyFill="1" applyBorder="1" applyAlignment="1">
      <alignment horizontal="center" vertical="center" wrapText="1"/>
    </xf>
    <xf numFmtId="10" fontId="26" fillId="0" borderId="0" xfId="13" applyNumberFormat="1" applyFont="1"/>
    <xf numFmtId="0" fontId="25" fillId="0" borderId="1" xfId="11" applyFont="1" applyFill="1" applyBorder="1" applyAlignment="1">
      <alignment horizontal="left" vertical="center"/>
    </xf>
    <xf numFmtId="3" fontId="25" fillId="0" borderId="1" xfId="0" applyNumberFormat="1" applyFont="1" applyFill="1" applyBorder="1" applyAlignment="1">
      <alignment horizontal="center" vertical="center" wrapText="1"/>
    </xf>
    <xf numFmtId="43" fontId="26" fillId="0" borderId="0" xfId="1" applyFont="1"/>
    <xf numFmtId="166" fontId="25" fillId="0" borderId="0" xfId="13" applyNumberFormat="1" applyFont="1" applyFill="1" applyBorder="1" applyAlignment="1">
      <alignment vertical="center"/>
    </xf>
    <xf numFmtId="179" fontId="25" fillId="0" borderId="0" xfId="0" applyNumberFormat="1" applyFont="1" applyFill="1" applyBorder="1" applyAlignment="1">
      <alignment horizontal="center" vertical="center" wrapText="1"/>
    </xf>
    <xf numFmtId="171" fontId="25" fillId="0" borderId="1" xfId="0" applyNumberFormat="1" applyFont="1" applyFill="1" applyBorder="1" applyAlignment="1">
      <alignment horizontal="center" vertical="center" wrapText="1"/>
    </xf>
    <xf numFmtId="171" fontId="25" fillId="0" borderId="0" xfId="0" applyNumberFormat="1" applyFont="1" applyFill="1" applyBorder="1" applyAlignment="1">
      <alignment horizontal="center" vertical="center" wrapText="1"/>
    </xf>
    <xf numFmtId="166" fontId="26" fillId="0" borderId="1" xfId="0" applyNumberFormat="1" applyFont="1" applyFill="1" applyBorder="1" applyAlignment="1">
      <alignment horizontal="center" vertical="center" wrapText="1"/>
    </xf>
    <xf numFmtId="9" fontId="26" fillId="0" borderId="0" xfId="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wrapText="1"/>
    </xf>
    <xf numFmtId="0" fontId="26" fillId="0" borderId="1" xfId="0" applyFont="1" applyBorder="1" applyAlignment="1">
      <alignment horizontal="center"/>
    </xf>
    <xf numFmtId="166" fontId="26" fillId="0" borderId="1" xfId="13" applyNumberFormat="1" applyFont="1" applyBorder="1" applyAlignment="1">
      <alignment horizontal="center"/>
    </xf>
    <xf numFmtId="0" fontId="27" fillId="0" borderId="1" xfId="0" applyFont="1" applyBorder="1"/>
    <xf numFmtId="166" fontId="27" fillId="0" borderId="1" xfId="0" applyNumberFormat="1" applyFont="1" applyFill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/>
    <xf numFmtId="0" fontId="25" fillId="0" borderId="1" xfId="11" applyFont="1" applyFill="1" applyBorder="1" applyAlignment="1">
      <alignment vertical="center"/>
    </xf>
    <xf numFmtId="3" fontId="25" fillId="0" borderId="1" xfId="0" applyNumberFormat="1" applyFont="1" applyBorder="1" applyAlignment="1">
      <alignment horizontal="center"/>
    </xf>
    <xf numFmtId="176" fontId="25" fillId="0" borderId="1" xfId="0" applyNumberFormat="1" applyFont="1" applyFill="1" applyBorder="1" applyAlignment="1">
      <alignment horizontal="center" vertical="center" wrapText="1"/>
    </xf>
    <xf numFmtId="179" fontId="25" fillId="0" borderId="1" xfId="0" applyNumberFormat="1" applyFont="1" applyFill="1" applyBorder="1" applyAlignment="1">
      <alignment horizontal="center" vertical="center" wrapText="1"/>
    </xf>
    <xf numFmtId="180" fontId="26" fillId="0" borderId="1" xfId="0" applyNumberFormat="1" applyFont="1" applyFill="1" applyBorder="1" applyAlignment="1">
      <alignment horizontal="center" vertical="center" wrapText="1"/>
    </xf>
    <xf numFmtId="180" fontId="25" fillId="0" borderId="1" xfId="0" applyNumberFormat="1" applyFont="1" applyFill="1" applyBorder="1" applyAlignment="1">
      <alignment horizontal="center" vertical="center" wrapText="1"/>
    </xf>
    <xf numFmtId="170" fontId="26" fillId="0" borderId="0" xfId="0" applyNumberFormat="1" applyFont="1"/>
    <xf numFmtId="3" fontId="25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Border="1"/>
    <xf numFmtId="3" fontId="26" fillId="0" borderId="0" xfId="10" applyNumberFormat="1" applyFont="1" applyFill="1" applyBorder="1" applyAlignment="1">
      <alignment horizontal="center" vertical="center"/>
    </xf>
    <xf numFmtId="177" fontId="25" fillId="0" borderId="1" xfId="10" applyNumberFormat="1" applyFont="1" applyFill="1" applyBorder="1" applyAlignment="1">
      <alignment horizontal="center" vertical="center"/>
    </xf>
    <xf numFmtId="177" fontId="26" fillId="0" borderId="1" xfId="1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3" fontId="26" fillId="0" borderId="1" xfId="0" applyNumberFormat="1" applyFont="1" applyFill="1" applyBorder="1" applyAlignment="1">
      <alignment horizontal="left" vertical="center"/>
    </xf>
    <xf numFmtId="3" fontId="26" fillId="0" borderId="1" xfId="0" applyNumberFormat="1" applyFont="1" applyFill="1" applyBorder="1" applyAlignment="1">
      <alignment vertical="center"/>
    </xf>
    <xf numFmtId="3" fontId="26" fillId="0" borderId="1" xfId="0" applyNumberFormat="1" applyFont="1" applyBorder="1" applyAlignment="1">
      <alignment horizontal="center"/>
    </xf>
    <xf numFmtId="3" fontId="26" fillId="0" borderId="0" xfId="0" applyNumberFormat="1" applyFont="1" applyBorder="1" applyAlignment="1">
      <alignment horizontal="center"/>
    </xf>
    <xf numFmtId="0" fontId="26" fillId="0" borderId="11" xfId="0" applyFont="1" applyBorder="1"/>
    <xf numFmtId="3" fontId="27" fillId="0" borderId="0" xfId="0" applyNumberFormat="1" applyFont="1"/>
    <xf numFmtId="37" fontId="27" fillId="0" borderId="0" xfId="0" applyNumberFormat="1" applyFont="1"/>
    <xf numFmtId="0" fontId="29" fillId="0" borderId="0" xfId="0" applyFont="1"/>
    <xf numFmtId="0" fontId="27" fillId="0" borderId="0" xfId="0" applyFont="1" applyAlignment="1">
      <alignment horizontal="center"/>
    </xf>
    <xf numFmtId="0" fontId="27" fillId="0" borderId="0" xfId="0" applyFont="1" applyFill="1" applyAlignment="1">
      <alignment horizontal="center"/>
    </xf>
    <xf numFmtId="0" fontId="28" fillId="0" borderId="0" xfId="0" applyFont="1" applyAlignment="1">
      <alignment horizontal="center" wrapText="1"/>
    </xf>
    <xf numFmtId="3" fontId="27" fillId="0" borderId="0" xfId="0" applyNumberFormat="1" applyFont="1" applyAlignment="1">
      <alignment horizontal="center" wrapText="1"/>
    </xf>
    <xf numFmtId="3" fontId="27" fillId="0" borderId="0" xfId="0" applyNumberFormat="1" applyFont="1" applyFill="1" applyAlignment="1">
      <alignment horizontal="center" wrapText="1"/>
    </xf>
    <xf numFmtId="166" fontId="27" fillId="0" borderId="0" xfId="0" applyNumberFormat="1" applyFont="1" applyAlignment="1">
      <alignment horizontal="center" wrapText="1"/>
    </xf>
    <xf numFmtId="3" fontId="30" fillId="0" borderId="0" xfId="0" applyNumberFormat="1" applyFont="1" applyAlignment="1">
      <alignment horizontal="center"/>
    </xf>
    <xf numFmtId="0" fontId="27" fillId="0" borderId="0" xfId="0" applyFont="1" applyFill="1" applyAlignment="1">
      <alignment horizontal="left"/>
    </xf>
    <xf numFmtId="0" fontId="27" fillId="0" borderId="0" xfId="0" applyFont="1" applyFill="1"/>
    <xf numFmtId="173" fontId="27" fillId="0" borderId="0" xfId="0" applyNumberFormat="1" applyFont="1" applyAlignment="1">
      <alignment horizontal="center" wrapText="1"/>
    </xf>
    <xf numFmtId="3" fontId="28" fillId="0" borderId="0" xfId="0" applyNumberFormat="1" applyFont="1"/>
    <xf numFmtId="3" fontId="27" fillId="0" borderId="0" xfId="0" applyNumberFormat="1" applyFont="1" applyAlignment="1">
      <alignment horizontal="center"/>
    </xf>
    <xf numFmtId="3" fontId="27" fillId="0" borderId="0" xfId="0" applyNumberFormat="1" applyFont="1" applyFill="1" applyAlignment="1">
      <alignment horizontal="center"/>
    </xf>
    <xf numFmtId="0" fontId="27" fillId="0" borderId="0" xfId="0" applyFont="1" applyAlignment="1">
      <alignment horizontal="center" wrapText="1"/>
    </xf>
    <xf numFmtId="3" fontId="27" fillId="0" borderId="0" xfId="1" applyNumberFormat="1" applyFont="1" applyAlignment="1">
      <alignment horizontal="center"/>
    </xf>
    <xf numFmtId="173" fontId="27" fillId="0" borderId="0" xfId="0" applyNumberFormat="1" applyFont="1" applyAlignment="1">
      <alignment horizontal="center"/>
    </xf>
    <xf numFmtId="171" fontId="26" fillId="0" borderId="1" xfId="0" applyNumberFormat="1" applyFont="1" applyFill="1" applyBorder="1" applyAlignment="1">
      <alignment horizontal="center" vertical="center"/>
    </xf>
    <xf numFmtId="37" fontId="26" fillId="0" borderId="1" xfId="0" applyNumberFormat="1" applyFont="1" applyFill="1" applyBorder="1" applyAlignment="1">
      <alignment horizontal="center" vertical="center"/>
    </xf>
    <xf numFmtId="3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1" fillId="0" borderId="0" xfId="0" applyFont="1" applyAlignment="1">
      <alignment vertical="center"/>
    </xf>
    <xf numFmtId="0" fontId="32" fillId="0" borderId="44" xfId="0" applyFont="1" applyBorder="1" applyAlignment="1">
      <alignment vertical="center"/>
    </xf>
    <xf numFmtId="0" fontId="12" fillId="0" borderId="0" xfId="0" applyFont="1"/>
    <xf numFmtId="0" fontId="32" fillId="0" borderId="45" xfId="0" applyFont="1" applyBorder="1" applyAlignment="1">
      <alignment vertical="center"/>
    </xf>
    <xf numFmtId="0" fontId="31" fillId="0" borderId="44" xfId="0" applyFont="1" applyBorder="1" applyAlignment="1">
      <alignment vertical="center"/>
    </xf>
    <xf numFmtId="0" fontId="32" fillId="0" borderId="0" xfId="0" applyFont="1" applyAlignment="1">
      <alignment horizontal="right" vertical="center"/>
    </xf>
    <xf numFmtId="0" fontId="32" fillId="0" borderId="46" xfId="0" applyFont="1" applyBorder="1" applyAlignment="1">
      <alignment vertical="center"/>
    </xf>
    <xf numFmtId="0" fontId="32" fillId="0" borderId="2" xfId="0" applyFont="1" applyBorder="1" applyAlignment="1">
      <alignment vertical="center"/>
    </xf>
    <xf numFmtId="0" fontId="32" fillId="0" borderId="47" xfId="0" applyFont="1" applyBorder="1" applyAlignment="1">
      <alignment vertical="center"/>
    </xf>
    <xf numFmtId="172" fontId="32" fillId="0" borderId="44" xfId="1" applyNumberFormat="1" applyFont="1" applyBorder="1" applyAlignment="1">
      <alignment horizontal="right" vertical="center"/>
    </xf>
    <xf numFmtId="172" fontId="26" fillId="0" borderId="0" xfId="0" applyNumberFormat="1" applyFont="1"/>
    <xf numFmtId="1" fontId="26" fillId="0" borderId="0" xfId="0" applyNumberFormat="1" applyFont="1"/>
    <xf numFmtId="3" fontId="5" fillId="0" borderId="1" xfId="0" applyNumberFormat="1" applyFont="1" applyBorder="1" applyAlignment="1">
      <alignment horizontal="center"/>
    </xf>
    <xf numFmtId="172" fontId="5" fillId="0" borderId="1" xfId="1" applyNumberFormat="1" applyFont="1" applyBorder="1" applyAlignment="1">
      <alignment horizontal="center"/>
    </xf>
    <xf numFmtId="0" fontId="5" fillId="0" borderId="1" xfId="0" applyFont="1" applyFill="1" applyBorder="1"/>
    <xf numFmtId="0" fontId="33" fillId="0" borderId="0" xfId="0" applyFont="1"/>
    <xf numFmtId="3" fontId="0" fillId="15" borderId="11" xfId="0" applyNumberFormat="1" applyFill="1" applyBorder="1" applyAlignment="1">
      <alignment horizontal="center"/>
    </xf>
    <xf numFmtId="3" fontId="0" fillId="15" borderId="0" xfId="0" applyNumberFormat="1" applyFill="1" applyAlignment="1">
      <alignment horizontal="center"/>
    </xf>
    <xf numFmtId="3" fontId="0" fillId="15" borderId="12" xfId="0" applyNumberFormat="1" applyFill="1" applyBorder="1" applyAlignment="1">
      <alignment horizontal="center"/>
    </xf>
    <xf numFmtId="3" fontId="0" fillId="15" borderId="13" xfId="0" applyNumberFormat="1" applyFill="1" applyBorder="1" applyAlignment="1">
      <alignment horizontal="center"/>
    </xf>
    <xf numFmtId="3" fontId="5" fillId="15" borderId="0" xfId="0" applyNumberFormat="1" applyFont="1" applyFill="1" applyAlignment="1">
      <alignment horizontal="center" wrapText="1"/>
    </xf>
    <xf numFmtId="0" fontId="34" fillId="0" borderId="1" xfId="0" applyFont="1" applyBorder="1"/>
    <xf numFmtId="0" fontId="28" fillId="0" borderId="0" xfId="0" applyFont="1" applyAlignment="1">
      <alignment horizontal="center"/>
    </xf>
    <xf numFmtId="3" fontId="27" fillId="0" borderId="1" xfId="0" applyNumberFormat="1" applyFont="1" applyBorder="1"/>
    <xf numFmtId="37" fontId="27" fillId="0" borderId="1" xfId="0" applyNumberFormat="1" applyFont="1" applyFill="1" applyBorder="1"/>
    <xf numFmtId="183" fontId="27" fillId="0" borderId="1" xfId="0" applyNumberFormat="1" applyFont="1" applyFill="1" applyBorder="1"/>
    <xf numFmtId="0" fontId="27" fillId="5" borderId="0" xfId="0" applyFont="1" applyFill="1"/>
    <xf numFmtId="0" fontId="27" fillId="0" borderId="15" xfId="0" applyFont="1" applyBorder="1" applyAlignment="1">
      <alignment horizontal="right"/>
    </xf>
    <xf numFmtId="0" fontId="27" fillId="0" borderId="25" xfId="0" applyFont="1" applyBorder="1"/>
    <xf numFmtId="0" fontId="27" fillId="0" borderId="21" xfId="0" applyFont="1" applyBorder="1"/>
    <xf numFmtId="172" fontId="27" fillId="0" borderId="1" xfId="1" applyNumberFormat="1" applyFont="1" applyFill="1" applyBorder="1"/>
    <xf numFmtId="0" fontId="27" fillId="0" borderId="11" xfId="0" applyFont="1" applyBorder="1"/>
    <xf numFmtId="0" fontId="27" fillId="0" borderId="13" xfId="0" applyFont="1" applyBorder="1"/>
    <xf numFmtId="0" fontId="27" fillId="0" borderId="20" xfId="0" applyFont="1" applyBorder="1"/>
    <xf numFmtId="3" fontId="27" fillId="0" borderId="11" xfId="0" applyNumberFormat="1" applyFont="1" applyBorder="1"/>
    <xf numFmtId="187" fontId="27" fillId="0" borderId="17" xfId="1" applyNumberFormat="1" applyFont="1" applyBorder="1"/>
    <xf numFmtId="187" fontId="27" fillId="0" borderId="14" xfId="1" applyNumberFormat="1" applyFont="1" applyBorder="1"/>
    <xf numFmtId="166" fontId="27" fillId="0" borderId="20" xfId="13" applyNumberFormat="1" applyFont="1" applyBorder="1"/>
    <xf numFmtId="0" fontId="28" fillId="0" borderId="1" xfId="0" applyFont="1" applyBorder="1" applyAlignment="1">
      <alignment horizontal="left" indent="1"/>
    </xf>
    <xf numFmtId="37" fontId="28" fillId="0" borderId="1" xfId="0" applyNumberFormat="1" applyFont="1" applyBorder="1"/>
    <xf numFmtId="0" fontId="28" fillId="0" borderId="11" xfId="0" applyFont="1" applyBorder="1"/>
    <xf numFmtId="0" fontId="28" fillId="0" borderId="12" xfId="0" applyFont="1" applyBorder="1"/>
    <xf numFmtId="0" fontId="28" fillId="0" borderId="13" xfId="0" applyFont="1" applyBorder="1"/>
    <xf numFmtId="187" fontId="27" fillId="0" borderId="26" xfId="0" applyNumberFormat="1" applyFont="1" applyBorder="1"/>
    <xf numFmtId="187" fontId="27" fillId="0" borderId="22" xfId="0" applyNumberFormat="1" applyFont="1" applyBorder="1"/>
    <xf numFmtId="0" fontId="28" fillId="0" borderId="1" xfId="0" applyFont="1" applyBorder="1"/>
    <xf numFmtId="3" fontId="27" fillId="0" borderId="17" xfId="0" applyNumberFormat="1" applyFont="1" applyBorder="1"/>
    <xf numFmtId="37" fontId="27" fillId="0" borderId="1" xfId="0" applyNumberFormat="1" applyFont="1" applyBorder="1"/>
    <xf numFmtId="5" fontId="27" fillId="0" borderId="1" xfId="0" applyNumberFormat="1" applyFont="1" applyBorder="1"/>
    <xf numFmtId="0" fontId="35" fillId="0" borderId="0" xfId="27" applyFont="1"/>
    <xf numFmtId="181" fontId="27" fillId="0" borderId="1" xfId="0" applyNumberFormat="1" applyFont="1" applyBorder="1"/>
    <xf numFmtId="5" fontId="28" fillId="0" borderId="1" xfId="0" applyNumberFormat="1" applyFont="1" applyFill="1" applyBorder="1"/>
    <xf numFmtId="0" fontId="28" fillId="0" borderId="0" xfId="0" applyFont="1" applyBorder="1" applyAlignment="1">
      <alignment horizontal="left" indent="1"/>
    </xf>
    <xf numFmtId="37" fontId="28" fillId="0" borderId="0" xfId="0" applyNumberFormat="1" applyFont="1" applyBorder="1"/>
    <xf numFmtId="0" fontId="28" fillId="0" borderId="0" xfId="0" applyFont="1" applyBorder="1"/>
    <xf numFmtId="181" fontId="27" fillId="0" borderId="0" xfId="0" applyNumberFormat="1" applyFont="1" applyBorder="1"/>
    <xf numFmtId="5" fontId="28" fillId="0" borderId="0" xfId="0" applyNumberFormat="1" applyFont="1" applyFill="1" applyBorder="1"/>
    <xf numFmtId="0" fontId="34" fillId="0" borderId="21" xfId="0" applyFont="1" applyBorder="1"/>
    <xf numFmtId="0" fontId="28" fillId="0" borderId="25" xfId="0" applyFont="1" applyBorder="1"/>
    <xf numFmtId="0" fontId="28" fillId="0" borderId="15" xfId="0" applyFont="1" applyBorder="1" applyAlignment="1">
      <alignment horizontal="center"/>
    </xf>
    <xf numFmtId="0" fontId="28" fillId="0" borderId="15" xfId="0" applyFont="1" applyBorder="1"/>
    <xf numFmtId="0" fontId="28" fillId="0" borderId="16" xfId="0" applyFont="1" applyBorder="1"/>
    <xf numFmtId="0" fontId="28" fillId="0" borderId="22" xfId="0" applyNumberFormat="1" applyFont="1" applyBorder="1" applyAlignment="1">
      <alignment horizontal="center"/>
    </xf>
    <xf numFmtId="0" fontId="28" fillId="0" borderId="26" xfId="0" applyFont="1" applyBorder="1" applyAlignment="1">
      <alignment horizontal="center"/>
    </xf>
    <xf numFmtId="3" fontId="27" fillId="0" borderId="20" xfId="0" applyNumberFormat="1" applyFont="1" applyBorder="1"/>
    <xf numFmtId="183" fontId="27" fillId="0" borderId="1" xfId="0" applyNumberFormat="1" applyFont="1" applyBorder="1" applyAlignment="1">
      <alignment horizontal="center"/>
    </xf>
    <xf numFmtId="5" fontId="28" fillId="0" borderId="1" xfId="0" applyNumberFormat="1" applyFont="1" applyBorder="1"/>
    <xf numFmtId="0" fontId="28" fillId="0" borderId="21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37" fontId="27" fillId="0" borderId="1" xfId="0" applyNumberFormat="1" applyFont="1" applyBorder="1" applyAlignment="1">
      <alignment horizontal="right"/>
    </xf>
    <xf numFmtId="37" fontId="28" fillId="0" borderId="1" xfId="0" applyNumberFormat="1" applyFont="1" applyBorder="1" applyAlignment="1">
      <alignment horizontal="right"/>
    </xf>
    <xf numFmtId="0" fontId="36" fillId="0" borderId="21" xfId="0" applyFont="1" applyBorder="1"/>
    <xf numFmtId="0" fontId="27" fillId="0" borderId="24" xfId="0" applyFont="1" applyBorder="1" applyAlignment="1">
      <alignment horizontal="center"/>
    </xf>
    <xf numFmtId="172" fontId="27" fillId="0" borderId="22" xfId="1" applyNumberFormat="1" applyFont="1" applyBorder="1" applyAlignment="1">
      <alignment horizontal="center"/>
    </xf>
    <xf numFmtId="0" fontId="27" fillId="0" borderId="15" xfId="0" applyFont="1" applyBorder="1"/>
    <xf numFmtId="0" fontId="28" fillId="0" borderId="13" xfId="0" applyFont="1" applyBorder="1" applyAlignment="1">
      <alignment horizontal="center"/>
    </xf>
    <xf numFmtId="37" fontId="27" fillId="0" borderId="21" xfId="0" applyNumberFormat="1" applyFont="1" applyBorder="1"/>
    <xf numFmtId="0" fontId="27" fillId="0" borderId="17" xfId="0" applyFont="1" applyBorder="1"/>
    <xf numFmtId="190" fontId="27" fillId="0" borderId="20" xfId="28" applyNumberFormat="1" applyFont="1" applyFill="1" applyBorder="1"/>
    <xf numFmtId="190" fontId="27" fillId="0" borderId="20" xfId="28" applyNumberFormat="1" applyFont="1" applyBorder="1"/>
    <xf numFmtId="9" fontId="27" fillId="16" borderId="1" xfId="13" applyFont="1" applyFill="1" applyBorder="1"/>
    <xf numFmtId="183" fontId="27" fillId="16" borderId="1" xfId="0" applyNumberFormat="1" applyFont="1" applyFill="1" applyBorder="1"/>
    <xf numFmtId="184" fontId="27" fillId="16" borderId="1" xfId="0" applyNumberFormat="1" applyFont="1" applyFill="1" applyBorder="1"/>
    <xf numFmtId="182" fontId="27" fillId="16" borderId="1" xfId="0" applyNumberFormat="1" applyFont="1" applyFill="1" applyBorder="1"/>
    <xf numFmtId="3" fontId="27" fillId="16" borderId="1" xfId="0" applyNumberFormat="1" applyFont="1" applyFill="1" applyBorder="1" applyAlignment="1">
      <alignment horizontal="center"/>
    </xf>
    <xf numFmtId="3" fontId="27" fillId="16" borderId="24" xfId="0" applyNumberFormat="1" applyFont="1" applyFill="1" applyBorder="1" applyAlignment="1">
      <alignment horizontal="center"/>
    </xf>
    <xf numFmtId="0" fontId="27" fillId="16" borderId="1" xfId="0" applyNumberFormat="1" applyFont="1" applyFill="1" applyBorder="1" applyAlignment="1">
      <alignment horizontal="center"/>
    </xf>
    <xf numFmtId="0" fontId="27" fillId="16" borderId="24" xfId="0" applyNumberFormat="1" applyFont="1" applyFill="1" applyBorder="1" applyAlignment="1">
      <alignment horizontal="center"/>
    </xf>
    <xf numFmtId="37" fontId="27" fillId="0" borderId="12" xfId="0" applyNumberFormat="1" applyFont="1" applyFill="1" applyBorder="1"/>
    <xf numFmtId="37" fontId="27" fillId="0" borderId="12" xfId="0" applyNumberFormat="1" applyFont="1" applyFill="1" applyBorder="1" applyAlignment="1">
      <alignment horizontal="right"/>
    </xf>
    <xf numFmtId="172" fontId="27" fillId="16" borderId="1" xfId="1" applyNumberFormat="1" applyFont="1" applyFill="1" applyBorder="1" applyAlignment="1">
      <alignment horizontal="center"/>
    </xf>
    <xf numFmtId="0" fontId="27" fillId="16" borderId="1" xfId="0" applyFont="1" applyFill="1" applyBorder="1" applyAlignment="1">
      <alignment horizontal="center"/>
    </xf>
    <xf numFmtId="0" fontId="27" fillId="0" borderId="22" xfId="0" applyNumberFormat="1" applyFont="1" applyBorder="1" applyAlignment="1">
      <alignment horizontal="center"/>
    </xf>
    <xf numFmtId="0" fontId="25" fillId="16" borderId="11" xfId="11" applyFont="1" applyFill="1" applyBorder="1" applyAlignment="1">
      <alignment horizontal="left" vertical="center"/>
    </xf>
    <xf numFmtId="0" fontId="25" fillId="16" borderId="12" xfId="11" applyFont="1" applyFill="1" applyBorder="1" applyAlignment="1">
      <alignment horizontal="center" vertical="center"/>
    </xf>
    <xf numFmtId="0" fontId="25" fillId="16" borderId="1" xfId="11" applyFont="1" applyFill="1" applyBorder="1" applyAlignment="1">
      <alignment horizontal="center" vertical="center" wrapText="1"/>
    </xf>
    <xf numFmtId="0" fontId="25" fillId="16" borderId="11" xfId="0" applyFont="1" applyFill="1" applyBorder="1" applyAlignment="1">
      <alignment horizontal="left" vertical="center"/>
    </xf>
    <xf numFmtId="0" fontId="25" fillId="16" borderId="12" xfId="0" applyFont="1" applyFill="1" applyBorder="1" applyAlignment="1">
      <alignment horizontal="left" vertical="center"/>
    </xf>
    <xf numFmtId="0" fontId="25" fillId="16" borderId="13" xfId="0" applyFont="1" applyFill="1" applyBorder="1" applyAlignment="1">
      <alignment horizontal="left" vertical="center"/>
    </xf>
    <xf numFmtId="0" fontId="26" fillId="17" borderId="1" xfId="0" applyFont="1" applyFill="1" applyBorder="1" applyAlignment="1">
      <alignment horizontal="left" vertical="center"/>
    </xf>
    <xf numFmtId="3" fontId="26" fillId="17" borderId="1" xfId="10" applyNumberFormat="1" applyFont="1" applyFill="1" applyBorder="1" applyAlignment="1">
      <alignment horizontal="center" vertical="center"/>
    </xf>
    <xf numFmtId="0" fontId="26" fillId="17" borderId="11" xfId="0" applyFont="1" applyFill="1" applyBorder="1" applyAlignment="1">
      <alignment vertical="center"/>
    </xf>
    <xf numFmtId="0" fontId="25" fillId="17" borderId="13" xfId="0" applyFont="1" applyFill="1" applyBorder="1" applyAlignment="1">
      <alignment vertical="center"/>
    </xf>
    <xf numFmtId="0" fontId="25" fillId="17" borderId="1" xfId="0" applyFont="1" applyFill="1" applyBorder="1" applyAlignment="1">
      <alignment vertical="center"/>
    </xf>
    <xf numFmtId="3" fontId="26" fillId="17" borderId="1" xfId="0" applyNumberFormat="1" applyFont="1" applyFill="1" applyBorder="1" applyAlignment="1">
      <alignment horizontal="center" vertical="center"/>
    </xf>
    <xf numFmtId="0" fontId="25" fillId="17" borderId="1" xfId="0" applyFont="1" applyFill="1" applyBorder="1" applyAlignment="1">
      <alignment horizontal="left" vertical="center"/>
    </xf>
    <xf numFmtId="171" fontId="26" fillId="17" borderId="1" xfId="0" applyNumberFormat="1" applyFont="1" applyFill="1" applyBorder="1" applyAlignment="1">
      <alignment horizontal="center" vertical="center"/>
    </xf>
    <xf numFmtId="173" fontId="26" fillId="17" borderId="1" xfId="0" applyNumberFormat="1" applyFont="1" applyFill="1" applyBorder="1" applyAlignment="1">
      <alignment horizontal="center"/>
    </xf>
    <xf numFmtId="171" fontId="26" fillId="17" borderId="1" xfId="10" applyNumberFormat="1" applyFont="1" applyFill="1" applyBorder="1" applyAlignment="1">
      <alignment horizontal="center" vertical="center"/>
    </xf>
    <xf numFmtId="0" fontId="25" fillId="16" borderId="11" xfId="0" applyFont="1" applyFill="1" applyBorder="1" applyAlignment="1">
      <alignment vertical="center"/>
    </xf>
    <xf numFmtId="0" fontId="25" fillId="16" borderId="12" xfId="0" applyFont="1" applyFill="1" applyBorder="1" applyAlignment="1">
      <alignment vertical="center"/>
    </xf>
    <xf numFmtId="177" fontId="26" fillId="17" borderId="1" xfId="0" applyNumberFormat="1" applyFont="1" applyFill="1" applyBorder="1" applyAlignment="1">
      <alignment horizontal="left" vertical="center"/>
    </xf>
    <xf numFmtId="177" fontId="25" fillId="17" borderId="1" xfId="0" applyNumberFormat="1" applyFont="1" applyFill="1" applyBorder="1" applyAlignment="1">
      <alignment horizontal="left" vertical="center"/>
    </xf>
    <xf numFmtId="177" fontId="26" fillId="17" borderId="1" xfId="0" applyNumberFormat="1" applyFont="1" applyFill="1" applyBorder="1" applyAlignment="1">
      <alignment horizontal="center" vertical="center"/>
    </xf>
    <xf numFmtId="0" fontId="25" fillId="16" borderId="13" xfId="0" applyFont="1" applyFill="1" applyBorder="1" applyAlignment="1">
      <alignment vertical="center"/>
    </xf>
    <xf numFmtId="0" fontId="25" fillId="16" borderId="12" xfId="0" applyFont="1" applyFill="1" applyBorder="1" applyAlignment="1">
      <alignment vertical="center" wrapText="1"/>
    </xf>
    <xf numFmtId="0" fontId="25" fillId="16" borderId="13" xfId="0" applyFont="1" applyFill="1" applyBorder="1" applyAlignment="1">
      <alignment vertical="center" wrapText="1"/>
    </xf>
    <xf numFmtId="0" fontId="28" fillId="0" borderId="1" xfId="0" applyFont="1" applyBorder="1" applyAlignment="1">
      <alignment horizontal="center"/>
    </xf>
    <xf numFmtId="0" fontId="25" fillId="16" borderId="1" xfId="11" applyFont="1" applyFill="1" applyBorder="1" applyAlignment="1">
      <alignment horizontal="center" vertical="center"/>
    </xf>
    <xf numFmtId="0" fontId="25" fillId="16" borderId="1" xfId="11" applyNumberFormat="1" applyFont="1" applyFill="1" applyBorder="1" applyAlignment="1">
      <alignment horizontal="center" vertical="center" wrapText="1"/>
    </xf>
    <xf numFmtId="3" fontId="25" fillId="16" borderId="1" xfId="11" applyNumberFormat="1" applyFont="1" applyFill="1" applyBorder="1" applyAlignment="1">
      <alignment horizontal="center" vertical="center" wrapText="1"/>
    </xf>
    <xf numFmtId="2" fontId="0" fillId="0" borderId="0" xfId="0" applyNumberFormat="1" applyFill="1"/>
    <xf numFmtId="2" fontId="0" fillId="0" borderId="0" xfId="0" applyNumberFormat="1"/>
    <xf numFmtId="166" fontId="0" fillId="0" borderId="0" xfId="0" applyNumberFormat="1"/>
    <xf numFmtId="43" fontId="0" fillId="0" borderId="0" xfId="1" applyFont="1"/>
    <xf numFmtId="187" fontId="27" fillId="0" borderId="26" xfId="1" applyNumberFormat="1" applyFont="1" applyBorder="1"/>
    <xf numFmtId="187" fontId="27" fillId="0" borderId="21" xfId="1" applyNumberFormat="1" applyFont="1" applyBorder="1"/>
    <xf numFmtId="187" fontId="27" fillId="0" borderId="20" xfId="1" applyNumberFormat="1" applyFont="1" applyBorder="1"/>
    <xf numFmtId="187" fontId="27" fillId="0" borderId="24" xfId="0" applyNumberFormat="1" applyFont="1" applyBorder="1"/>
    <xf numFmtId="3" fontId="5" fillId="0" borderId="0" xfId="0" applyNumberFormat="1" applyFont="1" applyFill="1" applyAlignment="1">
      <alignment horizontal="left"/>
    </xf>
    <xf numFmtId="3" fontId="0" fillId="0" borderId="0" xfId="0" applyNumberFormat="1" applyAlignment="1">
      <alignment horizontal="left"/>
    </xf>
    <xf numFmtId="188" fontId="0" fillId="18" borderId="0" xfId="1" applyNumberFormat="1" applyFont="1" applyFill="1" applyBorder="1"/>
    <xf numFmtId="188" fontId="0" fillId="18" borderId="14" xfId="1" applyNumberFormat="1" applyFont="1" applyFill="1" applyBorder="1"/>
    <xf numFmtId="168" fontId="0" fillId="18" borderId="0" xfId="0" applyNumberFormat="1" applyFill="1" applyAlignment="1">
      <alignment horizontal="center"/>
    </xf>
    <xf numFmtId="168" fontId="0" fillId="0" borderId="0" xfId="0" applyNumberFormat="1" applyAlignment="1">
      <alignment horizontal="center"/>
    </xf>
    <xf numFmtId="168" fontId="0" fillId="5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0" fontId="27" fillId="0" borderId="16" xfId="0" applyFont="1" applyBorder="1" applyAlignment="1">
      <alignment horizontal="right"/>
    </xf>
    <xf numFmtId="0" fontId="27" fillId="0" borderId="12" xfId="0" applyFont="1" applyBorder="1"/>
    <xf numFmtId="187" fontId="27" fillId="0" borderId="0" xfId="1" applyNumberFormat="1" applyFont="1" applyBorder="1"/>
    <xf numFmtId="187" fontId="27" fillId="0" borderId="23" xfId="0" applyNumberFormat="1" applyFont="1" applyBorder="1"/>
    <xf numFmtId="43" fontId="27" fillId="0" borderId="17" xfId="1" applyNumberFormat="1" applyFont="1" applyBorder="1"/>
    <xf numFmtId="166" fontId="27" fillId="0" borderId="0" xfId="13" applyNumberFormat="1" applyFont="1"/>
    <xf numFmtId="166" fontId="27" fillId="0" borderId="0" xfId="0" applyNumberFormat="1" applyFont="1"/>
    <xf numFmtId="0" fontId="27" fillId="0" borderId="0" xfId="0" applyFont="1" applyAlignment="1">
      <alignment wrapText="1"/>
    </xf>
    <xf numFmtId="0" fontId="25" fillId="0" borderId="1" xfId="1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11" applyFont="1" applyFill="1" applyBorder="1" applyAlignment="1">
      <alignment horizontal="center" vertical="center"/>
    </xf>
    <xf numFmtId="175" fontId="0" fillId="0" borderId="0" xfId="0" applyNumberFormat="1" applyAlignment="1">
      <alignment horizontal="left"/>
    </xf>
    <xf numFmtId="3" fontId="0" fillId="18" borderId="1" xfId="0" applyNumberFormat="1" applyFill="1" applyBorder="1" applyAlignment="1">
      <alignment horizontal="center"/>
    </xf>
    <xf numFmtId="3" fontId="5" fillId="18" borderId="1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3" fontId="0" fillId="0" borderId="11" xfId="0" applyNumberFormat="1" applyBorder="1"/>
    <xf numFmtId="3" fontId="8" fillId="0" borderId="49" xfId="0" applyNumberFormat="1" applyFont="1" applyBorder="1" applyAlignment="1">
      <alignment horizontal="center"/>
    </xf>
    <xf numFmtId="9" fontId="0" fillId="0" borderId="1" xfId="0" applyNumberFormat="1" applyBorder="1"/>
    <xf numFmtId="172" fontId="0" fillId="0" borderId="1" xfId="1" applyNumberFormat="1" applyFont="1" applyBorder="1"/>
    <xf numFmtId="166" fontId="0" fillId="0" borderId="11" xfId="0" applyNumberForma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5" fillId="0" borderId="4" xfId="0" applyFont="1" applyBorder="1"/>
    <xf numFmtId="3" fontId="5" fillId="0" borderId="4" xfId="0" applyNumberFormat="1" applyFont="1" applyBorder="1"/>
    <xf numFmtId="172" fontId="0" fillId="0" borderId="5" xfId="1" applyNumberFormat="1" applyFont="1" applyBorder="1"/>
    <xf numFmtId="3" fontId="0" fillId="0" borderId="4" xfId="0" applyNumberFormat="1" applyBorder="1"/>
    <xf numFmtId="175" fontId="0" fillId="0" borderId="6" xfId="0" applyNumberFormat="1" applyFill="1" applyBorder="1" applyAlignment="1">
      <alignment horizontal="center"/>
    </xf>
    <xf numFmtId="0" fontId="0" fillId="0" borderId="7" xfId="0" applyBorder="1"/>
    <xf numFmtId="172" fontId="0" fillId="0" borderId="7" xfId="0" applyNumberFormat="1" applyBorder="1"/>
    <xf numFmtId="172" fontId="0" fillId="0" borderId="8" xfId="0" applyNumberFormat="1" applyBorder="1"/>
    <xf numFmtId="9" fontId="27" fillId="0" borderId="1" xfId="13" applyFont="1" applyBorder="1"/>
    <xf numFmtId="3" fontId="28" fillId="0" borderId="1" xfId="0" applyNumberFormat="1" applyFont="1" applyBorder="1" applyAlignment="1">
      <alignment horizontal="right"/>
    </xf>
    <xf numFmtId="3" fontId="28" fillId="0" borderId="1" xfId="0" applyNumberFormat="1" applyFont="1" applyBorder="1"/>
    <xf numFmtId="17" fontId="27" fillId="0" borderId="0" xfId="0" applyNumberFormat="1" applyFont="1" applyBorder="1"/>
    <xf numFmtId="4" fontId="27" fillId="0" borderId="0" xfId="0" applyNumberFormat="1" applyFont="1" applyAlignment="1">
      <alignment horizontal="center"/>
    </xf>
    <xf numFmtId="0" fontId="27" fillId="0" borderId="0" xfId="0" applyFont="1" applyAlignment="1"/>
    <xf numFmtId="0" fontId="37" fillId="8" borderId="16" xfId="0" applyFont="1" applyFill="1" applyBorder="1"/>
    <xf numFmtId="3" fontId="38" fillId="0" borderId="0" xfId="0" applyNumberFormat="1" applyFont="1" applyFill="1" applyAlignment="1">
      <alignment horizontal="center" wrapText="1"/>
    </xf>
    <xf numFmtId="0" fontId="38" fillId="0" borderId="0" xfId="0" applyFont="1" applyFill="1" applyAlignment="1">
      <alignment horizontal="center" wrapText="1"/>
    </xf>
    <xf numFmtId="4" fontId="38" fillId="0" borderId="0" xfId="0" applyNumberFormat="1" applyFont="1" applyAlignment="1">
      <alignment horizontal="center" wrapText="1"/>
    </xf>
    <xf numFmtId="0" fontId="38" fillId="0" borderId="0" xfId="0" applyFont="1" applyAlignment="1">
      <alignment horizontal="center" wrapText="1"/>
    </xf>
    <xf numFmtId="0" fontId="38" fillId="0" borderId="0" xfId="0" applyFont="1" applyFill="1" applyBorder="1" applyAlignment="1">
      <alignment horizontal="center" wrapText="1"/>
    </xf>
    <xf numFmtId="0" fontId="38" fillId="5" borderId="0" xfId="0" applyFont="1" applyFill="1" applyBorder="1" applyAlignment="1">
      <alignment horizontal="center" wrapText="1"/>
    </xf>
    <xf numFmtId="0" fontId="27" fillId="0" borderId="16" xfId="0" applyFont="1" applyBorder="1"/>
    <xf numFmtId="17" fontId="27" fillId="0" borderId="0" xfId="9" applyNumberFormat="1" applyFont="1"/>
    <xf numFmtId="37" fontId="27" fillId="0" borderId="16" xfId="0" applyNumberFormat="1" applyFont="1" applyFill="1" applyBorder="1" applyAlignment="1">
      <alignment horizontal="center"/>
    </xf>
    <xf numFmtId="37" fontId="27" fillId="0" borderId="16" xfId="0" applyNumberFormat="1" applyFont="1" applyBorder="1" applyAlignment="1">
      <alignment horizontal="center"/>
    </xf>
    <xf numFmtId="12" fontId="27" fillId="0" borderId="16" xfId="0" applyNumberFormat="1" applyFont="1" applyBorder="1" applyAlignment="1">
      <alignment horizontal="center"/>
    </xf>
    <xf numFmtId="37" fontId="27" fillId="0" borderId="0" xfId="0" applyNumberFormat="1" applyFont="1" applyAlignment="1">
      <alignment horizontal="center"/>
    </xf>
    <xf numFmtId="37" fontId="27" fillId="5" borderId="16" xfId="0" applyNumberFormat="1" applyFont="1" applyFill="1" applyBorder="1" applyAlignment="1">
      <alignment horizontal="center"/>
    </xf>
    <xf numFmtId="0" fontId="27" fillId="0" borderId="0" xfId="0" applyFont="1" applyBorder="1"/>
    <xf numFmtId="166" fontId="27" fillId="0" borderId="16" xfId="13" applyNumberFormat="1" applyFont="1" applyBorder="1" applyAlignment="1">
      <alignment horizontal="center"/>
    </xf>
    <xf numFmtId="37" fontId="27" fillId="0" borderId="0" xfId="0" applyNumberFormat="1" applyFont="1" applyFill="1" applyAlignment="1">
      <alignment horizontal="center"/>
    </xf>
    <xf numFmtId="12" fontId="27" fillId="0" borderId="0" xfId="0" applyNumberFormat="1" applyFont="1" applyBorder="1" applyAlignment="1">
      <alignment horizontal="center"/>
    </xf>
    <xf numFmtId="37" fontId="27" fillId="0" borderId="0" xfId="0" applyNumberFormat="1" applyFont="1" applyFill="1" applyBorder="1" applyAlignment="1">
      <alignment horizontal="center"/>
    </xf>
    <xf numFmtId="37" fontId="27" fillId="5" borderId="0" xfId="0" applyNumberFormat="1" applyFont="1" applyFill="1" applyBorder="1" applyAlignment="1">
      <alignment horizontal="center"/>
    </xf>
    <xf numFmtId="37" fontId="27" fillId="0" borderId="0" xfId="0" applyNumberFormat="1" applyFont="1" applyBorder="1" applyAlignment="1">
      <alignment horizontal="center"/>
    </xf>
    <xf numFmtId="166" fontId="27" fillId="0" borderId="0" xfId="13" applyNumberFormat="1" applyFont="1" applyBorder="1" applyAlignment="1">
      <alignment horizontal="center"/>
    </xf>
    <xf numFmtId="0" fontId="39" fillId="0" borderId="3" xfId="0" applyFont="1" applyFill="1" applyBorder="1" applyAlignment="1">
      <alignment horizontal="centerContinuous"/>
    </xf>
    <xf numFmtId="0" fontId="27" fillId="0" borderId="0" xfId="0" applyFont="1" applyFill="1" applyBorder="1" applyAlignment="1"/>
    <xf numFmtId="0" fontId="27" fillId="0" borderId="2" xfId="0" applyFont="1" applyFill="1" applyBorder="1" applyAlignment="1"/>
    <xf numFmtId="0" fontId="39" fillId="0" borderId="3" xfId="0" applyFont="1" applyFill="1" applyBorder="1" applyAlignment="1">
      <alignment horizontal="center"/>
    </xf>
    <xf numFmtId="37" fontId="28" fillId="0" borderId="0" xfId="0" applyNumberFormat="1" applyFont="1" applyFill="1" applyBorder="1" applyAlignment="1">
      <alignment horizontal="center"/>
    </xf>
    <xf numFmtId="187" fontId="27" fillId="0" borderId="0" xfId="1" applyNumberFormat="1" applyFont="1" applyFill="1" applyBorder="1" applyAlignment="1"/>
    <xf numFmtId="172" fontId="27" fillId="0" borderId="0" xfId="1" applyNumberFormat="1" applyFont="1" applyFill="1" applyBorder="1" applyAlignment="1"/>
    <xf numFmtId="43" fontId="27" fillId="0" borderId="0" xfId="1" applyNumberFormat="1" applyFont="1" applyFill="1" applyBorder="1" applyAlignment="1"/>
    <xf numFmtId="187" fontId="27" fillId="0" borderId="2" xfId="1" applyNumberFormat="1" applyFont="1" applyFill="1" applyBorder="1" applyAlignment="1"/>
    <xf numFmtId="172" fontId="27" fillId="0" borderId="2" xfId="1" applyNumberFormat="1" applyFont="1" applyFill="1" applyBorder="1" applyAlignment="1"/>
    <xf numFmtId="43" fontId="27" fillId="0" borderId="2" xfId="1" applyNumberFormat="1" applyFont="1" applyFill="1" applyBorder="1" applyAlignment="1"/>
    <xf numFmtId="0" fontId="39" fillId="0" borderId="0" xfId="0" applyFont="1" applyFill="1" applyBorder="1" applyAlignment="1">
      <alignment horizontal="centerContinuous"/>
    </xf>
    <xf numFmtId="0" fontId="37" fillId="0" borderId="0" xfId="0" applyFont="1"/>
    <xf numFmtId="0" fontId="39" fillId="0" borderId="0" xfId="0" applyFont="1" applyFill="1" applyBorder="1" applyAlignment="1">
      <alignment horizontal="center"/>
    </xf>
    <xf numFmtId="37" fontId="38" fillId="0" borderId="0" xfId="0" applyNumberFormat="1" applyFont="1" applyFill="1" applyBorder="1" applyAlignment="1">
      <alignment horizontal="center"/>
    </xf>
    <xf numFmtId="37" fontId="38" fillId="0" borderId="0" xfId="0" applyNumberFormat="1" applyFont="1" applyBorder="1" applyAlignment="1">
      <alignment horizontal="center"/>
    </xf>
    <xf numFmtId="37" fontId="27" fillId="0" borderId="0" xfId="0" applyNumberFormat="1" applyFont="1" applyFill="1" applyBorder="1" applyAlignment="1"/>
    <xf numFmtId="1" fontId="27" fillId="0" borderId="0" xfId="1" applyNumberFormat="1" applyFont="1" applyFill="1" applyAlignment="1">
      <alignment horizontal="center"/>
    </xf>
    <xf numFmtId="1" fontId="27" fillId="0" borderId="0" xfId="0" applyNumberFormat="1" applyFont="1" applyFill="1" applyAlignment="1">
      <alignment horizontal="center"/>
    </xf>
    <xf numFmtId="37" fontId="27" fillId="13" borderId="0" xfId="0" applyNumberFormat="1" applyFont="1" applyFill="1" applyAlignment="1">
      <alignment horizontal="center"/>
    </xf>
    <xf numFmtId="1" fontId="27" fillId="0" borderId="0" xfId="0" applyNumberFormat="1" applyFont="1" applyBorder="1" applyAlignment="1">
      <alignment horizontal="center"/>
    </xf>
    <xf numFmtId="37" fontId="27" fillId="5" borderId="0" xfId="0" applyNumberFormat="1" applyFont="1" applyFill="1" applyAlignment="1">
      <alignment horizontal="center"/>
    </xf>
    <xf numFmtId="1" fontId="27" fillId="0" borderId="0" xfId="0" applyNumberFormat="1" applyFont="1" applyAlignment="1">
      <alignment horizontal="center"/>
    </xf>
    <xf numFmtId="17" fontId="27" fillId="0" borderId="0" xfId="0" applyNumberFormat="1" applyFont="1"/>
    <xf numFmtId="4" fontId="27" fillId="0" borderId="0" xfId="0" applyNumberFormat="1" applyFont="1" applyFill="1" applyAlignment="1">
      <alignment horizontal="center"/>
    </xf>
    <xf numFmtId="12" fontId="27" fillId="0" borderId="0" xfId="0" applyNumberFormat="1" applyFont="1" applyFill="1" applyBorder="1" applyAlignment="1">
      <alignment horizontal="center"/>
    </xf>
    <xf numFmtId="37" fontId="28" fillId="0" borderId="0" xfId="0" applyNumberFormat="1" applyFont="1" applyFill="1" applyAlignment="1">
      <alignment horizontal="center"/>
    </xf>
    <xf numFmtId="0" fontId="27" fillId="13" borderId="0" xfId="0" applyFont="1" applyFill="1" applyAlignment="1">
      <alignment horizontal="center"/>
    </xf>
    <xf numFmtId="3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left"/>
    </xf>
    <xf numFmtId="1" fontId="27" fillId="0" borderId="0" xfId="0" applyNumberFormat="1" applyFont="1"/>
    <xf numFmtId="172" fontId="27" fillId="0" borderId="0" xfId="1" applyNumberFormat="1" applyFont="1" applyAlignment="1">
      <alignment horizontal="center"/>
    </xf>
    <xf numFmtId="167" fontId="27" fillId="0" borderId="0" xfId="0" applyNumberFormat="1" applyFont="1" applyAlignment="1">
      <alignment horizontal="center"/>
    </xf>
    <xf numFmtId="166" fontId="27" fillId="0" borderId="0" xfId="0" applyNumberFormat="1" applyFont="1" applyAlignment="1">
      <alignment horizontal="center"/>
    </xf>
    <xf numFmtId="172" fontId="27" fillId="2" borderId="0" xfId="1" applyNumberFormat="1" applyFont="1" applyFill="1" applyAlignment="1">
      <alignment horizontal="right"/>
    </xf>
    <xf numFmtId="0" fontId="27" fillId="0" borderId="0" xfId="0" applyFont="1" applyAlignment="1">
      <alignment horizontal="right"/>
    </xf>
    <xf numFmtId="0" fontId="27" fillId="0" borderId="0" xfId="0" applyFont="1" applyAlignment="1">
      <alignment horizontal="left"/>
    </xf>
    <xf numFmtId="0" fontId="27" fillId="2" borderId="0" xfId="0" applyFont="1" applyFill="1" applyAlignment="1">
      <alignment horizontal="center"/>
    </xf>
    <xf numFmtId="17" fontId="27" fillId="0" borderId="0" xfId="0" applyNumberFormat="1" applyFont="1" applyAlignment="1">
      <alignment horizontal="center"/>
    </xf>
    <xf numFmtId="37" fontId="28" fillId="0" borderId="0" xfId="0" applyNumberFormat="1" applyFont="1" applyAlignment="1">
      <alignment horizontal="center"/>
    </xf>
    <xf numFmtId="4" fontId="28" fillId="0" borderId="0" xfId="0" applyNumberFormat="1" applyFont="1" applyFill="1" applyAlignment="1">
      <alignment horizontal="center"/>
    </xf>
    <xf numFmtId="0" fontId="27" fillId="0" borderId="12" xfId="0" applyFont="1" applyBorder="1" applyAlignment="1">
      <alignment horizontal="center"/>
    </xf>
    <xf numFmtId="0" fontId="27" fillId="0" borderId="12" xfId="0" applyFont="1" applyFill="1" applyBorder="1" applyAlignment="1">
      <alignment horizontal="left"/>
    </xf>
    <xf numFmtId="172" fontId="27" fillId="0" borderId="0" xfId="1" applyNumberFormat="1" applyFont="1" applyFill="1" applyAlignment="1">
      <alignment horizontal="center"/>
    </xf>
    <xf numFmtId="9" fontId="27" fillId="0" borderId="0" xfId="13" applyFont="1" applyAlignment="1">
      <alignment horizontal="center"/>
    </xf>
    <xf numFmtId="171" fontId="27" fillId="0" borderId="0" xfId="0" applyNumberFormat="1" applyFont="1" applyAlignment="1">
      <alignment horizontal="center"/>
    </xf>
    <xf numFmtId="172" fontId="27" fillId="0" borderId="0" xfId="1" applyNumberFormat="1" applyFont="1" applyFill="1" applyBorder="1" applyAlignment="1">
      <alignment horizontal="center"/>
    </xf>
    <xf numFmtId="12" fontId="27" fillId="0" borderId="0" xfId="0" applyNumberFormat="1" applyFont="1" applyAlignment="1">
      <alignment horizontal="center"/>
    </xf>
    <xf numFmtId="4" fontId="27" fillId="0" borderId="23" xfId="0" applyNumberFormat="1" applyFont="1" applyBorder="1" applyAlignment="1">
      <alignment horizontal="center"/>
    </xf>
    <xf numFmtId="0" fontId="27" fillId="0" borderId="23" xfId="0" applyFont="1" applyBorder="1" applyAlignment="1">
      <alignment horizontal="center"/>
    </xf>
    <xf numFmtId="172" fontId="28" fillId="0" borderId="23" xfId="0" applyNumberFormat="1" applyFont="1" applyFill="1" applyBorder="1" applyAlignment="1">
      <alignment horizontal="center"/>
    </xf>
    <xf numFmtId="9" fontId="27" fillId="0" borderId="23" xfId="13" applyFont="1" applyFill="1" applyBorder="1" applyAlignment="1">
      <alignment horizontal="center"/>
    </xf>
    <xf numFmtId="172" fontId="27" fillId="0" borderId="0" xfId="0" applyNumberFormat="1" applyFont="1" applyAlignment="1">
      <alignment horizontal="center"/>
    </xf>
    <xf numFmtId="172" fontId="27" fillId="0" borderId="0" xfId="0" applyNumberFormat="1" applyFont="1" applyFill="1" applyAlignment="1">
      <alignment horizontal="center"/>
    </xf>
    <xf numFmtId="165" fontId="27" fillId="0" borderId="0" xfId="0" applyNumberFormat="1" applyFont="1" applyAlignment="1">
      <alignment horizontal="center"/>
    </xf>
    <xf numFmtId="3" fontId="28" fillId="0" borderId="12" xfId="0" applyNumberFormat="1" applyFont="1" applyBorder="1" applyAlignment="1">
      <alignment horizontal="left"/>
    </xf>
    <xf numFmtId="3" fontId="27" fillId="0" borderId="13" xfId="0" applyNumberFormat="1" applyFont="1" applyBorder="1" applyAlignment="1">
      <alignment horizontal="center"/>
    </xf>
    <xf numFmtId="0" fontId="27" fillId="0" borderId="11" xfId="0" applyFont="1" applyBorder="1" applyAlignment="1">
      <alignment horizontal="left"/>
    </xf>
    <xf numFmtId="0" fontId="41" fillId="0" borderId="1" xfId="0" applyFont="1" applyBorder="1" applyAlignment="1">
      <alignment wrapText="1"/>
    </xf>
    <xf numFmtId="3" fontId="27" fillId="0" borderId="20" xfId="0" applyNumberFormat="1" applyFont="1" applyBorder="1" applyAlignment="1">
      <alignment horizontal="center"/>
    </xf>
    <xf numFmtId="3" fontId="27" fillId="0" borderId="14" xfId="0" applyNumberFormat="1" applyFont="1" applyBorder="1" applyAlignment="1">
      <alignment horizontal="center"/>
    </xf>
    <xf numFmtId="15" fontId="28" fillId="0" borderId="20" xfId="0" applyNumberFormat="1" applyFont="1" applyBorder="1"/>
    <xf numFmtId="172" fontId="28" fillId="0" borderId="17" xfId="1" applyNumberFormat="1" applyFont="1" applyBorder="1"/>
    <xf numFmtId="3" fontId="28" fillId="0" borderId="20" xfId="0" applyNumberFormat="1" applyFont="1" applyBorder="1" applyAlignment="1">
      <alignment horizontal="center"/>
    </xf>
    <xf numFmtId="3" fontId="28" fillId="0" borderId="14" xfId="0" applyNumberFormat="1" applyFont="1" applyBorder="1" applyAlignment="1">
      <alignment horizontal="center"/>
    </xf>
    <xf numFmtId="2" fontId="27" fillId="0" borderId="0" xfId="0" applyNumberFormat="1" applyFont="1" applyAlignment="1">
      <alignment horizontal="center"/>
    </xf>
    <xf numFmtId="189" fontId="27" fillId="0" borderId="17" xfId="0" applyNumberFormat="1" applyFont="1" applyBorder="1"/>
    <xf numFmtId="4" fontId="27" fillId="0" borderId="14" xfId="0" applyNumberFormat="1" applyFont="1" applyBorder="1" applyAlignment="1">
      <alignment horizontal="center"/>
    </xf>
    <xf numFmtId="2" fontId="27" fillId="0" borderId="17" xfId="0" applyNumberFormat="1" applyFont="1" applyBorder="1"/>
    <xf numFmtId="15" fontId="28" fillId="0" borderId="24" xfId="0" applyNumberFormat="1" applyFont="1" applyBorder="1"/>
    <xf numFmtId="0" fontId="28" fillId="0" borderId="26" xfId="0" applyFont="1" applyBorder="1"/>
    <xf numFmtId="3" fontId="28" fillId="0" borderId="24" xfId="0" applyNumberFormat="1" applyFont="1" applyBorder="1" applyAlignment="1">
      <alignment horizontal="center"/>
    </xf>
    <xf numFmtId="3" fontId="28" fillId="0" borderId="22" xfId="0" applyNumberFormat="1" applyFont="1" applyBorder="1" applyAlignment="1">
      <alignment horizontal="center"/>
    </xf>
    <xf numFmtId="172" fontId="27" fillId="0" borderId="14" xfId="1" applyNumberFormat="1" applyFont="1" applyBorder="1" applyAlignment="1">
      <alignment horizontal="center"/>
    </xf>
    <xf numFmtId="172" fontId="28" fillId="0" borderId="0" xfId="1" applyNumberFormat="1" applyFont="1" applyAlignment="1">
      <alignment horizontal="center"/>
    </xf>
    <xf numFmtId="3" fontId="28" fillId="0" borderId="0" xfId="0" applyNumberFormat="1" applyFont="1" applyFill="1" applyAlignment="1">
      <alignment horizontal="center"/>
    </xf>
    <xf numFmtId="3" fontId="26" fillId="17" borderId="1" xfId="0" applyNumberFormat="1" applyFont="1" applyFill="1" applyBorder="1" applyAlignment="1">
      <alignment horizontal="center"/>
    </xf>
    <xf numFmtId="0" fontId="25" fillId="17" borderId="1" xfId="11" applyNumberFormat="1" applyFont="1" applyFill="1" applyBorder="1" applyAlignment="1">
      <alignment horizontal="center" vertical="center" wrapText="1"/>
    </xf>
    <xf numFmtId="17" fontId="27" fillId="0" borderId="0" xfId="9" applyNumberFormat="1" applyFont="1" applyFill="1"/>
    <xf numFmtId="17" fontId="27" fillId="0" borderId="0" xfId="9" applyNumberFormat="1" applyFont="1" applyFill="1" applyBorder="1"/>
    <xf numFmtId="37" fontId="41" fillId="0" borderId="0" xfId="0" applyNumberFormat="1" applyFont="1" applyFill="1" applyAlignment="1">
      <alignment horizontal="center"/>
    </xf>
    <xf numFmtId="171" fontId="27" fillId="0" borderId="0" xfId="0" applyNumberFormat="1" applyFont="1" applyFill="1" applyBorder="1" applyAlignment="1">
      <alignment horizontal="center"/>
    </xf>
    <xf numFmtId="0" fontId="5" fillId="16" borderId="0" xfId="0" applyFont="1" applyFill="1"/>
    <xf numFmtId="0" fontId="0" fillId="16" borderId="0" xfId="0" applyFill="1"/>
    <xf numFmtId="174" fontId="0" fillId="16" borderId="0" xfId="0" applyNumberFormat="1" applyFill="1"/>
    <xf numFmtId="191" fontId="27" fillId="16" borderId="23" xfId="0" applyNumberFormat="1" applyFont="1" applyFill="1" applyBorder="1" applyAlignment="1">
      <alignment horizontal="center"/>
    </xf>
    <xf numFmtId="191" fontId="27" fillId="16" borderId="13" xfId="0" applyNumberFormat="1" applyFont="1" applyFill="1" applyBorder="1"/>
    <xf numFmtId="167" fontId="0" fillId="5" borderId="0" xfId="0" applyNumberFormat="1" applyFill="1" applyAlignment="1">
      <alignment horizontal="center"/>
    </xf>
    <xf numFmtId="0" fontId="5" fillId="5" borderId="0" xfId="0" applyFont="1" applyFill="1" applyAlignment="1">
      <alignment horizontal="center"/>
    </xf>
    <xf numFmtId="166" fontId="0" fillId="0" borderId="23" xfId="13" applyNumberFormat="1" applyFont="1" applyBorder="1"/>
    <xf numFmtId="0" fontId="26" fillId="0" borderId="11" xfId="0" applyFont="1" applyFill="1" applyBorder="1" applyAlignment="1">
      <alignment horizontal="left" vertical="center"/>
    </xf>
    <xf numFmtId="0" fontId="26" fillId="0" borderId="12" xfId="0" applyFont="1" applyFill="1" applyBorder="1" applyAlignment="1">
      <alignment horizontal="left" vertical="center"/>
    </xf>
    <xf numFmtId="0" fontId="25" fillId="0" borderId="1" xfId="11" applyFont="1" applyFill="1" applyBorder="1" applyAlignment="1">
      <alignment horizontal="center" vertical="center"/>
    </xf>
    <xf numFmtId="0" fontId="25" fillId="0" borderId="11" xfId="11" applyFont="1" applyFill="1" applyBorder="1" applyAlignment="1">
      <alignment horizontal="left" vertical="center"/>
    </xf>
    <xf numFmtId="0" fontId="25" fillId="0" borderId="12" xfId="11" applyFont="1" applyFill="1" applyBorder="1" applyAlignment="1">
      <alignment horizontal="left" vertical="center"/>
    </xf>
    <xf numFmtId="0" fontId="25" fillId="16" borderId="11" xfId="0" applyFont="1" applyFill="1" applyBorder="1" applyAlignment="1">
      <alignment horizontal="left" vertical="center"/>
    </xf>
    <xf numFmtId="0" fontId="25" fillId="16" borderId="12" xfId="0" applyFont="1" applyFill="1" applyBorder="1" applyAlignment="1">
      <alignment horizontal="left" vertical="center"/>
    </xf>
    <xf numFmtId="0" fontId="25" fillId="16" borderId="13" xfId="0" applyFont="1" applyFill="1" applyBorder="1" applyAlignment="1">
      <alignment horizontal="left" vertical="center"/>
    </xf>
    <xf numFmtId="0" fontId="25" fillId="0" borderId="11" xfId="0" applyFont="1" applyFill="1" applyBorder="1" applyAlignment="1">
      <alignment horizontal="left" vertical="center"/>
    </xf>
    <xf numFmtId="0" fontId="25" fillId="0" borderId="12" xfId="0" applyFont="1" applyFill="1" applyBorder="1" applyAlignment="1">
      <alignment horizontal="left" vertical="center"/>
    </xf>
    <xf numFmtId="0" fontId="25" fillId="0" borderId="13" xfId="0" applyFont="1" applyFill="1" applyBorder="1" applyAlignment="1">
      <alignment horizontal="left" vertical="center"/>
    </xf>
    <xf numFmtId="0" fontId="25" fillId="0" borderId="11" xfId="11" applyFont="1" applyFill="1" applyBorder="1" applyAlignment="1">
      <alignment horizontal="center" vertical="center"/>
    </xf>
    <xf numFmtId="0" fontId="25" fillId="0" borderId="13" xfId="11" applyFont="1" applyFill="1" applyBorder="1" applyAlignment="1">
      <alignment horizontal="center" vertical="center"/>
    </xf>
    <xf numFmtId="0" fontId="25" fillId="16" borderId="11" xfId="0" applyFont="1" applyFill="1" applyBorder="1" applyAlignment="1">
      <alignment horizontal="center" vertical="center" wrapText="1"/>
    </xf>
    <xf numFmtId="0" fontId="25" fillId="16" borderId="12" xfId="0" applyFont="1" applyFill="1" applyBorder="1" applyAlignment="1">
      <alignment horizontal="center" vertical="center" wrapText="1"/>
    </xf>
    <xf numFmtId="0" fontId="25" fillId="16" borderId="13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/>
    </xf>
    <xf numFmtId="3" fontId="27" fillId="0" borderId="1" xfId="0" applyNumberFormat="1" applyFont="1" applyBorder="1" applyAlignment="1">
      <alignment horizontal="center"/>
    </xf>
    <xf numFmtId="3" fontId="27" fillId="0" borderId="11" xfId="0" applyNumberFormat="1" applyFont="1" applyBorder="1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5" fillId="0" borderId="1" xfId="11" applyFont="1" applyFill="1" applyBorder="1" applyAlignment="1">
      <alignment horizontal="left" vertical="center"/>
    </xf>
    <xf numFmtId="0" fontId="25" fillId="0" borderId="1" xfId="11" applyFont="1" applyFill="1" applyBorder="1" applyAlignment="1">
      <alignment vertical="center"/>
    </xf>
    <xf numFmtId="0" fontId="25" fillId="0" borderId="13" xfId="11" applyFont="1" applyFill="1" applyBorder="1" applyAlignment="1">
      <alignment horizontal="left" vertical="center"/>
    </xf>
    <xf numFmtId="0" fontId="25" fillId="16" borderId="1" xfId="0" applyFont="1" applyFill="1" applyBorder="1" applyAlignment="1">
      <alignment horizontal="left" vertical="center"/>
    </xf>
    <xf numFmtId="0" fontId="25" fillId="16" borderId="1" xfId="0" applyFont="1" applyFill="1" applyBorder="1" applyAlignment="1">
      <alignment horizontal="left"/>
    </xf>
    <xf numFmtId="0" fontId="25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1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3" fontId="26" fillId="0" borderId="1" xfId="0" applyNumberFormat="1" applyFont="1" applyFill="1" applyBorder="1" applyAlignment="1">
      <alignment horizontal="left" vertical="center"/>
    </xf>
    <xf numFmtId="0" fontId="25" fillId="16" borderId="1" xfId="11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/>
    </xf>
    <xf numFmtId="0" fontId="26" fillId="0" borderId="11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0" fontId="28" fillId="16" borderId="11" xfId="0" applyFont="1" applyFill="1" applyBorder="1" applyAlignment="1">
      <alignment horizontal="center"/>
    </xf>
    <xf numFmtId="0" fontId="28" fillId="16" borderId="12" xfId="0" applyFont="1" applyFill="1" applyBorder="1" applyAlignment="1">
      <alignment horizontal="center"/>
    </xf>
    <xf numFmtId="0" fontId="28" fillId="16" borderId="13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center" vertical="center"/>
    </xf>
    <xf numFmtId="177" fontId="25" fillId="0" borderId="11" xfId="0" applyNumberFormat="1" applyFont="1" applyFill="1" applyBorder="1" applyAlignment="1">
      <alignment horizontal="center" vertical="center"/>
    </xf>
    <xf numFmtId="177" fontId="25" fillId="0" borderId="12" xfId="0" applyNumberFormat="1" applyFont="1" applyFill="1" applyBorder="1" applyAlignment="1">
      <alignment horizontal="center" vertical="center"/>
    </xf>
    <xf numFmtId="177" fontId="25" fillId="0" borderId="13" xfId="0" applyNumberFormat="1" applyFont="1" applyFill="1" applyBorder="1" applyAlignment="1">
      <alignment horizontal="center" vertical="center"/>
    </xf>
    <xf numFmtId="3" fontId="5" fillId="0" borderId="27" xfId="0" applyNumberFormat="1" applyFont="1" applyBorder="1" applyAlignment="1">
      <alignment horizontal="center"/>
    </xf>
    <xf numFmtId="3" fontId="0" fillId="0" borderId="28" xfId="0" applyNumberFormat="1" applyBorder="1" applyAlignment="1">
      <alignment horizontal="center"/>
    </xf>
    <xf numFmtId="10" fontId="5" fillId="0" borderId="27" xfId="13" applyNumberFormat="1" applyFont="1" applyBorder="1" applyAlignment="1">
      <alignment horizontal="center"/>
    </xf>
    <xf numFmtId="10" fontId="0" fillId="0" borderId="28" xfId="13" applyNumberFormat="1" applyFont="1" applyBorder="1" applyAlignment="1">
      <alignment horizontal="center"/>
    </xf>
    <xf numFmtId="10" fontId="0" fillId="0" borderId="29" xfId="13" applyNumberFormat="1" applyFont="1" applyBorder="1" applyAlignment="1">
      <alignment horizontal="center"/>
    </xf>
    <xf numFmtId="167" fontId="5" fillId="0" borderId="27" xfId="0" applyNumberFormat="1" applyFont="1" applyBorder="1" applyAlignment="1">
      <alignment horizontal="center"/>
    </xf>
    <xf numFmtId="167" fontId="0" fillId="0" borderId="28" xfId="0" applyNumberFormat="1" applyBorder="1" applyAlignment="1">
      <alignment horizontal="center"/>
    </xf>
    <xf numFmtId="3" fontId="0" fillId="0" borderId="29" xfId="0" applyNumberFormat="1" applyBorder="1" applyAlignment="1">
      <alignment horizontal="center"/>
    </xf>
    <xf numFmtId="0" fontId="28" fillId="0" borderId="21" xfId="0" applyNumberFormat="1" applyFont="1" applyBorder="1" applyAlignment="1">
      <alignment horizontal="center" wrapText="1"/>
    </xf>
    <xf numFmtId="0" fontId="28" fillId="0" borderId="20" xfId="0" applyNumberFormat="1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24" xfId="0" applyFont="1" applyBorder="1" applyAlignment="1">
      <alignment horizontal="center" wrapText="1"/>
    </xf>
    <xf numFmtId="0" fontId="28" fillId="0" borderId="15" xfId="0" applyNumberFormat="1" applyFont="1" applyBorder="1" applyAlignment="1">
      <alignment horizontal="center"/>
    </xf>
    <xf numFmtId="0" fontId="28" fillId="0" borderId="16" xfId="0" applyNumberFormat="1" applyFont="1" applyBorder="1" applyAlignment="1">
      <alignment horizontal="center"/>
    </xf>
    <xf numFmtId="0" fontId="28" fillId="0" borderId="13" xfId="0" applyNumberFormat="1" applyFont="1" applyBorder="1" applyAlignment="1">
      <alignment horizontal="center"/>
    </xf>
    <xf numFmtId="0" fontId="28" fillId="0" borderId="17" xfId="0" applyNumberFormat="1" applyFont="1" applyBorder="1" applyAlignment="1">
      <alignment horizontal="center"/>
    </xf>
    <xf numFmtId="0" fontId="28" fillId="0" borderId="23" xfId="0" applyNumberFormat="1" applyFont="1" applyBorder="1" applyAlignment="1">
      <alignment horizontal="center"/>
    </xf>
    <xf numFmtId="0" fontId="28" fillId="0" borderId="22" xfId="0" applyNumberFormat="1" applyFont="1" applyBorder="1" applyAlignment="1">
      <alignment horizontal="center"/>
    </xf>
    <xf numFmtId="0" fontId="27" fillId="0" borderId="17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7" fillId="0" borderId="22" xfId="0" applyNumberFormat="1" applyFont="1" applyBorder="1" applyAlignment="1">
      <alignment horizontal="center"/>
    </xf>
    <xf numFmtId="0" fontId="28" fillId="0" borderId="26" xfId="0" applyNumberFormat="1" applyFont="1" applyBorder="1" applyAlignment="1">
      <alignment horizontal="center"/>
    </xf>
    <xf numFmtId="0" fontId="28" fillId="0" borderId="14" xfId="0" applyNumberFormat="1" applyFont="1" applyBorder="1" applyAlignment="1">
      <alignment horizontal="center"/>
    </xf>
    <xf numFmtId="0" fontId="31" fillId="0" borderId="41" xfId="0" applyFont="1" applyBorder="1" applyAlignment="1">
      <alignment vertical="center"/>
    </xf>
    <xf numFmtId="0" fontId="31" fillId="0" borderId="42" xfId="0" applyFont="1" applyBorder="1" applyAlignment="1">
      <alignment vertical="center"/>
    </xf>
    <xf numFmtId="0" fontId="31" fillId="0" borderId="43" xfId="0" applyFont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8" fillId="18" borderId="18" xfId="0" applyFont="1" applyFill="1" applyBorder="1" applyAlignment="1">
      <alignment horizontal="center"/>
    </xf>
    <xf numFmtId="0" fontId="8" fillId="18" borderId="9" xfId="0" applyFont="1" applyFill="1" applyBorder="1" applyAlignment="1">
      <alignment horizontal="center"/>
    </xf>
    <xf numFmtId="0" fontId="8" fillId="18" borderId="10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3" fontId="0" fillId="5" borderId="1" xfId="0" applyNumberFormat="1" applyFill="1" applyBorder="1" applyAlignment="1">
      <alignment horizontal="center"/>
    </xf>
    <xf numFmtId="0" fontId="8" fillId="18" borderId="48" xfId="0" applyFont="1" applyFill="1" applyBorder="1" applyAlignment="1">
      <alignment horizontal="center"/>
    </xf>
    <xf numFmtId="0" fontId="5" fillId="10" borderId="33" xfId="0" applyFont="1" applyFill="1" applyBorder="1" applyAlignment="1">
      <alignment vertical="center" wrapText="1"/>
    </xf>
    <xf numFmtId="0" fontId="5" fillId="10" borderId="32" xfId="0" applyFont="1" applyFill="1" applyBorder="1" applyAlignment="1">
      <alignment vertical="center" wrapText="1"/>
    </xf>
    <xf numFmtId="0" fontId="5" fillId="10" borderId="37" xfId="0" applyFont="1" applyFill="1" applyBorder="1" applyAlignment="1">
      <alignment vertical="center" wrapText="1"/>
    </xf>
    <xf numFmtId="0" fontId="5" fillId="10" borderId="40" xfId="0" applyFont="1" applyFill="1" applyBorder="1" applyAlignment="1">
      <alignment vertical="center" wrapText="1"/>
    </xf>
    <xf numFmtId="0" fontId="5" fillId="10" borderId="31" xfId="0" applyFont="1" applyFill="1" applyBorder="1" applyAlignment="1">
      <alignment vertical="center" wrapText="1"/>
    </xf>
    <xf numFmtId="0" fontId="5" fillId="10" borderId="39" xfId="0" applyFont="1" applyFill="1" applyBorder="1" applyAlignment="1">
      <alignment vertical="center" wrapText="1"/>
    </xf>
    <xf numFmtId="0" fontId="5" fillId="11" borderId="33" xfId="0" applyFont="1" applyFill="1" applyBorder="1" applyAlignment="1">
      <alignment vertical="center" wrapText="1"/>
    </xf>
    <xf numFmtId="0" fontId="5" fillId="11" borderId="31" xfId="0" applyFont="1" applyFill="1" applyBorder="1" applyAlignment="1">
      <alignment vertical="center" wrapText="1"/>
    </xf>
    <xf numFmtId="0" fontId="5" fillId="11" borderId="37" xfId="0" applyFont="1" applyFill="1" applyBorder="1" applyAlignment="1">
      <alignment vertical="center" wrapText="1"/>
    </xf>
    <xf numFmtId="0" fontId="5" fillId="11" borderId="39" xfId="0" applyFont="1" applyFill="1" applyBorder="1" applyAlignment="1">
      <alignment vertical="center" wrapText="1"/>
    </xf>
    <xf numFmtId="0" fontId="0" fillId="3" borderId="0" xfId="0" applyFill="1" applyAlignment="1">
      <alignment horizontal="center"/>
    </xf>
  </cellXfs>
  <cellStyles count="29">
    <cellStyle name="Comma" xfId="1" builtinId="3"/>
    <cellStyle name="Comma 2" xfId="2"/>
    <cellStyle name="Comma 3" xfId="3"/>
    <cellStyle name="Comma 3 2" xfId="14"/>
    <cellStyle name="Comma 4" xfId="15"/>
    <cellStyle name="Comma 5" xfId="16"/>
    <cellStyle name="Comma 5 2" xfId="17"/>
    <cellStyle name="Comma_CDM monthly amounts" xfId="4"/>
    <cellStyle name="Comma0" xfId="5"/>
    <cellStyle name="Currency" xfId="28" builtinId="4"/>
    <cellStyle name="Currency 2" xfId="18"/>
    <cellStyle name="Currency0" xfId="6"/>
    <cellStyle name="Date" xfId="7"/>
    <cellStyle name="Fixed" xfId="8"/>
    <cellStyle name="Hyperlink" xfId="27" builtinId="8"/>
    <cellStyle name="Normal" xfId="0" builtinId="0"/>
    <cellStyle name="Normal 2" xfId="9"/>
    <cellStyle name="Normal 2 2" xfId="19"/>
    <cellStyle name="Normal 3" xfId="20"/>
    <cellStyle name="Normal 4" xfId="21"/>
    <cellStyle name="Normal 4 2" xfId="22"/>
    <cellStyle name="Normal 4_Centre Wellington 2013 Load Foecast-April 4" xfId="23"/>
    <cellStyle name="Normal 5" xfId="25"/>
    <cellStyle name="Normal 6" xfId="26"/>
    <cellStyle name="Normal_OEB Trial Balance - Regulatory-July24-07" xfId="10"/>
    <cellStyle name="Normal_Sheet2" xfId="11"/>
    <cellStyle name="Note 2" xfId="12"/>
    <cellStyle name="Percent" xfId="13" builtinId="5"/>
    <cellStyle name="Percent 2" xfId="24"/>
  </cellStyles>
  <dxfs count="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00FF00"/>
      <color rgb="FF33CC33"/>
      <color rgb="FF27EB4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hartsheet" Target="chartsheets/sheet1.xml"/><Relationship Id="rId18" Type="http://schemas.openxmlformats.org/officeDocument/2006/relationships/worksheet" Target="worksheets/sheet17.xml"/><Relationship Id="rId26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23.xml"/><Relationship Id="rId47" Type="http://schemas.openxmlformats.org/officeDocument/2006/relationships/externalLink" Target="externalLinks/externalLink28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5" Type="http://schemas.openxmlformats.org/officeDocument/2006/relationships/externalLink" Target="externalLinks/externalLink6.xml"/><Relationship Id="rId33" Type="http://schemas.openxmlformats.org/officeDocument/2006/relationships/externalLink" Target="externalLinks/externalLink14.xml"/><Relationship Id="rId38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2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5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41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externalLink" Target="externalLinks/externalLink13.xml"/><Relationship Id="rId37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21.xml"/><Relationship Id="rId45" Type="http://schemas.openxmlformats.org/officeDocument/2006/relationships/externalLink" Target="externalLinks/externalLink26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4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36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0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8.xml"/><Relationship Id="rId31" Type="http://schemas.openxmlformats.org/officeDocument/2006/relationships/externalLink" Target="externalLinks/externalLink12.xml"/><Relationship Id="rId44" Type="http://schemas.openxmlformats.org/officeDocument/2006/relationships/externalLink" Target="externalLinks/externalLink25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3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35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24.xml"/><Relationship Id="rId48" Type="http://schemas.openxmlformats.org/officeDocument/2006/relationships/externalLink" Target="externalLinks/externalLink29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Actual vs. Predicted (GWh)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Summary!$A$55</c:f>
              <c:strCache>
                <c:ptCount val="1"/>
                <c:pt idx="0">
                  <c:v>Actual GWh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dPt>
            <c:idx val="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  <a:effectLst/>
            </c:spPr>
          </c:dPt>
          <c:cat>
            <c:numRef>
              <c:f>Summary!$B$54:$K$54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Summary!$B$55:$K$55</c:f>
              <c:numCache>
                <c:formatCode>#,##0</c:formatCode>
                <c:ptCount val="10"/>
                <c:pt idx="0">
                  <c:v>249.92354034199997</c:v>
                </c:pt>
                <c:pt idx="1">
                  <c:v>252.91785645759998</c:v>
                </c:pt>
                <c:pt idx="2">
                  <c:v>261.52010469972004</c:v>
                </c:pt>
                <c:pt idx="3">
                  <c:v>263.09088840446003</c:v>
                </c:pt>
                <c:pt idx="4">
                  <c:v>268.61793086324002</c:v>
                </c:pt>
                <c:pt idx="5">
                  <c:v>261.64345543000002</c:v>
                </c:pt>
                <c:pt idx="6">
                  <c:v>254.48895253999999</c:v>
                </c:pt>
                <c:pt idx="7">
                  <c:v>261.17626129999996</c:v>
                </c:pt>
                <c:pt idx="8">
                  <c:v>257.78303951999999</c:v>
                </c:pt>
                <c:pt idx="9">
                  <c:v>255.27933842063152</c:v>
                </c:pt>
              </c:numCache>
            </c:numRef>
          </c:val>
        </c:ser>
        <c:ser>
          <c:idx val="1"/>
          <c:order val="1"/>
          <c:tx>
            <c:strRef>
              <c:f>Summary!$A$56</c:f>
              <c:strCache>
                <c:ptCount val="1"/>
                <c:pt idx="0">
                  <c:v>Predicted GWh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Summary!$B$54:$K$54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Summary!$B$56:$K$56</c:f>
              <c:numCache>
                <c:formatCode>#,##0</c:formatCode>
                <c:ptCount val="10"/>
                <c:pt idx="0">
                  <c:v>254.22872931072789</c:v>
                </c:pt>
                <c:pt idx="1">
                  <c:v>256.22443465078806</c:v>
                </c:pt>
                <c:pt idx="2">
                  <c:v>262.71130638453059</c:v>
                </c:pt>
                <c:pt idx="3">
                  <c:v>258.92089558458559</c:v>
                </c:pt>
                <c:pt idx="4">
                  <c:v>262.64329011945466</c:v>
                </c:pt>
                <c:pt idx="5">
                  <c:v>262.68030728775744</c:v>
                </c:pt>
                <c:pt idx="6">
                  <c:v>252.84061346198899</c:v>
                </c:pt>
                <c:pt idx="7">
                  <c:v>257.81362674921684</c:v>
                </c:pt>
                <c:pt idx="8">
                  <c:v>259.50151617453446</c:v>
                </c:pt>
                <c:pt idx="9">
                  <c:v>258.82583280264032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5"/>
        <c:axId val="46964096"/>
        <c:axId val="46965888"/>
      </c:barChart>
      <c:catAx>
        <c:axId val="46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6965888"/>
        <c:crosses val="autoZero"/>
        <c:auto val="1"/>
        <c:lblAlgn val="ctr"/>
        <c:lblOffset val="100"/>
        <c:noMultiLvlLbl val="0"/>
      </c:catAx>
      <c:valAx>
        <c:axId val="46965888"/>
        <c:scaling>
          <c:orientation val="minMax"/>
          <c:min val="20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6964096"/>
        <c:crosses val="autoZero"/>
        <c:crossBetween val="between"/>
      </c:valAx>
    </c:plotArea>
    <c:legend>
      <c:legendPos val="b"/>
      <c:overlay val="0"/>
      <c:spPr>
        <a:effectLst>
          <a:outerShdw blurRad="50800" dist="50800" dir="5400000" algn="ctr" rotWithShape="0">
            <a:schemeClr val="tx1"/>
          </a:outerShdw>
        </a:effectLst>
      </c:sp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7"/>
  <sheetViews>
    <sheetView zoomScale="75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Lakeland/2013%20Rate%20Appl/Dummy%20Fil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0%20Filing%20Approved/Load%20Data/Weather%20Normalization%20Regression%20Model%20-%202010%20After%20Rate%20App%20Correctio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0%20Filing%20Approved/Models/OHL_%20Rate%20Design%20Model%20-%202010%20(2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OHL%20Power%20Purchased%20kWh_2002%20to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4%20Filing/4.%20Load%20Data/Jane%202014%20COS/2014%20GDP%20Emploement%20dat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Weather%20Normalization%20Regression%20Model%20-%202010%20After%20Rate%20App%20Correction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12%20Statistics%20Billed%20Revision%20for%20Rates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Correction%20to%20Streetlights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YE11/11%20Statistics%20Billed%20Revision%20for%20Rates_new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Orangeville_Chapter2_Appendices_for%202014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OHL_and_GV_Billed%20kWh%20by%20Clas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Lakeland/2013%20Rate%20Appl/Dummy%20Fil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OFFICE/REPORTS/2013/Orangeville%20and%20Grand%20Valley%20%20number%20of%20customers%202013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OHL_2014%20RTSR%20MODEL_V4.0_20130715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OHL_Rate%20Design%20Model%20-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Jane%202014%20COS/CDM/2006-2010%20Final%20OPA%20CDM%20Results%20Orangeville%20Hydro%20Limi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4%20Filing/4.%20Load%20Data/Jane%202014%20COS/2014%20CDM/Copy%20of%20Orangeville%20Strategy%20Planner%20V2R3R2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Jane%202014%20COS/CDM/Copy%20of%20Orangeville%20Strategy%20Planner%20V2R3R2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4%20Filing/4.%20Load%20Data/Jane%202014%20COS/2014%20HDD%20data/Jane%20%20Orangeville%20HDD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lavigne/Desktop/Jane/Jane%20%20Orangeville%20HDD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OHL_and_GV_Billed%20kWh%20by%20Class%20USL%20Customers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brooks/AppData/Local/Microsoft/Windows/Temporary%20Internet%20Files/Content.Outlook/T1FLONY8/Load%20Forecast%20Data%20Template%20(No%20Unbilled)%20Apr%2019%20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Norfolk/2011%20Rates/Evidence/Documents%20and%20Settings/dg/Desktop/Dummy%20Fil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brooks/AppData/Local/Microsoft/Windows/Temporary%20Internet%20Files/Content.Outlook/T1FLONY8/Centre%20Wellington%202013%20Load%20Foecast-%20July%2019,%20201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Midland/2013%20Rate%20Application/2013%20Load%20Forecast/Dummy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London/2013%20Rate%20Applicaiton/Interrogatories/Dummy%20Fi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Norfolk/2011%20Rates/Evidence/LDC%20FTY%20-%20LF/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Weather%20Normalization%20Regression%20Model%20-%202010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Rate App"/>
      <sheetName val="Summary"/>
      <sheetName val="Purchased Power Model"/>
      <sheetName val="Rate Class Energy Model"/>
      <sheetName val="Rate Class Customer Model"/>
      <sheetName val="Rate Class Load Model"/>
      <sheetName val="Table 7 Loss Factor"/>
      <sheetName val="Weather data"/>
      <sheetName val="Tables Used for Exhibits"/>
      <sheetName val="Exhibit 3 Energy by Rate Class"/>
    </sheetNames>
    <sheetDataSet>
      <sheetData sheetId="0"/>
      <sheetData sheetId="1">
        <row r="12">
          <cell r="L12">
            <v>10044.5</v>
          </cell>
        </row>
        <row r="17">
          <cell r="L17">
            <v>1080.5</v>
          </cell>
        </row>
        <row r="21">
          <cell r="L21">
            <v>130</v>
          </cell>
        </row>
        <row r="23">
          <cell r="L23">
            <v>255529.531859904</v>
          </cell>
        </row>
        <row r="27">
          <cell r="L27">
            <v>3</v>
          </cell>
        </row>
        <row r="29">
          <cell r="L29">
            <v>38357.79829165386</v>
          </cell>
        </row>
        <row r="33">
          <cell r="L33">
            <v>2723.9401053067331</v>
          </cell>
        </row>
        <row r="35">
          <cell r="L35">
            <v>5061.4345676645189</v>
          </cell>
        </row>
        <row r="39">
          <cell r="L39">
            <v>170.06936572349571</v>
          </cell>
        </row>
        <row r="41">
          <cell r="L41">
            <v>356.92940245875667</v>
          </cell>
        </row>
        <row r="52">
          <cell r="L52">
            <v>299305.69412168115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enue Input"/>
      <sheetName val="Transformer Allowance"/>
      <sheetName val="Forecast Data For 2010"/>
      <sheetName val="2009 Orangeville Existing Rates"/>
      <sheetName val="2009 Grnd Val Existing Rates"/>
      <sheetName val="2010 Rev @ Existing Rate Orngvl"/>
      <sheetName val="2010 Rev @ Exsitng Rate Grd Val"/>
      <sheetName val="2010 Rev @ Existing Rates Tot"/>
      <sheetName val="Cost Allocation Study"/>
      <sheetName val="2010 Test Yr Class Revenue"/>
      <sheetName val="Rates By Rate Class"/>
      <sheetName val="Retail Trans Service Rates"/>
      <sheetName val="Allocation Low Voltage Costs"/>
      <sheetName val="Low Voltage Rates"/>
      <sheetName val="Distribution Rate Schedule"/>
      <sheetName val="LRAM and SSM Rate Rider"/>
      <sheetName val="2010 Rate Rider"/>
      <sheetName val="OHL2009 Other Electricity Rates"/>
      <sheetName val="GV 2009 Other Electricity Rates"/>
      <sheetName val="OHL-GV2010 Other Elect Rates"/>
      <sheetName val="Orgvil BILL IMPACTS"/>
      <sheetName val="Grnd Val BILL IMPACTS"/>
      <sheetName val="Average Monthly Bill Impact"/>
      <sheetName val="Rate Schedule (Part 1)"/>
      <sheetName val="Rate Schedule (Part 2)"/>
      <sheetName val="Dist. Rev. Reconciliation"/>
      <sheetName val="Revenue Deficiency Analysis"/>
      <sheetName val="Sheet1"/>
    </sheetNames>
    <sheetDataSet>
      <sheetData sheetId="0"/>
      <sheetData sheetId="1"/>
      <sheetData sheetId="2">
        <row r="27">
          <cell r="H27">
            <v>151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6">
          <cell r="O16">
            <v>257950344.83000001</v>
          </cell>
        </row>
        <row r="21">
          <cell r="J21">
            <v>23972977.448800001</v>
          </cell>
          <cell r="K21">
            <v>24496000.116</v>
          </cell>
          <cell r="L21">
            <v>24494789.13002</v>
          </cell>
          <cell r="M21">
            <v>23585721.391399998</v>
          </cell>
          <cell r="N21">
            <v>24585298.502999999</v>
          </cell>
          <cell r="O21">
            <v>24201170.460000001</v>
          </cell>
          <cell r="P21">
            <v>23452689.010000002</v>
          </cell>
          <cell r="Q21">
            <v>23978345.219999999</v>
          </cell>
          <cell r="R21">
            <v>24091905.619999997</v>
          </cell>
          <cell r="S21">
            <v>23389375.929633565</v>
          </cell>
        </row>
        <row r="22">
          <cell r="J22">
            <v>21371530.899599999</v>
          </cell>
          <cell r="K22">
            <v>21811673.700799998</v>
          </cell>
          <cell r="L22">
            <v>21058633.586040001</v>
          </cell>
          <cell r="M22">
            <v>21843853.559599999</v>
          </cell>
          <cell r="N22">
            <v>23174346.925019998</v>
          </cell>
          <cell r="O22">
            <v>22945626.329999998</v>
          </cell>
          <cell r="P22">
            <v>21460551.43</v>
          </cell>
          <cell r="Q22">
            <v>21638418.890000001</v>
          </cell>
          <cell r="R22">
            <v>21743433.459999997</v>
          </cell>
          <cell r="S22">
            <v>21442876.441</v>
          </cell>
        </row>
        <row r="23">
          <cell r="J23">
            <v>21629509.6844</v>
          </cell>
          <cell r="K23">
            <v>22274545.946399998</v>
          </cell>
          <cell r="L23">
            <v>22369154.19368</v>
          </cell>
          <cell r="M23">
            <v>23107893.602400001</v>
          </cell>
          <cell r="N23">
            <v>23451498.216060001</v>
          </cell>
          <cell r="O23">
            <v>23461308.109999999</v>
          </cell>
          <cell r="P23">
            <v>22553827.760000002</v>
          </cell>
          <cell r="Q23">
            <v>22074201.440000001</v>
          </cell>
          <cell r="R23">
            <v>22768704.27</v>
          </cell>
          <cell r="S23">
            <v>21300664.214998998</v>
          </cell>
        </row>
        <row r="24">
          <cell r="J24">
            <v>19792088.6644</v>
          </cell>
          <cell r="K24">
            <v>20027612.9208</v>
          </cell>
          <cell r="L24">
            <v>19733703.295079999</v>
          </cell>
          <cell r="M24">
            <v>19931900.296599999</v>
          </cell>
          <cell r="N24">
            <v>21387887.639460001</v>
          </cell>
          <cell r="O24">
            <v>20587846.359999999</v>
          </cell>
          <cell r="P24">
            <v>20157520.260000002</v>
          </cell>
          <cell r="Q24">
            <v>19547908</v>
          </cell>
          <cell r="R24">
            <v>20241231.84</v>
          </cell>
          <cell r="S24">
            <v>19507856.169999</v>
          </cell>
        </row>
        <row r="25">
          <cell r="J25">
            <v>19102581.3488</v>
          </cell>
          <cell r="K25">
            <v>19587362.8616</v>
          </cell>
          <cell r="L25">
            <v>19532908.368379999</v>
          </cell>
          <cell r="M25">
            <v>20891060.2042</v>
          </cell>
          <cell r="N25">
            <v>21169941.297019999</v>
          </cell>
          <cell r="O25">
            <v>20078340.579999998</v>
          </cell>
          <cell r="P25">
            <v>19491431.559999999</v>
          </cell>
          <cell r="Q25">
            <v>21320246.649999999</v>
          </cell>
          <cell r="R25">
            <v>20232559.98</v>
          </cell>
          <cell r="S25">
            <v>20028803.655000001</v>
          </cell>
        </row>
        <row r="26">
          <cell r="J26">
            <v>19558516.6316</v>
          </cell>
          <cell r="K26">
            <v>19632682.265199997</v>
          </cell>
          <cell r="L26">
            <v>22341825.544860002</v>
          </cell>
          <cell r="M26">
            <v>21425326.924199998</v>
          </cell>
          <cell r="N26">
            <v>22510148.184860002</v>
          </cell>
          <cell r="O26">
            <v>20867742.32</v>
          </cell>
          <cell r="P26">
            <v>19951284.190000001</v>
          </cell>
          <cell r="Q26">
            <v>21332995.890000001</v>
          </cell>
          <cell r="R26">
            <v>20550129.210000001</v>
          </cell>
          <cell r="S26">
            <v>21359201.884999998</v>
          </cell>
        </row>
        <row r="27">
          <cell r="J27">
            <v>20859450.3684</v>
          </cell>
          <cell r="K27">
            <v>20566145.868800003</v>
          </cell>
          <cell r="L27">
            <v>22538749.334600002</v>
          </cell>
          <cell r="M27">
            <v>23554559.241999999</v>
          </cell>
          <cell r="N27">
            <v>22160756.218959998</v>
          </cell>
          <cell r="O27">
            <v>22238069.41</v>
          </cell>
          <cell r="P27">
            <v>20295543.91</v>
          </cell>
          <cell r="Q27">
            <v>23156331.940000001</v>
          </cell>
          <cell r="R27">
            <v>23422176.57</v>
          </cell>
          <cell r="S27">
            <v>23549401.164999999</v>
          </cell>
        </row>
        <row r="28">
          <cell r="J28">
            <v>20251321.125999998</v>
          </cell>
          <cell r="K28">
            <v>20353558.482000001</v>
          </cell>
          <cell r="L28">
            <v>22427308.322919998</v>
          </cell>
          <cell r="M28">
            <v>22408423.2522</v>
          </cell>
          <cell r="N28">
            <v>22644189.535700001</v>
          </cell>
          <cell r="O28">
            <v>21092120.360000003</v>
          </cell>
          <cell r="P28">
            <v>21708834.199999999</v>
          </cell>
          <cell r="Q28">
            <v>22636365.73</v>
          </cell>
          <cell r="R28">
            <v>21812361.099999998</v>
          </cell>
          <cell r="S28">
            <v>21899730.215</v>
          </cell>
        </row>
        <row r="29">
          <cell r="J29">
            <v>19193281.809599999</v>
          </cell>
          <cell r="K29">
            <v>19904491.605599999</v>
          </cell>
          <cell r="L29">
            <v>20345712.434980001</v>
          </cell>
          <cell r="M29">
            <v>20044532.428599998</v>
          </cell>
          <cell r="N29">
            <v>20748466.241979998</v>
          </cell>
          <cell r="O29">
            <v>20273869.189999998</v>
          </cell>
          <cell r="P29">
            <v>20009400.41</v>
          </cell>
          <cell r="Q29">
            <v>20118961.049999997</v>
          </cell>
          <cell r="R29">
            <v>19840576.800000001</v>
          </cell>
          <cell r="S29">
            <v>19768956.310000002</v>
          </cell>
        </row>
        <row r="30">
          <cell r="J30">
            <v>20596265.941999998</v>
          </cell>
          <cell r="K30">
            <v>20193008.786800001</v>
          </cell>
          <cell r="L30">
            <v>20926771.886939999</v>
          </cell>
          <cell r="M30">
            <v>21370547.82124</v>
          </cell>
          <cell r="N30">
            <v>21275717.426599998</v>
          </cell>
          <cell r="O30">
            <v>20894586.170000002</v>
          </cell>
          <cell r="P30">
            <v>21154042.530000001</v>
          </cell>
          <cell r="Q30">
            <v>20505184.099999998</v>
          </cell>
          <cell r="R30">
            <v>20341338.43</v>
          </cell>
          <cell r="S30">
            <v>20305536.32</v>
          </cell>
        </row>
        <row r="31">
          <cell r="J31">
            <v>21105598.810799997</v>
          </cell>
          <cell r="K31">
            <v>20633185.581999999</v>
          </cell>
          <cell r="L31">
            <v>21836094.45586</v>
          </cell>
          <cell r="M31">
            <v>21803236.228259999</v>
          </cell>
          <cell r="N31">
            <v>22157185.579820003</v>
          </cell>
          <cell r="O31">
            <v>21604762.829999998</v>
          </cell>
          <cell r="P31">
            <v>21112161.629999999</v>
          </cell>
          <cell r="Q31">
            <v>21319051.109999999</v>
          </cell>
          <cell r="R31">
            <v>20837319.140000001</v>
          </cell>
          <cell r="S31">
            <v>21024207.009999998</v>
          </cell>
        </row>
        <row r="32">
          <cell r="J32">
            <v>22490417.6076</v>
          </cell>
          <cell r="K32">
            <v>23437588.321600001</v>
          </cell>
          <cell r="L32">
            <v>23914454.146359999</v>
          </cell>
          <cell r="M32">
            <v>23123833.453760002</v>
          </cell>
          <cell r="N32">
            <v>23352495.094760001</v>
          </cell>
          <cell r="O32">
            <v>23398013.309999999</v>
          </cell>
          <cell r="P32">
            <v>23141665.649999999</v>
          </cell>
          <cell r="Q32">
            <v>23548251.280000001</v>
          </cell>
          <cell r="R32">
            <v>21901303.100000001</v>
          </cell>
          <cell r="S32">
            <v>21702729.105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2014"/>
      <sheetName val="Annual conv to Monthly 2014"/>
      <sheetName val="Employment"/>
      <sheetName val="Annual"/>
      <sheetName val="Annual conv to Monthly"/>
    </sheetNames>
    <sheetDataSet>
      <sheetData sheetId="0" refreshError="1"/>
      <sheetData sheetId="1" refreshError="1"/>
      <sheetData sheetId="2">
        <row r="6">
          <cell r="B6">
            <v>4921.7</v>
          </cell>
        </row>
        <row r="7">
          <cell r="B7">
            <v>4905.5</v>
          </cell>
        </row>
        <row r="8">
          <cell r="B8">
            <v>4905.3</v>
          </cell>
        </row>
        <row r="9">
          <cell r="B9">
            <v>4933.7</v>
          </cell>
        </row>
        <row r="10">
          <cell r="B10">
            <v>4990.8</v>
          </cell>
        </row>
        <row r="11">
          <cell r="B11">
            <v>5066.7</v>
          </cell>
        </row>
        <row r="12">
          <cell r="B12">
            <v>5158.5</v>
          </cell>
        </row>
        <row r="13">
          <cell r="B13">
            <v>5228.3999999999996</v>
          </cell>
        </row>
        <row r="14">
          <cell r="B14">
            <v>5198.5</v>
          </cell>
        </row>
        <row r="15">
          <cell r="B15">
            <v>5150.3999999999996</v>
          </cell>
        </row>
        <row r="16">
          <cell r="B16">
            <v>5079.3</v>
          </cell>
        </row>
        <row r="17">
          <cell r="B17">
            <v>5077.2</v>
          </cell>
        </row>
        <row r="18">
          <cell r="B18">
            <v>5047.8999999999996</v>
          </cell>
        </row>
        <row r="19">
          <cell r="B19">
            <v>5032.3</v>
          </cell>
        </row>
        <row r="20">
          <cell r="B20">
            <v>5015.7</v>
          </cell>
        </row>
        <row r="21">
          <cell r="B21">
            <v>5043.8999999999996</v>
          </cell>
        </row>
        <row r="22">
          <cell r="B22">
            <v>5103.7</v>
          </cell>
        </row>
        <row r="23">
          <cell r="B23">
            <v>5208.5</v>
          </cell>
        </row>
        <row r="24">
          <cell r="B24">
            <v>5296.2</v>
          </cell>
        </row>
        <row r="25">
          <cell r="B25">
            <v>5353.6</v>
          </cell>
        </row>
        <row r="26">
          <cell r="B26">
            <v>5304.4</v>
          </cell>
        </row>
        <row r="27">
          <cell r="B27">
            <v>5229.2</v>
          </cell>
        </row>
        <row r="28">
          <cell r="B28">
            <v>5143.7</v>
          </cell>
        </row>
        <row r="29">
          <cell r="B29">
            <v>5114.1000000000004</v>
          </cell>
        </row>
        <row r="30">
          <cell r="B30">
            <v>5057.8</v>
          </cell>
        </row>
        <row r="31">
          <cell r="B31">
            <v>5025.8999999999996</v>
          </cell>
        </row>
        <row r="32">
          <cell r="B32">
            <v>4993.7</v>
          </cell>
        </row>
        <row r="33">
          <cell r="B33">
            <v>5043</v>
          </cell>
        </row>
        <row r="34">
          <cell r="B34">
            <v>5122.1000000000004</v>
          </cell>
        </row>
        <row r="35">
          <cell r="B35">
            <v>5236.3</v>
          </cell>
        </row>
        <row r="36">
          <cell r="B36">
            <v>5342</v>
          </cell>
        </row>
        <row r="37">
          <cell r="B37">
            <v>5416.4</v>
          </cell>
        </row>
        <row r="38">
          <cell r="B38">
            <v>5396</v>
          </cell>
        </row>
        <row r="39">
          <cell r="B39">
            <v>5335.3</v>
          </cell>
        </row>
        <row r="40">
          <cell r="B40">
            <v>5247.1</v>
          </cell>
        </row>
        <row r="41">
          <cell r="B41">
            <v>5224.1000000000004</v>
          </cell>
        </row>
        <row r="42">
          <cell r="B42">
            <v>5175.3</v>
          </cell>
        </row>
        <row r="43">
          <cell r="B43">
            <v>5136.2</v>
          </cell>
        </row>
        <row r="44">
          <cell r="B44">
            <v>5107.1000000000004</v>
          </cell>
        </row>
        <row r="45">
          <cell r="B45">
            <v>5137.7</v>
          </cell>
        </row>
        <row r="46">
          <cell r="B46">
            <v>5243.8</v>
          </cell>
        </row>
        <row r="47">
          <cell r="B47">
            <v>5352.8</v>
          </cell>
        </row>
        <row r="48">
          <cell r="B48">
            <v>5464.8</v>
          </cell>
        </row>
        <row r="49">
          <cell r="B49">
            <v>5505.8</v>
          </cell>
        </row>
        <row r="50">
          <cell r="B50">
            <v>5456.2</v>
          </cell>
        </row>
        <row r="51">
          <cell r="B51">
            <v>5374.9</v>
          </cell>
        </row>
        <row r="52">
          <cell r="B52">
            <v>5278.7</v>
          </cell>
        </row>
        <row r="53">
          <cell r="B53">
            <v>5263.7</v>
          </cell>
        </row>
        <row r="54">
          <cell r="B54">
            <v>5216.5</v>
          </cell>
        </row>
        <row r="55">
          <cell r="B55">
            <v>5184.8999999999996</v>
          </cell>
        </row>
        <row r="56">
          <cell r="B56">
            <v>5167.7</v>
          </cell>
        </row>
        <row r="57">
          <cell r="B57">
            <v>5197.5</v>
          </cell>
        </row>
        <row r="58">
          <cell r="B58">
            <v>5280.6</v>
          </cell>
        </row>
        <row r="59">
          <cell r="B59">
            <v>5391.3</v>
          </cell>
        </row>
        <row r="60">
          <cell r="B60">
            <v>5513.8</v>
          </cell>
        </row>
        <row r="61">
          <cell r="B61">
            <v>5582.2</v>
          </cell>
        </row>
        <row r="62">
          <cell r="B62">
            <v>5544.2</v>
          </cell>
        </row>
        <row r="63">
          <cell r="B63">
            <v>5479.1</v>
          </cell>
        </row>
        <row r="64">
          <cell r="B64">
            <v>5395.6</v>
          </cell>
        </row>
        <row r="65">
          <cell r="B65">
            <v>5374.1</v>
          </cell>
        </row>
        <row r="66">
          <cell r="B66">
            <v>5323.9</v>
          </cell>
        </row>
        <row r="67">
          <cell r="B67">
            <v>5303.7</v>
          </cell>
        </row>
        <row r="68">
          <cell r="B68">
            <v>5278.9</v>
          </cell>
        </row>
        <row r="69">
          <cell r="B69">
            <v>5310.6</v>
          </cell>
        </row>
        <row r="70">
          <cell r="B70">
            <v>5370.3</v>
          </cell>
        </row>
        <row r="71">
          <cell r="B71">
            <v>5458.4</v>
          </cell>
        </row>
        <row r="72">
          <cell r="B72">
            <v>5533.6</v>
          </cell>
        </row>
        <row r="73">
          <cell r="B73">
            <v>5592.4</v>
          </cell>
        </row>
        <row r="74">
          <cell r="B74">
            <v>5556.1</v>
          </cell>
        </row>
        <row r="75">
          <cell r="B75">
            <v>5512.3</v>
          </cell>
        </row>
        <row r="76">
          <cell r="B76">
            <v>5407.2</v>
          </cell>
        </row>
        <row r="77">
          <cell r="B77">
            <v>5368</v>
          </cell>
        </row>
        <row r="78">
          <cell r="B78">
            <v>5275.1</v>
          </cell>
        </row>
        <row r="79">
          <cell r="B79">
            <v>5201</v>
          </cell>
        </row>
        <row r="80">
          <cell r="B80">
            <v>5125</v>
          </cell>
        </row>
        <row r="81">
          <cell r="B81">
            <v>5119.3999999999996</v>
          </cell>
        </row>
        <row r="82">
          <cell r="B82">
            <v>5157.3</v>
          </cell>
        </row>
        <row r="83">
          <cell r="B83">
            <v>5215.6000000000004</v>
          </cell>
        </row>
        <row r="84">
          <cell r="B84">
            <v>5294</v>
          </cell>
        </row>
        <row r="85">
          <cell r="B85">
            <v>5345.8</v>
          </cell>
        </row>
        <row r="86">
          <cell r="B86">
            <v>5347.8</v>
          </cell>
        </row>
        <row r="87">
          <cell r="B87">
            <v>5314.9</v>
          </cell>
        </row>
        <row r="88">
          <cell r="B88">
            <v>5267.8</v>
          </cell>
        </row>
        <row r="89">
          <cell r="B89">
            <v>5254.5</v>
          </cell>
        </row>
        <row r="90">
          <cell r="B90">
            <v>5212.8</v>
          </cell>
        </row>
        <row r="91">
          <cell r="B91">
            <v>5186</v>
          </cell>
        </row>
        <row r="92">
          <cell r="B92">
            <v>5159.6000000000004</v>
          </cell>
        </row>
        <row r="93">
          <cell r="B93">
            <v>5180.2</v>
          </cell>
        </row>
        <row r="94">
          <cell r="B94">
            <v>5249.5</v>
          </cell>
        </row>
        <row r="95">
          <cell r="B95">
            <v>5359.8</v>
          </cell>
        </row>
        <row r="96">
          <cell r="B96">
            <v>5456</v>
          </cell>
        </row>
        <row r="97">
          <cell r="B97">
            <v>5503.9</v>
          </cell>
        </row>
        <row r="98">
          <cell r="B98">
            <v>5453.3</v>
          </cell>
        </row>
        <row r="99">
          <cell r="B99">
            <v>5408.6</v>
          </cell>
        </row>
        <row r="100">
          <cell r="B100">
            <v>5349.4</v>
          </cell>
        </row>
        <row r="101">
          <cell r="B101">
            <v>5352.4</v>
          </cell>
        </row>
        <row r="102">
          <cell r="B102">
            <v>5316.6</v>
          </cell>
        </row>
        <row r="103">
          <cell r="B103">
            <v>5289.1</v>
          </cell>
        </row>
        <row r="104">
          <cell r="B104">
            <v>5280.1</v>
          </cell>
        </row>
        <row r="105">
          <cell r="B105">
            <v>5317.8</v>
          </cell>
        </row>
        <row r="106">
          <cell r="B106">
            <v>5405.5</v>
          </cell>
        </row>
        <row r="107">
          <cell r="B107">
            <v>5496</v>
          </cell>
        </row>
        <row r="108">
          <cell r="B108">
            <v>5593.1</v>
          </cell>
        </row>
        <row r="109">
          <cell r="B109">
            <v>5646.1</v>
          </cell>
        </row>
        <row r="110">
          <cell r="B110">
            <v>5620.8</v>
          </cell>
        </row>
        <row r="111">
          <cell r="B111">
            <v>5541.4</v>
          </cell>
        </row>
        <row r="112">
          <cell r="B112">
            <v>5456.6</v>
          </cell>
        </row>
        <row r="113">
          <cell r="B113">
            <v>5422</v>
          </cell>
        </row>
        <row r="114">
          <cell r="B114">
            <v>5377.2</v>
          </cell>
        </row>
        <row r="115">
          <cell r="B115">
            <v>5332.1</v>
          </cell>
        </row>
        <row r="116">
          <cell r="B116">
            <v>5313.9</v>
          </cell>
        </row>
        <row r="117">
          <cell r="B117">
            <v>5361.4</v>
          </cell>
        </row>
        <row r="118">
          <cell r="B118">
            <v>5441</v>
          </cell>
        </row>
        <row r="119">
          <cell r="B119">
            <v>5536.5</v>
          </cell>
        </row>
        <row r="120">
          <cell r="B120">
            <v>5616.3</v>
          </cell>
        </row>
        <row r="121">
          <cell r="B121">
            <v>5667.7</v>
          </cell>
        </row>
        <row r="122">
          <cell r="B122">
            <v>5629.7</v>
          </cell>
        </row>
        <row r="123">
          <cell r="B123">
            <v>5584.2</v>
          </cell>
        </row>
        <row r="124">
          <cell r="B124">
            <v>5527</v>
          </cell>
        </row>
        <row r="125">
          <cell r="B125">
            <v>5517.3</v>
          </cell>
        </row>
        <row r="139">
          <cell r="B139">
            <v>5441.7263999999996</v>
          </cell>
        </row>
        <row r="140">
          <cell r="B140">
            <v>5396.0852000000004</v>
          </cell>
        </row>
        <row r="141">
          <cell r="B141">
            <v>5377.6668</v>
          </cell>
        </row>
        <row r="142">
          <cell r="B142">
            <v>5425.7367999999997</v>
          </cell>
        </row>
        <row r="143">
          <cell r="B143">
            <v>5506.2920000000004</v>
          </cell>
        </row>
        <row r="144">
          <cell r="B144">
            <v>5602.9380000000001</v>
          </cell>
        </row>
        <row r="145">
          <cell r="B145">
            <v>5683.6956</v>
          </cell>
        </row>
        <row r="146">
          <cell r="B146">
            <v>5735.7123999999994</v>
          </cell>
        </row>
        <row r="147">
          <cell r="B147">
            <v>5697.2564000000002</v>
          </cell>
        </row>
        <row r="148">
          <cell r="B148">
            <v>5651.2103999999999</v>
          </cell>
        </row>
        <row r="149">
          <cell r="B149">
            <v>5593.3239999999996</v>
          </cell>
        </row>
        <row r="150">
          <cell r="B150">
            <v>5583.5075999999999</v>
          </cell>
        </row>
        <row r="151">
          <cell r="B151">
            <v>5517.9105695999997</v>
          </cell>
        </row>
        <row r="152">
          <cell r="B152">
            <v>5471.6303928000007</v>
          </cell>
        </row>
        <row r="153">
          <cell r="B153">
            <v>5452.9541351999997</v>
          </cell>
        </row>
        <row r="154">
          <cell r="B154">
            <v>5501.6971151999996</v>
          </cell>
        </row>
        <row r="155">
          <cell r="B155">
            <v>5583.3800880000008</v>
          </cell>
        </row>
        <row r="156">
          <cell r="B156">
            <v>5681.379132</v>
          </cell>
        </row>
        <row r="157">
          <cell r="B157">
            <v>5763.2673384</v>
          </cell>
        </row>
        <row r="158">
          <cell r="B158">
            <v>5816.0123735999996</v>
          </cell>
        </row>
        <row r="159">
          <cell r="B159">
            <v>5777.0179896</v>
          </cell>
        </row>
        <row r="160">
          <cell r="B160">
            <v>5730.3273455999997</v>
          </cell>
        </row>
        <row r="161">
          <cell r="B161">
            <v>5671.6305359999997</v>
          </cell>
        </row>
        <row r="162">
          <cell r="B162">
            <v>5661.6767063999996</v>
          </cell>
        </row>
      </sheetData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Rate App"/>
      <sheetName val="Summary"/>
      <sheetName val="Purchased Power Model"/>
      <sheetName val="Rate Class Energy Model"/>
      <sheetName val="Rate Class Customer Model"/>
      <sheetName val="Rate Class Load Model"/>
      <sheetName val="Table 7 Loss Factor"/>
      <sheetName val="Weather data"/>
      <sheetName val="Tables Used for Exhibits"/>
      <sheetName val="Exhibit 3 Energy by Rate Class"/>
      <sheetName val="Sheet1"/>
    </sheetNames>
    <sheetDataSet>
      <sheetData sheetId="0"/>
      <sheetData sheetId="1"/>
      <sheetData sheetId="2">
        <row r="3">
          <cell r="A3">
            <v>35796</v>
          </cell>
          <cell r="C3">
            <v>696.8</v>
          </cell>
          <cell r="D3">
            <v>0</v>
          </cell>
        </row>
        <row r="4">
          <cell r="A4">
            <v>35827</v>
          </cell>
          <cell r="C4">
            <v>569.70000000000005</v>
          </cell>
          <cell r="D4">
            <v>0</v>
          </cell>
        </row>
        <row r="5">
          <cell r="C5">
            <v>572.1</v>
          </cell>
          <cell r="D5">
            <v>0</v>
          </cell>
        </row>
        <row r="6">
          <cell r="A6">
            <v>35886</v>
          </cell>
          <cell r="C6">
            <v>342.8</v>
          </cell>
          <cell r="D6">
            <v>0</v>
          </cell>
        </row>
        <row r="7">
          <cell r="A7">
            <v>35916</v>
          </cell>
          <cell r="C7">
            <v>90.5</v>
          </cell>
          <cell r="D7">
            <v>18.100000000000001</v>
          </cell>
        </row>
        <row r="8">
          <cell r="A8">
            <v>35947</v>
          </cell>
          <cell r="C8">
            <v>80</v>
          </cell>
          <cell r="D8">
            <v>48.9</v>
          </cell>
        </row>
        <row r="9">
          <cell r="A9">
            <v>35977</v>
          </cell>
          <cell r="C9">
            <v>23.4</v>
          </cell>
          <cell r="D9">
            <v>53.9</v>
          </cell>
        </row>
        <row r="10">
          <cell r="A10">
            <v>36008</v>
          </cell>
          <cell r="C10">
            <v>17.7</v>
          </cell>
          <cell r="D10">
            <v>53.2</v>
          </cell>
        </row>
        <row r="11">
          <cell r="A11">
            <v>36039</v>
          </cell>
          <cell r="C11">
            <v>91.1</v>
          </cell>
          <cell r="D11">
            <v>11.4</v>
          </cell>
        </row>
        <row r="12">
          <cell r="A12">
            <v>36069</v>
          </cell>
          <cell r="C12">
            <v>294.3</v>
          </cell>
          <cell r="D12">
            <v>0</v>
          </cell>
        </row>
        <row r="13">
          <cell r="A13">
            <v>36100</v>
          </cell>
          <cell r="C13">
            <v>431.1</v>
          </cell>
          <cell r="D13">
            <v>0</v>
          </cell>
        </row>
        <row r="14">
          <cell r="A14">
            <v>36130</v>
          </cell>
          <cell r="C14">
            <v>664.37999999999988</v>
          </cell>
          <cell r="D14">
            <v>0</v>
          </cell>
        </row>
        <row r="15">
          <cell r="A15">
            <v>36161</v>
          </cell>
          <cell r="C15">
            <v>776.7</v>
          </cell>
          <cell r="D15">
            <v>0</v>
          </cell>
        </row>
        <row r="16">
          <cell r="A16">
            <v>36192</v>
          </cell>
          <cell r="C16">
            <v>696.76666666666665</v>
          </cell>
          <cell r="D16">
            <v>0</v>
          </cell>
        </row>
        <row r="17">
          <cell r="A17">
            <v>36220</v>
          </cell>
          <cell r="C17">
            <v>610.45555555555563</v>
          </cell>
          <cell r="D17">
            <v>0</v>
          </cell>
        </row>
        <row r="18">
          <cell r="A18">
            <v>36251</v>
          </cell>
          <cell r="C18">
            <v>377.9111111111111</v>
          </cell>
          <cell r="D18">
            <v>0.92222222222222228</v>
          </cell>
        </row>
        <row r="19">
          <cell r="A19">
            <v>36281</v>
          </cell>
          <cell r="C19">
            <v>213.14444444444447</v>
          </cell>
          <cell r="D19">
            <v>6.9</v>
          </cell>
        </row>
        <row r="20">
          <cell r="A20">
            <v>36312</v>
          </cell>
          <cell r="C20">
            <v>56.433333333333337</v>
          </cell>
          <cell r="D20">
            <v>40.955555555555556</v>
          </cell>
        </row>
        <row r="21">
          <cell r="A21">
            <v>36342</v>
          </cell>
          <cell r="C21">
            <v>3.9</v>
          </cell>
          <cell r="D21">
            <v>83.2</v>
          </cell>
        </row>
        <row r="22">
          <cell r="A22">
            <v>36373</v>
          </cell>
          <cell r="C22">
            <v>43.6</v>
          </cell>
          <cell r="D22">
            <v>29</v>
          </cell>
        </row>
        <row r="23">
          <cell r="A23">
            <v>36404</v>
          </cell>
          <cell r="C23">
            <v>102.6</v>
          </cell>
          <cell r="D23">
            <v>24.8</v>
          </cell>
        </row>
        <row r="24">
          <cell r="A24">
            <v>36434</v>
          </cell>
          <cell r="C24">
            <v>314.5</v>
          </cell>
          <cell r="D24">
            <v>0</v>
          </cell>
        </row>
        <row r="25">
          <cell r="A25">
            <v>36465</v>
          </cell>
          <cell r="C25">
            <v>420.1</v>
          </cell>
          <cell r="D25">
            <v>0</v>
          </cell>
        </row>
        <row r="26">
          <cell r="A26">
            <v>36495</v>
          </cell>
          <cell r="C26">
            <v>643.70000000000005</v>
          </cell>
          <cell r="D26">
            <v>0</v>
          </cell>
        </row>
        <row r="27">
          <cell r="A27">
            <v>36526</v>
          </cell>
          <cell r="C27">
            <v>777.4</v>
          </cell>
          <cell r="D27">
            <v>0</v>
          </cell>
        </row>
        <row r="28">
          <cell r="A28">
            <v>36557</v>
          </cell>
          <cell r="C28">
            <v>642.20000000000005</v>
          </cell>
          <cell r="D28">
            <v>0</v>
          </cell>
        </row>
        <row r="29">
          <cell r="A29">
            <v>36586</v>
          </cell>
          <cell r="C29">
            <v>490.6</v>
          </cell>
          <cell r="D29">
            <v>0</v>
          </cell>
        </row>
        <row r="30">
          <cell r="A30">
            <v>36617</v>
          </cell>
          <cell r="C30">
            <v>398.1</v>
          </cell>
          <cell r="D30">
            <v>0</v>
          </cell>
        </row>
        <row r="31">
          <cell r="A31">
            <v>36647</v>
          </cell>
          <cell r="C31">
            <v>178.8</v>
          </cell>
          <cell r="D31">
            <v>18</v>
          </cell>
        </row>
        <row r="32">
          <cell r="A32">
            <v>36678</v>
          </cell>
          <cell r="C32">
            <v>59.7</v>
          </cell>
          <cell r="D32">
            <v>30.9</v>
          </cell>
        </row>
        <row r="33">
          <cell r="A33">
            <v>36708</v>
          </cell>
          <cell r="C33">
            <v>38.799999999999997</v>
          </cell>
          <cell r="D33">
            <v>26.3</v>
          </cell>
        </row>
        <row r="34">
          <cell r="A34">
            <v>36739</v>
          </cell>
          <cell r="C34">
            <v>43.3</v>
          </cell>
          <cell r="D34">
            <v>36.299999999999997</v>
          </cell>
        </row>
        <row r="35">
          <cell r="A35">
            <v>36770</v>
          </cell>
          <cell r="C35">
            <v>130</v>
          </cell>
          <cell r="D35">
            <v>21.6</v>
          </cell>
        </row>
        <row r="36">
          <cell r="A36">
            <v>36800</v>
          </cell>
          <cell r="C36">
            <v>253.3</v>
          </cell>
          <cell r="D36">
            <v>0</v>
          </cell>
        </row>
        <row r="37">
          <cell r="A37">
            <v>36831</v>
          </cell>
          <cell r="C37">
            <v>496.5</v>
          </cell>
          <cell r="D37">
            <v>0</v>
          </cell>
        </row>
        <row r="38">
          <cell r="A38">
            <v>36861</v>
          </cell>
          <cell r="C38">
            <v>833.7</v>
          </cell>
          <cell r="D38">
            <v>0</v>
          </cell>
        </row>
        <row r="39">
          <cell r="A39">
            <v>36892</v>
          </cell>
          <cell r="C39">
            <v>738.8</v>
          </cell>
          <cell r="D39">
            <v>0</v>
          </cell>
        </row>
        <row r="40">
          <cell r="A40">
            <v>36925</v>
          </cell>
          <cell r="C40">
            <v>667.7</v>
          </cell>
          <cell r="D40">
            <v>0</v>
          </cell>
        </row>
        <row r="41">
          <cell r="A41">
            <v>36958</v>
          </cell>
          <cell r="C41">
            <v>645.20000000000005</v>
          </cell>
          <cell r="D41">
            <v>0</v>
          </cell>
        </row>
        <row r="42">
          <cell r="A42">
            <v>36991</v>
          </cell>
          <cell r="C42">
            <v>348.3</v>
          </cell>
          <cell r="D42">
            <v>0</v>
          </cell>
        </row>
        <row r="43">
          <cell r="A43">
            <v>37024</v>
          </cell>
          <cell r="C43">
            <v>161.5</v>
          </cell>
          <cell r="D43">
            <v>6.8</v>
          </cell>
        </row>
        <row r="44">
          <cell r="A44">
            <v>37057</v>
          </cell>
          <cell r="C44">
            <v>65.599999999999994</v>
          </cell>
          <cell r="D44">
            <v>39.5</v>
          </cell>
        </row>
        <row r="45">
          <cell r="A45">
            <v>37090</v>
          </cell>
          <cell r="C45">
            <v>34</v>
          </cell>
          <cell r="D45">
            <v>37.200000000000003</v>
          </cell>
        </row>
        <row r="46">
          <cell r="A46">
            <v>37123</v>
          </cell>
          <cell r="C46">
            <v>10.199999999999999</v>
          </cell>
          <cell r="D46">
            <v>82.7</v>
          </cell>
        </row>
        <row r="47">
          <cell r="A47">
            <v>37156</v>
          </cell>
          <cell r="C47">
            <v>126.7</v>
          </cell>
          <cell r="D47">
            <v>16.3</v>
          </cell>
        </row>
        <row r="48">
          <cell r="A48">
            <v>37189</v>
          </cell>
          <cell r="C48">
            <v>295.2</v>
          </cell>
          <cell r="D48">
            <v>0</v>
          </cell>
        </row>
        <row r="49">
          <cell r="A49">
            <v>37222</v>
          </cell>
          <cell r="C49">
            <v>371.1</v>
          </cell>
          <cell r="D49">
            <v>0</v>
          </cell>
        </row>
        <row r="50">
          <cell r="A50">
            <v>37255</v>
          </cell>
          <cell r="C50">
            <v>574.29999999999995</v>
          </cell>
          <cell r="D50">
            <v>0</v>
          </cell>
        </row>
        <row r="51">
          <cell r="A51">
            <v>37275</v>
          </cell>
          <cell r="C51">
            <v>644.29999999999995</v>
          </cell>
          <cell r="D51">
            <v>0</v>
          </cell>
        </row>
        <row r="52">
          <cell r="A52">
            <v>37308</v>
          </cell>
          <cell r="C52">
            <v>606.70000000000005</v>
          </cell>
          <cell r="D52">
            <v>0</v>
          </cell>
        </row>
        <row r="53">
          <cell r="A53">
            <v>37341</v>
          </cell>
          <cell r="C53">
            <v>604.79999999999995</v>
          </cell>
          <cell r="D53">
            <v>0</v>
          </cell>
        </row>
        <row r="54">
          <cell r="A54">
            <v>37374</v>
          </cell>
          <cell r="C54">
            <v>367.9</v>
          </cell>
          <cell r="D54">
            <v>7.3</v>
          </cell>
        </row>
        <row r="55">
          <cell r="A55">
            <v>37407</v>
          </cell>
          <cell r="C55">
            <v>281.7</v>
          </cell>
          <cell r="D55">
            <v>4.5</v>
          </cell>
        </row>
        <row r="56">
          <cell r="A56">
            <v>37408</v>
          </cell>
          <cell r="C56">
            <v>64.400000000000006</v>
          </cell>
          <cell r="D56">
            <v>42.9</v>
          </cell>
        </row>
        <row r="57">
          <cell r="A57">
            <v>37440</v>
          </cell>
          <cell r="C57">
            <v>11.6</v>
          </cell>
          <cell r="D57">
            <v>116.6</v>
          </cell>
        </row>
        <row r="58">
          <cell r="A58">
            <v>37473</v>
          </cell>
          <cell r="C58">
            <v>20.3</v>
          </cell>
          <cell r="D58">
            <v>66.8</v>
          </cell>
        </row>
        <row r="59">
          <cell r="A59">
            <v>37506</v>
          </cell>
          <cell r="C59">
            <v>53.5</v>
          </cell>
          <cell r="D59">
            <v>36.9</v>
          </cell>
        </row>
        <row r="60">
          <cell r="A60">
            <v>37539</v>
          </cell>
          <cell r="C60">
            <v>357.8</v>
          </cell>
          <cell r="D60">
            <v>6.3</v>
          </cell>
        </row>
        <row r="61">
          <cell r="A61">
            <v>37572</v>
          </cell>
          <cell r="C61">
            <v>517.4</v>
          </cell>
          <cell r="D61">
            <v>0</v>
          </cell>
        </row>
        <row r="62">
          <cell r="A62">
            <v>37605</v>
          </cell>
          <cell r="C62">
            <v>678.1</v>
          </cell>
          <cell r="D62">
            <v>0</v>
          </cell>
        </row>
        <row r="63">
          <cell r="A63">
            <v>37622</v>
          </cell>
          <cell r="C63">
            <v>871.4</v>
          </cell>
          <cell r="D63">
            <v>0</v>
          </cell>
          <cell r="H63">
            <v>27107.083333333332</v>
          </cell>
          <cell r="I63">
            <v>351.91199999999998</v>
          </cell>
        </row>
        <row r="64">
          <cell r="A64">
            <v>37653</v>
          </cell>
          <cell r="C64">
            <v>779.6</v>
          </cell>
          <cell r="D64">
            <v>0</v>
          </cell>
          <cell r="H64">
            <v>27137.166666666664</v>
          </cell>
          <cell r="I64">
            <v>319.87200000000001</v>
          </cell>
        </row>
        <row r="65">
          <cell r="A65">
            <v>37681</v>
          </cell>
          <cell r="C65">
            <v>629.29999999999995</v>
          </cell>
          <cell r="D65">
            <v>0</v>
          </cell>
          <cell r="H65">
            <v>27167.249999999996</v>
          </cell>
          <cell r="I65">
            <v>336.28800000000001</v>
          </cell>
        </row>
        <row r="66">
          <cell r="A66">
            <v>37712</v>
          </cell>
          <cell r="C66">
            <v>425.3</v>
          </cell>
          <cell r="D66">
            <v>1</v>
          </cell>
          <cell r="H66">
            <v>27197.333333333328</v>
          </cell>
          <cell r="I66">
            <v>336.24</v>
          </cell>
        </row>
        <row r="67">
          <cell r="A67">
            <v>37742</v>
          </cell>
          <cell r="C67">
            <v>225.1</v>
          </cell>
          <cell r="D67">
            <v>0</v>
          </cell>
          <cell r="H67">
            <v>27227.416666666661</v>
          </cell>
          <cell r="I67">
            <v>336.28800000000001</v>
          </cell>
        </row>
        <row r="68">
          <cell r="A68">
            <v>37773</v>
          </cell>
          <cell r="C68">
            <v>65.400000000000006</v>
          </cell>
          <cell r="D68">
            <v>28</v>
          </cell>
          <cell r="H68">
            <v>27257.499999999993</v>
          </cell>
          <cell r="I68">
            <v>336.24</v>
          </cell>
        </row>
        <row r="69">
          <cell r="A69">
            <v>37803</v>
          </cell>
          <cell r="C69">
            <v>14.2</v>
          </cell>
          <cell r="D69">
            <v>51</v>
          </cell>
          <cell r="H69">
            <v>27287.583333333325</v>
          </cell>
          <cell r="I69">
            <v>351.91199999999998</v>
          </cell>
        </row>
        <row r="70">
          <cell r="A70">
            <v>37834</v>
          </cell>
          <cell r="C70">
            <v>14.9</v>
          </cell>
          <cell r="D70">
            <v>65.7</v>
          </cell>
          <cell r="H70">
            <v>27317.666666666657</v>
          </cell>
          <cell r="I70">
            <v>319.92</v>
          </cell>
        </row>
        <row r="71">
          <cell r="A71">
            <v>37865</v>
          </cell>
          <cell r="C71">
            <v>107.9</v>
          </cell>
          <cell r="D71">
            <v>5.0999999999999996</v>
          </cell>
          <cell r="H71">
            <v>27347.749999999989</v>
          </cell>
          <cell r="I71">
            <v>336.24</v>
          </cell>
        </row>
        <row r="72">
          <cell r="A72">
            <v>37895</v>
          </cell>
          <cell r="C72">
            <v>341.1</v>
          </cell>
          <cell r="D72">
            <v>0</v>
          </cell>
          <cell r="H72">
            <v>27377.833333333321</v>
          </cell>
          <cell r="I72">
            <v>351.91199999999998</v>
          </cell>
        </row>
        <row r="73">
          <cell r="A73">
            <v>37926</v>
          </cell>
          <cell r="C73">
            <v>444.3</v>
          </cell>
          <cell r="D73">
            <v>0</v>
          </cell>
          <cell r="H73">
            <v>27407.916666666653</v>
          </cell>
          <cell r="I73">
            <v>319.68</v>
          </cell>
        </row>
        <row r="74">
          <cell r="A74">
            <v>37956</v>
          </cell>
          <cell r="C74">
            <v>634.79999999999995</v>
          </cell>
          <cell r="D74">
            <v>0</v>
          </cell>
          <cell r="H74">
            <v>27438</v>
          </cell>
          <cell r="I74">
            <v>336.28800000000001</v>
          </cell>
        </row>
        <row r="75">
          <cell r="A75">
            <v>37987</v>
          </cell>
          <cell r="C75">
            <v>904</v>
          </cell>
          <cell r="D75">
            <v>0</v>
          </cell>
          <cell r="H75">
            <v>27478.75</v>
          </cell>
          <cell r="I75">
            <v>336.28800000000001</v>
          </cell>
        </row>
        <row r="76">
          <cell r="A76">
            <v>38018</v>
          </cell>
          <cell r="C76">
            <v>696.9</v>
          </cell>
          <cell r="D76">
            <v>0</v>
          </cell>
          <cell r="H76">
            <v>27519.5</v>
          </cell>
          <cell r="I76">
            <v>320.16000000000003</v>
          </cell>
        </row>
        <row r="77">
          <cell r="A77">
            <v>38047</v>
          </cell>
          <cell r="C77">
            <v>567.29999999999995</v>
          </cell>
          <cell r="D77">
            <v>0</v>
          </cell>
          <cell r="H77">
            <v>27560.25</v>
          </cell>
          <cell r="I77">
            <v>368.28</v>
          </cell>
        </row>
        <row r="78">
          <cell r="A78">
            <v>38078</v>
          </cell>
          <cell r="C78">
            <v>386.9</v>
          </cell>
          <cell r="D78">
            <v>0</v>
          </cell>
          <cell r="H78">
            <v>27601</v>
          </cell>
          <cell r="I78">
            <v>336.24</v>
          </cell>
        </row>
        <row r="79">
          <cell r="A79">
            <v>38108</v>
          </cell>
          <cell r="C79">
            <v>207.2</v>
          </cell>
          <cell r="D79">
            <v>6.6</v>
          </cell>
          <cell r="H79">
            <v>27641.75</v>
          </cell>
          <cell r="I79">
            <v>319.92</v>
          </cell>
        </row>
        <row r="80">
          <cell r="A80">
            <v>38139</v>
          </cell>
          <cell r="C80">
            <v>88.6</v>
          </cell>
          <cell r="D80">
            <v>22.4</v>
          </cell>
          <cell r="H80">
            <v>27682.5</v>
          </cell>
          <cell r="I80">
            <v>352.08</v>
          </cell>
        </row>
        <row r="81">
          <cell r="A81">
            <v>38169</v>
          </cell>
          <cell r="C81">
            <v>25.7</v>
          </cell>
          <cell r="D81">
            <v>41.1</v>
          </cell>
          <cell r="H81">
            <v>27723.25</v>
          </cell>
          <cell r="I81">
            <v>336.28800000000001</v>
          </cell>
        </row>
        <row r="82">
          <cell r="A82">
            <v>38200</v>
          </cell>
          <cell r="C82">
            <v>66</v>
          </cell>
          <cell r="D82">
            <v>23.8</v>
          </cell>
          <cell r="H82">
            <v>27764</v>
          </cell>
          <cell r="I82">
            <v>336.28800000000001</v>
          </cell>
        </row>
        <row r="83">
          <cell r="A83">
            <v>38231</v>
          </cell>
          <cell r="C83">
            <v>72.3</v>
          </cell>
          <cell r="D83">
            <v>9.1999999999999993</v>
          </cell>
          <cell r="H83">
            <v>27804.75</v>
          </cell>
          <cell r="I83">
            <v>336.24</v>
          </cell>
        </row>
        <row r="84">
          <cell r="A84">
            <v>38261</v>
          </cell>
          <cell r="C84">
            <v>297.60000000000002</v>
          </cell>
          <cell r="D84">
            <v>0</v>
          </cell>
          <cell r="H84">
            <v>27845.5</v>
          </cell>
          <cell r="I84">
            <v>319.92</v>
          </cell>
        </row>
        <row r="85">
          <cell r="A85">
            <v>38292</v>
          </cell>
          <cell r="C85">
            <v>452.1</v>
          </cell>
          <cell r="D85">
            <v>0</v>
          </cell>
          <cell r="H85">
            <v>27886.25</v>
          </cell>
          <cell r="I85">
            <v>352.08</v>
          </cell>
        </row>
        <row r="86">
          <cell r="A86">
            <v>38322</v>
          </cell>
          <cell r="C86">
            <v>736</v>
          </cell>
          <cell r="D86">
            <v>0</v>
          </cell>
          <cell r="H86">
            <v>27927</v>
          </cell>
          <cell r="I86">
            <v>336.28800000000001</v>
          </cell>
        </row>
        <row r="87">
          <cell r="A87">
            <v>38353</v>
          </cell>
          <cell r="C87">
            <v>837.6</v>
          </cell>
          <cell r="D87">
            <v>0</v>
          </cell>
          <cell r="H87">
            <v>27967.5</v>
          </cell>
          <cell r="I87">
            <v>319.92</v>
          </cell>
        </row>
        <row r="88">
          <cell r="A88">
            <v>38384</v>
          </cell>
          <cell r="C88">
            <v>676.6</v>
          </cell>
          <cell r="D88">
            <v>0</v>
          </cell>
          <cell r="H88">
            <v>28008</v>
          </cell>
          <cell r="I88">
            <v>319.87200000000001</v>
          </cell>
        </row>
        <row r="89">
          <cell r="A89">
            <v>38412</v>
          </cell>
          <cell r="C89">
            <v>674.5</v>
          </cell>
          <cell r="D89">
            <v>0</v>
          </cell>
          <cell r="H89">
            <v>28048.5</v>
          </cell>
          <cell r="I89">
            <v>351.91199999999998</v>
          </cell>
        </row>
        <row r="90">
          <cell r="A90">
            <v>38443</v>
          </cell>
          <cell r="C90">
            <v>377</v>
          </cell>
          <cell r="D90">
            <v>0</v>
          </cell>
          <cell r="H90">
            <v>28089</v>
          </cell>
          <cell r="I90">
            <v>336.24</v>
          </cell>
        </row>
        <row r="91">
          <cell r="A91">
            <v>38473</v>
          </cell>
          <cell r="C91">
            <v>269.3</v>
          </cell>
          <cell r="D91">
            <v>0</v>
          </cell>
          <cell r="H91">
            <v>28129.5</v>
          </cell>
          <cell r="I91">
            <v>336.28800000000001</v>
          </cell>
        </row>
        <row r="92">
          <cell r="A92">
            <v>38504</v>
          </cell>
          <cell r="C92">
            <v>23</v>
          </cell>
          <cell r="D92">
            <v>95</v>
          </cell>
          <cell r="H92">
            <v>28170</v>
          </cell>
          <cell r="I92">
            <v>352.08</v>
          </cell>
        </row>
        <row r="93">
          <cell r="A93">
            <v>38534</v>
          </cell>
          <cell r="C93">
            <v>9.5</v>
          </cell>
          <cell r="D93">
            <v>98.5</v>
          </cell>
          <cell r="H93">
            <v>28210.5</v>
          </cell>
          <cell r="I93">
            <v>319.92</v>
          </cell>
        </row>
        <row r="94">
          <cell r="A94">
            <v>38565</v>
          </cell>
          <cell r="C94">
            <v>13</v>
          </cell>
          <cell r="D94">
            <v>62.5</v>
          </cell>
          <cell r="H94">
            <v>28251</v>
          </cell>
          <cell r="I94">
            <v>351.91199999999998</v>
          </cell>
        </row>
        <row r="95">
          <cell r="A95">
            <v>38596</v>
          </cell>
          <cell r="C95">
            <v>68.099999999999994</v>
          </cell>
          <cell r="D95">
            <v>17.3</v>
          </cell>
          <cell r="H95">
            <v>28291.5</v>
          </cell>
          <cell r="I95">
            <v>336.24</v>
          </cell>
        </row>
        <row r="96">
          <cell r="A96">
            <v>38626</v>
          </cell>
          <cell r="C96">
            <v>274</v>
          </cell>
          <cell r="D96">
            <v>5</v>
          </cell>
          <cell r="H96">
            <v>28332</v>
          </cell>
          <cell r="I96">
            <v>319.92</v>
          </cell>
        </row>
        <row r="97">
          <cell r="A97">
            <v>38657</v>
          </cell>
          <cell r="C97">
            <v>445.4</v>
          </cell>
          <cell r="D97">
            <v>0</v>
          </cell>
          <cell r="H97">
            <v>28372.5</v>
          </cell>
          <cell r="I97">
            <v>352.08</v>
          </cell>
        </row>
        <row r="98">
          <cell r="A98">
            <v>38687</v>
          </cell>
          <cell r="C98">
            <v>724.7</v>
          </cell>
          <cell r="D98">
            <v>0</v>
          </cell>
          <cell r="H98">
            <v>28413</v>
          </cell>
          <cell r="I98">
            <v>319.92</v>
          </cell>
        </row>
        <row r="99">
          <cell r="A99">
            <v>38718</v>
          </cell>
          <cell r="C99">
            <v>626.6</v>
          </cell>
          <cell r="D99">
            <v>0</v>
          </cell>
          <cell r="H99">
            <v>28422.333333333332</v>
          </cell>
          <cell r="I99">
            <v>336.28800000000001</v>
          </cell>
        </row>
        <row r="100">
          <cell r="A100">
            <v>38749</v>
          </cell>
          <cell r="C100">
            <v>684.8</v>
          </cell>
          <cell r="D100">
            <v>0</v>
          </cell>
          <cell r="H100">
            <v>28431.666666666664</v>
          </cell>
          <cell r="I100">
            <v>319.87200000000001</v>
          </cell>
        </row>
        <row r="101">
          <cell r="A101">
            <v>38777</v>
          </cell>
          <cell r="C101">
            <v>597.79999999999995</v>
          </cell>
          <cell r="D101">
            <v>0</v>
          </cell>
          <cell r="H101">
            <v>28440.999999999996</v>
          </cell>
          <cell r="I101">
            <v>368.28</v>
          </cell>
        </row>
        <row r="102">
          <cell r="A102">
            <v>38808</v>
          </cell>
          <cell r="C102">
            <v>351.6</v>
          </cell>
          <cell r="D102">
            <v>0</v>
          </cell>
          <cell r="H102">
            <v>28450.333333333328</v>
          </cell>
          <cell r="I102">
            <v>303.83999999999997</v>
          </cell>
        </row>
        <row r="103">
          <cell r="A103">
            <v>38838</v>
          </cell>
          <cell r="C103">
            <v>185.4</v>
          </cell>
          <cell r="D103">
            <v>14.1</v>
          </cell>
          <cell r="H103">
            <v>28459.666666666661</v>
          </cell>
          <cell r="I103">
            <v>351.91199999999998</v>
          </cell>
        </row>
        <row r="104">
          <cell r="A104">
            <v>38869</v>
          </cell>
          <cell r="C104">
            <v>49.6</v>
          </cell>
          <cell r="D104">
            <v>34.200000000000003</v>
          </cell>
          <cell r="H104">
            <v>28468.999999999993</v>
          </cell>
          <cell r="I104">
            <v>352.08</v>
          </cell>
        </row>
        <row r="105">
          <cell r="A105">
            <v>38899</v>
          </cell>
          <cell r="C105">
            <v>6.3</v>
          </cell>
          <cell r="D105">
            <v>101.9</v>
          </cell>
          <cell r="H105">
            <v>28478.333333333325</v>
          </cell>
          <cell r="I105">
            <v>319.92</v>
          </cell>
        </row>
        <row r="106">
          <cell r="A106">
            <v>38930</v>
          </cell>
          <cell r="C106">
            <v>28</v>
          </cell>
          <cell r="D106">
            <v>51.8</v>
          </cell>
          <cell r="H106">
            <v>28487.666666666657</v>
          </cell>
          <cell r="I106">
            <v>351.91199999999998</v>
          </cell>
        </row>
        <row r="107">
          <cell r="A107">
            <v>38961</v>
          </cell>
          <cell r="C107">
            <v>137.5</v>
          </cell>
          <cell r="D107">
            <v>2.2999999999999998</v>
          </cell>
          <cell r="H107">
            <v>28496.999999999989</v>
          </cell>
          <cell r="I107">
            <v>319.68</v>
          </cell>
        </row>
        <row r="108">
          <cell r="A108">
            <v>38991</v>
          </cell>
          <cell r="C108">
            <v>331.3</v>
          </cell>
          <cell r="D108">
            <v>0.3</v>
          </cell>
          <cell r="H108">
            <v>28506.333333333321</v>
          </cell>
          <cell r="I108">
            <v>336.28800000000001</v>
          </cell>
        </row>
        <row r="109">
          <cell r="A109">
            <v>39022</v>
          </cell>
          <cell r="C109">
            <v>418.4</v>
          </cell>
          <cell r="D109">
            <v>0</v>
          </cell>
          <cell r="H109">
            <v>28515.666666666653</v>
          </cell>
          <cell r="I109">
            <v>352.08</v>
          </cell>
        </row>
        <row r="110">
          <cell r="A110">
            <v>39052</v>
          </cell>
          <cell r="C110">
            <v>548</v>
          </cell>
          <cell r="D110">
            <v>0</v>
          </cell>
          <cell r="H110">
            <v>28525</v>
          </cell>
          <cell r="I110">
            <v>304.29599999999999</v>
          </cell>
        </row>
        <row r="111">
          <cell r="A111">
            <v>39083</v>
          </cell>
          <cell r="C111">
            <v>697.4</v>
          </cell>
          <cell r="D111">
            <v>0</v>
          </cell>
          <cell r="H111">
            <v>28540.416666666668</v>
          </cell>
          <cell r="I111">
            <v>351.91199999999998</v>
          </cell>
        </row>
        <row r="112">
          <cell r="A112">
            <v>39114</v>
          </cell>
          <cell r="C112">
            <v>781</v>
          </cell>
          <cell r="D112">
            <v>0</v>
          </cell>
          <cell r="H112">
            <v>28555.833333333336</v>
          </cell>
          <cell r="I112">
            <v>319.87200000000001</v>
          </cell>
        </row>
        <row r="113">
          <cell r="A113">
            <v>39142</v>
          </cell>
          <cell r="C113">
            <v>594.79999999999995</v>
          </cell>
          <cell r="D113">
            <v>0</v>
          </cell>
          <cell r="H113">
            <v>28571.250000000004</v>
          </cell>
          <cell r="I113">
            <v>351.91199999999998</v>
          </cell>
        </row>
        <row r="114">
          <cell r="A114">
            <v>39173</v>
          </cell>
          <cell r="C114">
            <v>428</v>
          </cell>
          <cell r="D114">
            <v>0</v>
          </cell>
          <cell r="H114">
            <v>28586.666666666672</v>
          </cell>
          <cell r="I114">
            <v>319.68</v>
          </cell>
        </row>
        <row r="115">
          <cell r="A115">
            <v>39203</v>
          </cell>
          <cell r="C115">
            <v>174.9</v>
          </cell>
          <cell r="D115">
            <v>12.1</v>
          </cell>
          <cell r="H115">
            <v>28602.083333333339</v>
          </cell>
          <cell r="I115">
            <v>351.91199999999998</v>
          </cell>
        </row>
        <row r="116">
          <cell r="A116">
            <v>39234</v>
          </cell>
          <cell r="C116">
            <v>45.8</v>
          </cell>
          <cell r="D116">
            <v>48.2</v>
          </cell>
          <cell r="H116">
            <v>28617.500000000007</v>
          </cell>
          <cell r="I116">
            <v>336.24</v>
          </cell>
        </row>
        <row r="117">
          <cell r="A117">
            <v>39264</v>
          </cell>
          <cell r="C117">
            <v>27.6</v>
          </cell>
          <cell r="D117">
            <v>56.6</v>
          </cell>
          <cell r="H117">
            <v>28632.916666666675</v>
          </cell>
          <cell r="I117">
            <v>336.28800000000001</v>
          </cell>
        </row>
        <row r="118">
          <cell r="A118">
            <v>39295</v>
          </cell>
          <cell r="C118">
            <v>24.6</v>
          </cell>
          <cell r="D118">
            <v>66.7</v>
          </cell>
          <cell r="H118">
            <v>28648.333333333343</v>
          </cell>
          <cell r="I118">
            <v>351.91199999999998</v>
          </cell>
        </row>
        <row r="119">
          <cell r="A119">
            <v>39326</v>
          </cell>
          <cell r="C119">
            <v>91.5</v>
          </cell>
          <cell r="D119">
            <v>21.6</v>
          </cell>
          <cell r="H119">
            <v>28663.750000000011</v>
          </cell>
          <cell r="I119">
            <v>303.83999999999997</v>
          </cell>
        </row>
        <row r="120">
          <cell r="A120">
            <v>39356</v>
          </cell>
          <cell r="C120">
            <v>193.4</v>
          </cell>
          <cell r="D120">
            <v>8.3000000000000007</v>
          </cell>
          <cell r="H120">
            <v>28679.166666666679</v>
          </cell>
          <cell r="I120">
            <v>351.91199999999998</v>
          </cell>
        </row>
        <row r="121">
          <cell r="A121">
            <v>39387</v>
          </cell>
          <cell r="C121">
            <v>528.20000000000005</v>
          </cell>
          <cell r="D121">
            <v>0</v>
          </cell>
          <cell r="H121">
            <v>28694.583333333347</v>
          </cell>
          <cell r="I121">
            <v>352.08</v>
          </cell>
        </row>
        <row r="122">
          <cell r="A122">
            <v>39417</v>
          </cell>
          <cell r="C122">
            <v>672.6</v>
          </cell>
          <cell r="D122">
            <v>0</v>
          </cell>
          <cell r="H122">
            <v>28710</v>
          </cell>
          <cell r="I122">
            <v>304.29599999999999</v>
          </cell>
        </row>
        <row r="123">
          <cell r="A123">
            <v>39448</v>
          </cell>
          <cell r="C123">
            <v>610</v>
          </cell>
          <cell r="D123">
            <v>0</v>
          </cell>
          <cell r="H123">
            <v>28725.833333333332</v>
          </cell>
          <cell r="I123">
            <v>352</v>
          </cell>
        </row>
        <row r="124">
          <cell r="A124">
            <v>39479</v>
          </cell>
          <cell r="C124">
            <v>735.4</v>
          </cell>
          <cell r="D124">
            <v>0</v>
          </cell>
          <cell r="H124">
            <v>28741.666666666664</v>
          </cell>
          <cell r="I124">
            <v>320</v>
          </cell>
        </row>
        <row r="125">
          <cell r="A125">
            <v>39508</v>
          </cell>
          <cell r="C125">
            <v>689.8</v>
          </cell>
          <cell r="D125">
            <v>0</v>
          </cell>
          <cell r="H125">
            <v>28757.499999999996</v>
          </cell>
          <cell r="I125">
            <v>304</v>
          </cell>
        </row>
        <row r="126">
          <cell r="A126">
            <v>39539</v>
          </cell>
          <cell r="C126">
            <v>318.10000000000002</v>
          </cell>
          <cell r="D126">
            <v>0</v>
          </cell>
          <cell r="H126">
            <v>28773.333333333328</v>
          </cell>
          <cell r="I126">
            <v>352</v>
          </cell>
        </row>
        <row r="127">
          <cell r="A127">
            <v>39569</v>
          </cell>
          <cell r="C127">
            <v>234.4</v>
          </cell>
          <cell r="D127">
            <v>0</v>
          </cell>
          <cell r="H127">
            <v>28789.166666666661</v>
          </cell>
          <cell r="I127">
            <v>336</v>
          </cell>
        </row>
        <row r="128">
          <cell r="A128">
            <v>39600</v>
          </cell>
          <cell r="C128">
            <v>45.8</v>
          </cell>
          <cell r="D128">
            <v>27.5</v>
          </cell>
          <cell r="H128">
            <v>28804.999999999993</v>
          </cell>
          <cell r="I128">
            <v>336</v>
          </cell>
        </row>
        <row r="129">
          <cell r="A129">
            <v>39630</v>
          </cell>
          <cell r="C129">
            <v>10.1</v>
          </cell>
          <cell r="D129">
            <v>58.2</v>
          </cell>
          <cell r="H129">
            <v>28820.833333333325</v>
          </cell>
          <cell r="I129">
            <v>352</v>
          </cell>
        </row>
        <row r="130">
          <cell r="A130">
            <v>39661</v>
          </cell>
          <cell r="C130">
            <v>36.6</v>
          </cell>
          <cell r="D130">
            <v>23</v>
          </cell>
          <cell r="H130">
            <v>28836.666666666657</v>
          </cell>
          <cell r="I130">
            <v>320</v>
          </cell>
        </row>
        <row r="131">
          <cell r="A131">
            <v>39692</v>
          </cell>
          <cell r="C131">
            <v>95.2</v>
          </cell>
          <cell r="D131">
            <v>11.1</v>
          </cell>
          <cell r="H131">
            <v>28852.499999999989</v>
          </cell>
          <cell r="I131">
            <v>336</v>
          </cell>
        </row>
        <row r="132">
          <cell r="A132">
            <v>39722</v>
          </cell>
          <cell r="C132">
            <v>308.2</v>
          </cell>
          <cell r="D132">
            <v>0</v>
          </cell>
          <cell r="H132">
            <v>28868.333333333321</v>
          </cell>
          <cell r="I132">
            <v>352</v>
          </cell>
        </row>
        <row r="133">
          <cell r="A133">
            <v>39753</v>
          </cell>
          <cell r="C133">
            <v>391.1</v>
          </cell>
          <cell r="D133">
            <v>0</v>
          </cell>
          <cell r="H133">
            <v>28884.166666666653</v>
          </cell>
          <cell r="I133">
            <v>304</v>
          </cell>
        </row>
        <row r="134">
          <cell r="A134">
            <v>39783</v>
          </cell>
          <cell r="C134">
            <v>597.9</v>
          </cell>
          <cell r="D134">
            <v>0</v>
          </cell>
          <cell r="H134">
            <v>28900</v>
          </cell>
          <cell r="I134">
            <v>336</v>
          </cell>
        </row>
        <row r="135">
          <cell r="I135">
            <v>336</v>
          </cell>
        </row>
        <row r="136">
          <cell r="I136">
            <v>304</v>
          </cell>
        </row>
        <row r="137">
          <cell r="I137">
            <v>352</v>
          </cell>
        </row>
        <row r="138">
          <cell r="I138">
            <v>320</v>
          </cell>
        </row>
        <row r="139">
          <cell r="I139">
            <v>320</v>
          </cell>
        </row>
        <row r="140">
          <cell r="I140">
            <v>352</v>
          </cell>
        </row>
        <row r="141">
          <cell r="I141">
            <v>352</v>
          </cell>
        </row>
        <row r="142">
          <cell r="I142">
            <v>320</v>
          </cell>
        </row>
        <row r="143">
          <cell r="I143">
            <v>336</v>
          </cell>
        </row>
        <row r="144">
          <cell r="I144">
            <v>336</v>
          </cell>
        </row>
        <row r="145">
          <cell r="I145">
            <v>320</v>
          </cell>
        </row>
        <row r="146">
          <cell r="I146">
            <v>352</v>
          </cell>
        </row>
        <row r="147">
          <cell r="I147">
            <v>320</v>
          </cell>
        </row>
        <row r="148">
          <cell r="I148">
            <v>304</v>
          </cell>
        </row>
        <row r="149">
          <cell r="I149">
            <v>368</v>
          </cell>
        </row>
        <row r="150">
          <cell r="I150">
            <v>320</v>
          </cell>
        </row>
        <row r="151">
          <cell r="I151">
            <v>320</v>
          </cell>
        </row>
        <row r="152">
          <cell r="I152">
            <v>352</v>
          </cell>
        </row>
        <row r="153">
          <cell r="I153">
            <v>336</v>
          </cell>
        </row>
        <row r="154">
          <cell r="I154">
            <v>336</v>
          </cell>
        </row>
        <row r="155">
          <cell r="I155">
            <v>336</v>
          </cell>
        </row>
        <row r="156">
          <cell r="I156">
            <v>320</v>
          </cell>
        </row>
        <row r="157">
          <cell r="I157">
            <v>336</v>
          </cell>
        </row>
        <row r="158">
          <cell r="I158">
            <v>368</v>
          </cell>
        </row>
      </sheetData>
      <sheetData sheetId="3">
        <row r="14">
          <cell r="H14">
            <v>82401296</v>
          </cell>
          <cell r="I14">
            <v>30457263</v>
          </cell>
          <cell r="J14">
            <v>100559580</v>
          </cell>
          <cell r="K14">
            <v>25508928</v>
          </cell>
          <cell r="L14">
            <v>1553494</v>
          </cell>
          <cell r="M14">
            <v>133937</v>
          </cell>
        </row>
        <row r="15">
          <cell r="H15">
            <v>82624722</v>
          </cell>
          <cell r="I15">
            <v>30592102</v>
          </cell>
          <cell r="J15">
            <v>106154390</v>
          </cell>
          <cell r="K15">
            <v>21085760</v>
          </cell>
          <cell r="L15">
            <v>1695517</v>
          </cell>
          <cell r="M15">
            <v>134018</v>
          </cell>
        </row>
        <row r="16">
          <cell r="H16">
            <v>87597048.719999999</v>
          </cell>
          <cell r="I16">
            <v>34393460</v>
          </cell>
          <cell r="J16">
            <v>104266083</v>
          </cell>
          <cell r="K16">
            <v>21827950</v>
          </cell>
          <cell r="L16">
            <v>1587029.58</v>
          </cell>
          <cell r="M16">
            <v>135374.13</v>
          </cell>
        </row>
        <row r="17">
          <cell r="H17">
            <v>85059822.699999988</v>
          </cell>
          <cell r="I17">
            <v>35198595.559999995</v>
          </cell>
          <cell r="J17">
            <v>106449227.81</v>
          </cell>
          <cell r="K17">
            <v>22092193</v>
          </cell>
          <cell r="L17">
            <v>1594469.23</v>
          </cell>
          <cell r="M17">
            <v>130122.38</v>
          </cell>
          <cell r="N17">
            <v>373252.22</v>
          </cell>
        </row>
        <row r="18">
          <cell r="H18">
            <v>85922368.839999989</v>
          </cell>
          <cell r="I18">
            <v>37055212.619999997</v>
          </cell>
          <cell r="J18">
            <v>110083798.86461273</v>
          </cell>
          <cell r="K18">
            <v>21434772</v>
          </cell>
          <cell r="L18">
            <v>1615441.3500000003</v>
          </cell>
          <cell r="M18">
            <v>133475.94999999998</v>
          </cell>
          <cell r="N18">
            <v>377301.92</v>
          </cell>
        </row>
        <row r="19">
          <cell r="H19">
            <v>85459087.140000001</v>
          </cell>
          <cell r="I19">
            <v>37433972.129999995</v>
          </cell>
          <cell r="J19">
            <v>104225229.89999999</v>
          </cell>
          <cell r="K19">
            <v>20335018</v>
          </cell>
          <cell r="L19">
            <v>1734012.2599999998</v>
          </cell>
          <cell r="M19">
            <v>136891.63999999998</v>
          </cell>
          <cell r="N19">
            <v>392274.11</v>
          </cell>
        </row>
      </sheetData>
      <sheetData sheetId="4">
        <row r="7">
          <cell r="B7">
            <v>9072.5</v>
          </cell>
          <cell r="C7">
            <v>971.5</v>
          </cell>
          <cell r="D7">
            <v>140</v>
          </cell>
          <cell r="E7">
            <v>3</v>
          </cell>
          <cell r="F7">
            <v>2556.5</v>
          </cell>
          <cell r="G7">
            <v>164</v>
          </cell>
        </row>
        <row r="8">
          <cell r="B8">
            <v>9278</v>
          </cell>
          <cell r="C8">
            <v>982.5</v>
          </cell>
          <cell r="D8">
            <v>142.5</v>
          </cell>
          <cell r="E8">
            <v>3</v>
          </cell>
          <cell r="F8">
            <v>2621.5</v>
          </cell>
          <cell r="G8">
            <v>168</v>
          </cell>
        </row>
        <row r="9">
          <cell r="B9">
            <v>9425</v>
          </cell>
          <cell r="C9">
            <v>985.5</v>
          </cell>
          <cell r="D9">
            <v>135</v>
          </cell>
          <cell r="E9">
            <v>3</v>
          </cell>
          <cell r="F9">
            <v>2572.5</v>
          </cell>
          <cell r="G9">
            <v>173</v>
          </cell>
        </row>
        <row r="10">
          <cell r="B10">
            <v>9482.5</v>
          </cell>
          <cell r="C10">
            <v>993.5</v>
          </cell>
          <cell r="D10">
            <v>126.5</v>
          </cell>
          <cell r="E10">
            <v>3</v>
          </cell>
          <cell r="F10">
            <v>2506</v>
          </cell>
          <cell r="G10">
            <v>175</v>
          </cell>
        </row>
        <row r="11">
          <cell r="B11">
            <v>9547</v>
          </cell>
          <cell r="C11">
            <v>1029.5</v>
          </cell>
          <cell r="D11">
            <v>127.5</v>
          </cell>
          <cell r="E11">
            <v>3</v>
          </cell>
          <cell r="F11">
            <v>2518.5</v>
          </cell>
          <cell r="G11">
            <v>178.5</v>
          </cell>
        </row>
        <row r="12">
          <cell r="B12">
            <v>9618.5</v>
          </cell>
          <cell r="C12">
            <v>1060.5</v>
          </cell>
          <cell r="D12">
            <v>129</v>
          </cell>
          <cell r="E12">
            <v>3</v>
          </cell>
          <cell r="F12">
            <v>2642.5</v>
          </cell>
          <cell r="G12">
            <v>176.5</v>
          </cell>
        </row>
      </sheetData>
      <sheetData sheetId="5">
        <row r="6">
          <cell r="B6">
            <v>253660</v>
          </cell>
          <cell r="C6">
            <v>49856</v>
          </cell>
          <cell r="D6">
            <v>4595</v>
          </cell>
          <cell r="E6">
            <v>374</v>
          </cell>
        </row>
        <row r="7">
          <cell r="B7">
            <v>259764.71999999997</v>
          </cell>
          <cell r="C7">
            <v>41413</v>
          </cell>
          <cell r="D7">
            <v>4701</v>
          </cell>
          <cell r="E7">
            <v>372</v>
          </cell>
        </row>
        <row r="8">
          <cell r="B8">
            <v>254756.01</v>
          </cell>
          <cell r="C8">
            <v>43117</v>
          </cell>
          <cell r="D8">
            <v>4431.21</v>
          </cell>
          <cell r="E8">
            <v>363.54</v>
          </cell>
        </row>
        <row r="9">
          <cell r="B9">
            <v>262327.78000000003</v>
          </cell>
          <cell r="C9">
            <v>42586</v>
          </cell>
          <cell r="D9">
            <v>4452.3599999999997</v>
          </cell>
          <cell r="E9">
            <v>370.18</v>
          </cell>
        </row>
        <row r="10">
          <cell r="B10">
            <v>271611.49999999994</v>
          </cell>
          <cell r="C10">
            <v>42075</v>
          </cell>
          <cell r="D10">
            <v>4445.4399999999996</v>
          </cell>
          <cell r="E10">
            <v>373.39</v>
          </cell>
        </row>
        <row r="11">
          <cell r="B11">
            <v>258019.89</v>
          </cell>
          <cell r="C11">
            <v>39622</v>
          </cell>
          <cell r="D11">
            <v>4841.55</v>
          </cell>
          <cell r="E11">
            <v>378.71</v>
          </cell>
        </row>
      </sheetData>
      <sheetData sheetId="6"/>
      <sheetData sheetId="7">
        <row r="1">
          <cell r="K1">
            <v>1993</v>
          </cell>
          <cell r="L1">
            <v>1994</v>
          </cell>
          <cell r="M1">
            <v>1995</v>
          </cell>
          <cell r="N1">
            <v>1996</v>
          </cell>
          <cell r="O1">
            <v>1997</v>
          </cell>
        </row>
        <row r="2">
          <cell r="K2">
            <v>743.4</v>
          </cell>
          <cell r="L2">
            <v>995.6</v>
          </cell>
          <cell r="M2">
            <v>701.1</v>
          </cell>
          <cell r="N2">
            <v>830.4</v>
          </cell>
          <cell r="O2">
            <v>817.9</v>
          </cell>
        </row>
        <row r="3">
          <cell r="K3">
            <v>811</v>
          </cell>
          <cell r="L3">
            <v>799.6</v>
          </cell>
          <cell r="M3">
            <v>770.6</v>
          </cell>
          <cell r="N3">
            <v>741.2</v>
          </cell>
          <cell r="O3">
            <v>644</v>
          </cell>
        </row>
        <row r="4">
          <cell r="K4">
            <v>694.6</v>
          </cell>
          <cell r="L4">
            <v>649.6</v>
          </cell>
          <cell r="M4">
            <v>563.6</v>
          </cell>
          <cell r="N4">
            <v>701.4</v>
          </cell>
          <cell r="O4">
            <v>662.2</v>
          </cell>
        </row>
        <row r="5">
          <cell r="K5">
            <v>382.8</v>
          </cell>
          <cell r="L5">
            <v>361.7</v>
          </cell>
          <cell r="M5">
            <v>474.6</v>
          </cell>
          <cell r="N5">
            <v>461.1</v>
          </cell>
          <cell r="O5">
            <v>416.9</v>
          </cell>
        </row>
        <row r="6">
          <cell r="K6">
            <v>224</v>
          </cell>
          <cell r="L6">
            <v>252.7</v>
          </cell>
          <cell r="M6">
            <v>209.2</v>
          </cell>
          <cell r="N6">
            <v>249.9</v>
          </cell>
          <cell r="O6">
            <v>319.60000000000002</v>
          </cell>
        </row>
        <row r="7">
          <cell r="K7">
            <v>85</v>
          </cell>
          <cell r="L7">
            <v>63.2</v>
          </cell>
          <cell r="M7">
            <v>42.2</v>
          </cell>
          <cell r="N7">
            <v>43.1</v>
          </cell>
          <cell r="O7">
            <v>32.5</v>
          </cell>
        </row>
        <row r="8">
          <cell r="K8">
            <v>12.3</v>
          </cell>
          <cell r="L8">
            <v>17.899999999999999</v>
          </cell>
          <cell r="M8">
            <v>22.4</v>
          </cell>
          <cell r="N8">
            <v>28</v>
          </cell>
          <cell r="O8">
            <v>36</v>
          </cell>
        </row>
        <row r="9">
          <cell r="K9">
            <v>24.3</v>
          </cell>
          <cell r="L9">
            <v>58.5</v>
          </cell>
          <cell r="M9">
            <v>11.6</v>
          </cell>
          <cell r="N9">
            <v>18.100000000000001</v>
          </cell>
          <cell r="O9">
            <v>58.1</v>
          </cell>
        </row>
        <row r="10">
          <cell r="K10">
            <v>197.9</v>
          </cell>
          <cell r="L10">
            <v>132.80000000000001</v>
          </cell>
          <cell r="M10">
            <v>172.8</v>
          </cell>
          <cell r="N10">
            <v>118</v>
          </cell>
          <cell r="O10">
            <v>107.1</v>
          </cell>
        </row>
        <row r="11">
          <cell r="K11">
            <v>351.7</v>
          </cell>
          <cell r="L11">
            <v>296.5</v>
          </cell>
          <cell r="M11">
            <v>262.60000000000002</v>
          </cell>
          <cell r="N11">
            <v>314</v>
          </cell>
          <cell r="O11">
            <v>299.89999999999998</v>
          </cell>
        </row>
        <row r="12">
          <cell r="K12">
            <v>511.3</v>
          </cell>
          <cell r="L12">
            <v>427.3</v>
          </cell>
          <cell r="M12">
            <v>580.1</v>
          </cell>
          <cell r="N12">
            <v>563.29999999999995</v>
          </cell>
          <cell r="O12">
            <v>526.5</v>
          </cell>
        </row>
        <row r="13">
          <cell r="K13">
            <v>695</v>
          </cell>
          <cell r="L13">
            <v>622.1</v>
          </cell>
          <cell r="M13">
            <v>776.8</v>
          </cell>
          <cell r="N13">
            <v>620.1</v>
          </cell>
          <cell r="O13">
            <v>645.6</v>
          </cell>
        </row>
        <row r="17">
          <cell r="K17">
            <v>1993</v>
          </cell>
          <cell r="L17">
            <v>1994</v>
          </cell>
          <cell r="M17">
            <v>1995</v>
          </cell>
          <cell r="N17">
            <v>1996</v>
          </cell>
          <cell r="O17">
            <v>1997</v>
          </cell>
          <cell r="P17">
            <v>1998</v>
          </cell>
        </row>
        <row r="18"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K22">
            <v>0</v>
          </cell>
          <cell r="L22">
            <v>4.5999999999999996</v>
          </cell>
          <cell r="M22">
            <v>1</v>
          </cell>
          <cell r="N22">
            <v>6.8</v>
          </cell>
          <cell r="O22">
            <v>0</v>
          </cell>
        </row>
        <row r="23">
          <cell r="K23">
            <v>9.6999999999999993</v>
          </cell>
          <cell r="L23">
            <v>43.1</v>
          </cell>
          <cell r="M23">
            <v>48.2</v>
          </cell>
          <cell r="N23">
            <v>23.8</v>
          </cell>
          <cell r="O23">
            <v>47.8</v>
          </cell>
        </row>
        <row r="24">
          <cell r="K24">
            <v>63</v>
          </cell>
          <cell r="L24">
            <v>63.3</v>
          </cell>
          <cell r="M24">
            <v>83.2</v>
          </cell>
          <cell r="N24">
            <v>24.2</v>
          </cell>
          <cell r="O24">
            <v>55.4</v>
          </cell>
        </row>
        <row r="25">
          <cell r="K25">
            <v>65.2</v>
          </cell>
          <cell r="L25">
            <v>23.4</v>
          </cell>
          <cell r="M25">
            <v>81.3</v>
          </cell>
          <cell r="N25">
            <v>42.8</v>
          </cell>
          <cell r="O25">
            <v>17.600000000000001</v>
          </cell>
        </row>
        <row r="26">
          <cell r="K26">
            <v>8.5</v>
          </cell>
          <cell r="L26">
            <v>8.8000000000000007</v>
          </cell>
          <cell r="M26">
            <v>9.5</v>
          </cell>
          <cell r="N26">
            <v>5.5</v>
          </cell>
          <cell r="O26">
            <v>3.1</v>
          </cell>
        </row>
        <row r="27">
          <cell r="K27">
            <v>0</v>
          </cell>
          <cell r="L27">
            <v>0</v>
          </cell>
          <cell r="M27">
            <v>1.8</v>
          </cell>
          <cell r="N27">
            <v>0</v>
          </cell>
          <cell r="O27">
            <v>0.3</v>
          </cell>
        </row>
        <row r="28"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</row>
        <row r="29"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</sheetData>
      <sheetData sheetId="8"/>
      <sheetData sheetId="9"/>
      <sheetData sheetId="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"/>
      <sheetName val="Historic"/>
      <sheetName val="Historic (2)"/>
      <sheetName val="For Rates"/>
    </sheetNames>
    <sheetDataSet>
      <sheetData sheetId="0">
        <row r="14">
          <cell r="B14">
            <v>1673123</v>
          </cell>
        </row>
      </sheetData>
      <sheetData sheetId="1">
        <row r="52">
          <cell r="B52">
            <v>86211880</v>
          </cell>
        </row>
        <row r="71">
          <cell r="E71">
            <v>9650</v>
          </cell>
        </row>
        <row r="72">
          <cell r="B72">
            <v>84392286.059999987</v>
          </cell>
          <cell r="E72">
            <v>9814</v>
          </cell>
        </row>
        <row r="73">
          <cell r="B73">
            <v>86211880</v>
          </cell>
          <cell r="E73">
            <v>9963</v>
          </cell>
        </row>
        <row r="74">
          <cell r="B74">
            <v>85903538</v>
          </cell>
          <cell r="E74">
            <v>10027</v>
          </cell>
        </row>
        <row r="75">
          <cell r="B75">
            <v>85673643</v>
          </cell>
          <cell r="E75">
            <v>10143</v>
          </cell>
        </row>
        <row r="88">
          <cell r="E88">
            <v>1064</v>
          </cell>
        </row>
        <row r="89">
          <cell r="B89">
            <v>35466555.850000001</v>
          </cell>
          <cell r="E89">
            <v>1148</v>
          </cell>
        </row>
        <row r="90">
          <cell r="B90">
            <v>36096661</v>
          </cell>
          <cell r="E90">
            <v>1163</v>
          </cell>
        </row>
        <row r="91">
          <cell r="B91">
            <v>35863634</v>
          </cell>
          <cell r="E91">
            <v>1090</v>
          </cell>
        </row>
        <row r="92">
          <cell r="B92">
            <v>35683448</v>
          </cell>
          <cell r="E92">
            <v>1126</v>
          </cell>
        </row>
        <row r="105">
          <cell r="E105">
            <v>132</v>
          </cell>
        </row>
        <row r="106">
          <cell r="B106">
            <v>121491113.47750913</v>
          </cell>
          <cell r="C106">
            <v>306994.46000000002</v>
          </cell>
          <cell r="E106">
            <v>129</v>
          </cell>
        </row>
        <row r="107">
          <cell r="B107">
            <v>123390551.01121642</v>
          </cell>
          <cell r="C107">
            <v>298436.81999999995</v>
          </cell>
          <cell r="E107">
            <v>130</v>
          </cell>
        </row>
        <row r="108">
          <cell r="B108">
            <v>121707244.94518963</v>
          </cell>
          <cell r="C108">
            <v>298210.00000000006</v>
          </cell>
          <cell r="E108">
            <v>131</v>
          </cell>
        </row>
        <row r="109">
          <cell r="B109">
            <v>120453548.99700859</v>
          </cell>
          <cell r="C109">
            <v>295003.59999999998</v>
          </cell>
          <cell r="E109">
            <v>123</v>
          </cell>
        </row>
        <row r="123">
          <cell r="B123">
            <v>373170.54000000004</v>
          </cell>
        </row>
        <row r="124">
          <cell r="B124">
            <v>373728</v>
          </cell>
          <cell r="F124">
            <v>158</v>
          </cell>
        </row>
        <row r="125">
          <cell r="B125">
            <v>338183</v>
          </cell>
          <cell r="F125">
            <v>157</v>
          </cell>
        </row>
        <row r="126">
          <cell r="B126">
            <v>413791</v>
          </cell>
          <cell r="F126">
            <v>104</v>
          </cell>
        </row>
        <row r="139">
          <cell r="F139">
            <v>2754</v>
          </cell>
        </row>
        <row r="140">
          <cell r="B140">
            <v>1770107.1300000001</v>
          </cell>
          <cell r="C140">
            <v>5111.5600000000004</v>
          </cell>
          <cell r="F140">
            <v>2614</v>
          </cell>
        </row>
        <row r="141">
          <cell r="B141">
            <v>1777519</v>
          </cell>
          <cell r="C141">
            <v>4952.9000000000005</v>
          </cell>
          <cell r="F141">
            <v>2782</v>
          </cell>
        </row>
        <row r="142">
          <cell r="C142">
            <v>4553.3</v>
          </cell>
          <cell r="F142">
            <v>2785</v>
          </cell>
        </row>
        <row r="143">
          <cell r="C143">
            <v>5416.0000000000009</v>
          </cell>
          <cell r="F143">
            <v>2835</v>
          </cell>
        </row>
        <row r="156">
          <cell r="F156">
            <v>177</v>
          </cell>
        </row>
        <row r="157">
          <cell r="B157">
            <v>128509.83</v>
          </cell>
          <cell r="C157">
            <v>361.94000000000005</v>
          </cell>
          <cell r="F157">
            <v>167</v>
          </cell>
        </row>
        <row r="158">
          <cell r="B158">
            <v>127445</v>
          </cell>
          <cell r="C158">
            <v>351.69999999999993</v>
          </cell>
          <cell r="F158">
            <v>165</v>
          </cell>
        </row>
        <row r="159">
          <cell r="B159">
            <v>99117</v>
          </cell>
          <cell r="C159">
            <v>274.29999999999995</v>
          </cell>
          <cell r="F159">
            <v>158</v>
          </cell>
        </row>
        <row r="160">
          <cell r="B160">
            <v>124534</v>
          </cell>
          <cell r="C160">
            <v>329.80000000000007</v>
          </cell>
          <cell r="F160">
            <v>156</v>
          </cell>
        </row>
      </sheetData>
      <sheetData sheetId="2"/>
      <sheetData sheetId="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9">
          <cell r="D9">
            <v>127016.64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1"/>
      <sheetName val="Historic"/>
      <sheetName val="Historic (2)"/>
      <sheetName val="For Rates"/>
    </sheetNames>
    <sheetDataSet>
      <sheetData sheetId="0">
        <row r="14">
          <cell r="B14">
            <v>1782726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73">
          <cell r="F73">
            <v>2690000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 Rates"/>
      <sheetName val="Revised"/>
      <sheetName val="Sheet3"/>
    </sheetNames>
    <sheetDataSet>
      <sheetData sheetId="0">
        <row r="31">
          <cell r="D31">
            <v>154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to June 2013"/>
      <sheetName val="July to Dec 2013"/>
      <sheetName val="Sheet1"/>
    </sheetNames>
    <sheetDataSet>
      <sheetData sheetId="0">
        <row r="105">
          <cell r="D105">
            <v>10166</v>
          </cell>
        </row>
        <row r="106">
          <cell r="D106">
            <v>1125</v>
          </cell>
        </row>
        <row r="107">
          <cell r="D107">
            <v>94</v>
          </cell>
        </row>
        <row r="108">
          <cell r="D108">
            <v>30</v>
          </cell>
        </row>
        <row r="109">
          <cell r="E109">
            <v>156</v>
          </cell>
        </row>
        <row r="110">
          <cell r="E110">
            <v>2851</v>
          </cell>
        </row>
        <row r="111">
          <cell r="E111">
            <v>104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Table of Contents"/>
      <sheetName val="3. Rate Classes"/>
      <sheetName val="4. RRR Data"/>
      <sheetName val="5. UTRs and Sub-Transmission"/>
      <sheetName val="6. Historical Wholesale"/>
      <sheetName val="7. Current Wholesale"/>
      <sheetName val="8. Forecast Wholesale"/>
      <sheetName val="9. Adj Network to Current WS"/>
      <sheetName val="10. Adj Conn. to Current WS"/>
      <sheetName val="11. Adj Network to Forecast WS"/>
      <sheetName val="12. Adj Conn. to Forecast WS"/>
      <sheetName val="13. Final 2014 RTS Rates"/>
      <sheetName val="hidd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6">
          <cell r="F26">
            <v>6.9329011024536254E-3</v>
          </cell>
          <cell r="H26">
            <v>3.4069155934811405E-3</v>
          </cell>
        </row>
        <row r="27">
          <cell r="F27">
            <v>6.3996010176495012E-3</v>
          </cell>
          <cell r="H27">
            <v>3.1063053940563337E-3</v>
          </cell>
        </row>
        <row r="28">
          <cell r="F28">
            <v>2.6187167364221762</v>
          </cell>
          <cell r="H28">
            <v>1.2308985632447742</v>
          </cell>
        </row>
        <row r="29">
          <cell r="F29">
            <v>1.9749168740466359</v>
          </cell>
          <cell r="H29">
            <v>0.9514312811795127</v>
          </cell>
        </row>
        <row r="30">
          <cell r="F30">
            <v>1.9848362556239931</v>
          </cell>
          <cell r="H30">
            <v>0.97157216454097473</v>
          </cell>
        </row>
        <row r="31">
          <cell r="F31">
            <v>6.3996010176495021E-3</v>
          </cell>
          <cell r="H31">
            <v>3.1063053940563342E-3</v>
          </cell>
        </row>
      </sheetData>
      <sheetData sheetId="1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enue Input"/>
      <sheetName val="Transformer Allowance"/>
      <sheetName val="Forecast Data For 2014"/>
      <sheetName val="2013 Existing Rates"/>
      <sheetName val="2014 Test Yr On Existing Rates"/>
      <sheetName val="Cost Allocation Study"/>
      <sheetName val="Rates By Rate Class"/>
      <sheetName val="Allocation Low Voltage Costs"/>
      <sheetName val="Low Voltage Rates"/>
      <sheetName val="LRAM and SSM Rate Rider"/>
      <sheetName val="Distribution Rate Schedule"/>
      <sheetName val="BILL IMPACTS"/>
      <sheetName val="Rate Schedule "/>
      <sheetName val="Dist. Rev. Reconciliation"/>
      <sheetName val="Revenue Deficiency Analysis"/>
      <sheetName val="Appendix 2-O Table a"/>
      <sheetName val="Appendix 2-O Table b"/>
      <sheetName val="Appendix 2-O Table c"/>
      <sheetName val="Appendix 2-O Table 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F6">
            <v>3.7268770120381838E-3</v>
          </cell>
        </row>
        <row r="7">
          <cell r="F7">
            <v>1.3951524795321531E-3</v>
          </cell>
        </row>
        <row r="8">
          <cell r="G8">
            <v>4.3359435287798733E-3</v>
          </cell>
        </row>
        <row r="11">
          <cell r="G11">
            <v>3.9812717902985866E-6</v>
          </cell>
        </row>
        <row r="12">
          <cell r="G12">
            <v>5.7229524381892384E-5</v>
          </cell>
        </row>
        <row r="13">
          <cell r="F13">
            <v>1.5235692870710458E-5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Filter"/>
      <sheetName val="Allocation Methodology"/>
      <sheetName val="Summary - LDC"/>
      <sheetName val="Summary - Prov"/>
      <sheetName val="Annual Net Demand Savings - LDC"/>
      <sheetName val="Annual Net Energy Savings - LDC"/>
      <sheetName val="Annual Net Demand Savings -Prov"/>
      <sheetName val="Annual Net Energy Savings -Prov"/>
      <sheetName val="Initiative Level - LDC"/>
      <sheetName val="Initiative Level - Prov"/>
      <sheetName val="Measures - LDC"/>
      <sheetName val="Measures - Prov"/>
      <sheetName val="Local Distribution Companies"/>
    </sheetNames>
    <sheetDataSet>
      <sheetData sheetId="0"/>
      <sheetData sheetId="1"/>
      <sheetData sheetId="2">
        <row r="16">
          <cell r="A16" t="str">
            <v>Net Energy Savings (MWh)</v>
          </cell>
        </row>
        <row r="17">
          <cell r="A17" t="str">
            <v>#</v>
          </cell>
          <cell r="B17" t="str">
            <v>Program Year</v>
          </cell>
          <cell r="C17" t="str">
            <v>Results Status</v>
          </cell>
          <cell r="E17">
            <v>2006</v>
          </cell>
          <cell r="F17">
            <v>2007</v>
          </cell>
          <cell r="G17">
            <v>2008</v>
          </cell>
          <cell r="H17">
            <v>2009</v>
          </cell>
          <cell r="I17">
            <v>2010</v>
          </cell>
          <cell r="J17">
            <v>2011</v>
          </cell>
          <cell r="K17">
            <v>2012</v>
          </cell>
          <cell r="L17">
            <v>2013</v>
          </cell>
          <cell r="M17">
            <v>2014</v>
          </cell>
        </row>
        <row r="19">
          <cell r="A19">
            <v>1</v>
          </cell>
          <cell r="B19" t="str">
            <v>2006 Programs</v>
          </cell>
          <cell r="C19" t="str">
            <v>Final</v>
          </cell>
          <cell r="E19">
            <v>797.10865366579583</v>
          </cell>
          <cell r="F19">
            <v>797.10865366579583</v>
          </cell>
          <cell r="G19">
            <v>797.10865366579583</v>
          </cell>
          <cell r="H19">
            <v>797.10865366579583</v>
          </cell>
          <cell r="I19">
            <v>138.44012312312751</v>
          </cell>
          <cell r="J19">
            <v>138.44012312312751</v>
          </cell>
          <cell r="K19">
            <v>126.6350215243872</v>
          </cell>
          <cell r="L19">
            <v>126.6350215243872</v>
          </cell>
          <cell r="M19">
            <v>118.99311389435412</v>
          </cell>
        </row>
        <row r="20">
          <cell r="A20">
            <v>2</v>
          </cell>
          <cell r="B20" t="str">
            <v>2007 Programs</v>
          </cell>
          <cell r="C20" t="str">
            <v>Final</v>
          </cell>
          <cell r="E20">
            <v>0</v>
          </cell>
          <cell r="F20">
            <v>595.98747538246005</v>
          </cell>
          <cell r="G20">
            <v>428.53091978950545</v>
          </cell>
          <cell r="H20">
            <v>407.85482135501559</v>
          </cell>
          <cell r="I20">
            <v>407.85482135501559</v>
          </cell>
          <cell r="J20">
            <v>407.85482135501559</v>
          </cell>
          <cell r="K20">
            <v>396.46488063372146</v>
          </cell>
          <cell r="L20">
            <v>396.46488063372146</v>
          </cell>
          <cell r="M20">
            <v>396.46488063372146</v>
          </cell>
        </row>
        <row r="21">
          <cell r="A21">
            <v>3</v>
          </cell>
          <cell r="B21" t="str">
            <v>2008 Programs</v>
          </cell>
          <cell r="C21" t="str">
            <v>Final</v>
          </cell>
          <cell r="E21">
            <v>0</v>
          </cell>
          <cell r="F21">
            <v>0</v>
          </cell>
          <cell r="G21">
            <v>494.83887752636724</v>
          </cell>
          <cell r="H21">
            <v>432.47842443237806</v>
          </cell>
          <cell r="I21">
            <v>432.47842443237806</v>
          </cell>
          <cell r="J21">
            <v>432.47842443237806</v>
          </cell>
          <cell r="K21">
            <v>394.77755236369472</v>
          </cell>
          <cell r="L21">
            <v>394.67117236369467</v>
          </cell>
          <cell r="M21">
            <v>355.52305296794833</v>
          </cell>
        </row>
        <row r="22">
          <cell r="A22">
            <v>4</v>
          </cell>
          <cell r="B22" t="str">
            <v>2009 Programs</v>
          </cell>
          <cell r="C22" t="str">
            <v>Final</v>
          </cell>
          <cell r="E22">
            <v>0</v>
          </cell>
          <cell r="F22">
            <v>0</v>
          </cell>
          <cell r="G22">
            <v>0</v>
          </cell>
          <cell r="H22">
            <v>1049.6853246040957</v>
          </cell>
          <cell r="I22">
            <v>878.18280016383676</v>
          </cell>
          <cell r="J22">
            <v>878.18280016383676</v>
          </cell>
          <cell r="K22">
            <v>877.34951898279485</v>
          </cell>
          <cell r="L22">
            <v>853.62593328032369</v>
          </cell>
          <cell r="M22">
            <v>757.0914792959361</v>
          </cell>
        </row>
        <row r="23">
          <cell r="A23">
            <v>5</v>
          </cell>
          <cell r="B23" t="str">
            <v>2010 Programs</v>
          </cell>
          <cell r="C23" t="str">
            <v>Final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1511.0429163334884</v>
          </cell>
          <cell r="J23">
            <v>1208.6866832010287</v>
          </cell>
          <cell r="K23">
            <v>1207.5537536040188</v>
          </cell>
          <cell r="L23">
            <v>1207.0163719957059</v>
          </cell>
          <cell r="M23">
            <v>1179.6459548967086</v>
          </cell>
        </row>
        <row r="24">
          <cell r="A24" t="str">
            <v>Total</v>
          </cell>
          <cell r="E24">
            <v>797.10865366579583</v>
          </cell>
          <cell r="F24">
            <v>1393.096129048256</v>
          </cell>
          <cell r="G24">
            <v>1720.4784509816684</v>
          </cell>
          <cell r="H24">
            <v>2687.1272240572853</v>
          </cell>
          <cell r="I24">
            <v>3367.9990854078465</v>
          </cell>
          <cell r="J24">
            <v>3065.6428522753868</v>
          </cell>
          <cell r="K24">
            <v>3002.7807271086172</v>
          </cell>
          <cell r="L24">
            <v>2978.4133797978329</v>
          </cell>
          <cell r="M24">
            <v>2807.7184816886684</v>
          </cell>
        </row>
        <row r="36">
          <cell r="A36" t="str">
            <v>Gross Energy Savings (MWh)</v>
          </cell>
        </row>
        <row r="37">
          <cell r="A37" t="str">
            <v>#</v>
          </cell>
          <cell r="B37" t="str">
            <v>Program Year</v>
          </cell>
          <cell r="C37" t="str">
            <v>Results Status</v>
          </cell>
          <cell r="E37">
            <v>2006</v>
          </cell>
          <cell r="F37">
            <v>2007</v>
          </cell>
          <cell r="G37">
            <v>2008</v>
          </cell>
          <cell r="H37">
            <v>2009</v>
          </cell>
          <cell r="I37">
            <v>2010</v>
          </cell>
          <cell r="J37">
            <v>2011</v>
          </cell>
          <cell r="K37">
            <v>2012</v>
          </cell>
          <cell r="L37">
            <v>2013</v>
          </cell>
          <cell r="M37">
            <v>2014</v>
          </cell>
        </row>
        <row r="39">
          <cell r="A39">
            <v>1</v>
          </cell>
          <cell r="B39" t="str">
            <v>2006 Programs</v>
          </cell>
          <cell r="C39" t="str">
            <v>Final</v>
          </cell>
          <cell r="E39">
            <v>890.21387735693588</v>
          </cell>
          <cell r="F39">
            <v>890.21387735693588</v>
          </cell>
          <cell r="G39">
            <v>890.21387735693588</v>
          </cell>
          <cell r="H39">
            <v>890.21387735693588</v>
          </cell>
          <cell r="I39">
            <v>158.359954531749</v>
          </cell>
          <cell r="J39">
            <v>158.359954531749</v>
          </cell>
          <cell r="K39">
            <v>145.2431749775931</v>
          </cell>
          <cell r="L39">
            <v>145.2431749775931</v>
          </cell>
          <cell r="M39">
            <v>136.75216649977858</v>
          </cell>
        </row>
        <row r="40">
          <cell r="A40">
            <v>2</v>
          </cell>
          <cell r="B40" t="str">
            <v>2007 Programs</v>
          </cell>
          <cell r="C40" t="str">
            <v>Final</v>
          </cell>
          <cell r="E40">
            <v>0</v>
          </cell>
          <cell r="F40">
            <v>2267.7075585368802</v>
          </cell>
          <cell r="G40">
            <v>894.03092522592283</v>
          </cell>
          <cell r="H40">
            <v>721.73010493850734</v>
          </cell>
          <cell r="I40">
            <v>721.73010493850734</v>
          </cell>
          <cell r="J40">
            <v>721.73010493850734</v>
          </cell>
          <cell r="K40">
            <v>686.88008816923809</v>
          </cell>
          <cell r="L40">
            <v>686.88008816923809</v>
          </cell>
          <cell r="M40">
            <v>686.88008816923809</v>
          </cell>
        </row>
        <row r="41">
          <cell r="A41">
            <v>3</v>
          </cell>
          <cell r="B41" t="str">
            <v>2008 Programs</v>
          </cell>
          <cell r="C41" t="str">
            <v>Final</v>
          </cell>
          <cell r="E41">
            <v>0</v>
          </cell>
          <cell r="F41">
            <v>0</v>
          </cell>
          <cell r="G41">
            <v>1010.6954526039215</v>
          </cell>
          <cell r="H41">
            <v>928.62400686236356</v>
          </cell>
          <cell r="I41">
            <v>928.62400686236356</v>
          </cell>
          <cell r="J41">
            <v>928.62400686236356</v>
          </cell>
          <cell r="K41">
            <v>830.85135956999147</v>
          </cell>
          <cell r="L41">
            <v>830.55585956999141</v>
          </cell>
          <cell r="M41">
            <v>742.99318591401266</v>
          </cell>
        </row>
        <row r="42">
          <cell r="A42">
            <v>4</v>
          </cell>
          <cell r="B42" t="str">
            <v>2009 Programs</v>
          </cell>
          <cell r="C42" t="str">
            <v>Final</v>
          </cell>
          <cell r="E42">
            <v>0</v>
          </cell>
          <cell r="F42">
            <v>0</v>
          </cell>
          <cell r="G42">
            <v>0</v>
          </cell>
          <cell r="H42">
            <v>1600.3015374241286</v>
          </cell>
          <cell r="I42">
            <v>1405.3879617376972</v>
          </cell>
          <cell r="J42">
            <v>1405.3879617376972</v>
          </cell>
          <cell r="K42">
            <v>1403.4449092943528</v>
          </cell>
          <cell r="L42">
            <v>1357.1699303891419</v>
          </cell>
          <cell r="M42">
            <v>1177.0916745163904</v>
          </cell>
        </row>
        <row r="43">
          <cell r="A43">
            <v>5</v>
          </cell>
          <cell r="B43" t="str">
            <v>2010 Programs</v>
          </cell>
          <cell r="C43" t="str">
            <v>Final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2204.1709882669488</v>
          </cell>
          <cell r="J43">
            <v>1906.4832381358665</v>
          </cell>
          <cell r="K43">
            <v>1906.353850226744</v>
          </cell>
          <cell r="L43">
            <v>1904.8611235369856</v>
          </cell>
          <cell r="M43">
            <v>1851.2933635558793</v>
          </cell>
        </row>
        <row r="44">
          <cell r="A44" t="str">
            <v>Total</v>
          </cell>
          <cell r="E44">
            <v>890.21387735693588</v>
          </cell>
          <cell r="F44">
            <v>3157.9214358938161</v>
          </cell>
          <cell r="G44">
            <v>2794.9402551867802</v>
          </cell>
          <cell r="H44">
            <v>4140.8695265819351</v>
          </cell>
          <cell r="I44">
            <v>5418.2730163372653</v>
          </cell>
          <cell r="J44">
            <v>5120.5852662061834</v>
          </cell>
          <cell r="K44">
            <v>4972.7733822379196</v>
          </cell>
          <cell r="L44">
            <v>4924.7101766429496</v>
          </cell>
          <cell r="M44">
            <v>4595.0104786552993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"/>
    </sheetNames>
    <sheetDataSet>
      <sheetData sheetId="0">
        <row r="254">
          <cell r="F254">
            <v>1193607.0400498216</v>
          </cell>
          <cell r="M254">
            <v>99.0500283113401</v>
          </cell>
          <cell r="Q254">
            <v>115.77264354825456</v>
          </cell>
        </row>
        <row r="272">
          <cell r="F272">
            <v>1656414.4653786118</v>
          </cell>
          <cell r="M272">
            <v>572.30641182868078</v>
          </cell>
          <cell r="N272">
            <v>1424864.0299241068</v>
          </cell>
          <cell r="Q272">
            <v>590.27082403657425</v>
          </cell>
        </row>
        <row r="290">
          <cell r="F290">
            <v>240242.74798765205</v>
          </cell>
          <cell r="M290">
            <v>135.58582999999999</v>
          </cell>
          <cell r="N290">
            <v>1304686.8307315069</v>
          </cell>
          <cell r="Q290">
            <v>142.39221735592821</v>
          </cell>
        </row>
        <row r="291">
          <cell r="F291">
            <v>1421682.0877704159</v>
          </cell>
        </row>
        <row r="294">
          <cell r="F294">
            <v>4511946.3411865011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"/>
      <sheetName val="Copy of Orangeville Strategy Pl"/>
    </sheetNames>
    <sheetDataSet>
      <sheetData sheetId="0">
        <row r="254">
          <cell r="F254">
            <v>1193607.0400498216</v>
          </cell>
          <cell r="N254">
            <v>320621.32634267485</v>
          </cell>
          <cell r="R254">
            <v>167024.8932672363</v>
          </cell>
        </row>
        <row r="272">
          <cell r="R272">
            <v>679952.27910220774</v>
          </cell>
        </row>
        <row r="290">
          <cell r="R290">
            <v>652351.01605068485</v>
          </cell>
        </row>
      </sheetData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 HDD 2003"/>
      <sheetName val="Orangeville HDD 2004"/>
      <sheetName val="Orangeville HDD 2005"/>
      <sheetName val="Orangeville HDD 2006"/>
      <sheetName val="Orangeville HDD 2007"/>
      <sheetName val="Orangeville HDD 2008"/>
      <sheetName val="Orangeville HDD 2009 "/>
      <sheetName val="Orangeville HDD2010"/>
      <sheetName val="Orangeville HDD2011"/>
      <sheetName val="Orangeville HDD2012"/>
    </sheetNames>
    <sheetDataSet>
      <sheetData sheetId="0"/>
      <sheetData sheetId="1"/>
      <sheetData sheetId="2"/>
      <sheetData sheetId="3"/>
      <sheetData sheetId="4">
        <row r="396">
          <cell r="L396">
            <v>697.39999999999986</v>
          </cell>
          <cell r="N396">
            <v>0</v>
          </cell>
        </row>
        <row r="397">
          <cell r="L397">
            <v>781</v>
          </cell>
          <cell r="N397">
            <v>0</v>
          </cell>
        </row>
        <row r="398">
          <cell r="L398">
            <v>594.80000000000018</v>
          </cell>
          <cell r="N398">
            <v>0</v>
          </cell>
        </row>
        <row r="399">
          <cell r="L399">
            <v>427.99999999999989</v>
          </cell>
          <cell r="N399">
            <v>0</v>
          </cell>
        </row>
        <row r="400">
          <cell r="L400">
            <v>174.89999999999998</v>
          </cell>
          <cell r="N400">
            <v>12.100000000000001</v>
          </cell>
        </row>
        <row r="401">
          <cell r="L401">
            <v>45.800000000000004</v>
          </cell>
          <cell r="N401">
            <v>48.2</v>
          </cell>
        </row>
        <row r="402">
          <cell r="L402">
            <v>27.599999999999994</v>
          </cell>
          <cell r="N402">
            <v>56.599999999999987</v>
          </cell>
        </row>
        <row r="403">
          <cell r="L403">
            <v>24.6</v>
          </cell>
          <cell r="N403">
            <v>66.699999999999989</v>
          </cell>
        </row>
        <row r="404">
          <cell r="L404">
            <v>91.500000000000014</v>
          </cell>
          <cell r="N404">
            <v>21.6</v>
          </cell>
        </row>
        <row r="405">
          <cell r="L405">
            <v>193.4</v>
          </cell>
          <cell r="N405">
            <v>8.3000000000000007</v>
          </cell>
        </row>
        <row r="406">
          <cell r="L406">
            <v>535.70000000000005</v>
          </cell>
          <cell r="N406">
            <v>0</v>
          </cell>
        </row>
        <row r="407">
          <cell r="L407">
            <v>688.8</v>
          </cell>
          <cell r="N407">
            <v>0</v>
          </cell>
        </row>
      </sheetData>
      <sheetData sheetId="5">
        <row r="396">
          <cell r="L396">
            <v>669.5</v>
          </cell>
          <cell r="N396">
            <v>0</v>
          </cell>
        </row>
        <row r="397">
          <cell r="L397">
            <v>735.4</v>
          </cell>
          <cell r="N397">
            <v>0</v>
          </cell>
        </row>
        <row r="398">
          <cell r="L398">
            <v>689.8</v>
          </cell>
          <cell r="N398">
            <v>0</v>
          </cell>
        </row>
        <row r="399">
          <cell r="L399">
            <v>318.09999999999991</v>
          </cell>
          <cell r="N399">
            <v>0</v>
          </cell>
        </row>
        <row r="400">
          <cell r="L400">
            <v>255.79999999999998</v>
          </cell>
          <cell r="N400">
            <v>0</v>
          </cell>
        </row>
        <row r="401">
          <cell r="L401">
            <v>45.800000000000011</v>
          </cell>
          <cell r="N401">
            <v>44.8</v>
          </cell>
        </row>
        <row r="402">
          <cell r="L402">
            <v>10.099999999999998</v>
          </cell>
          <cell r="N402">
            <v>67.699999999999989</v>
          </cell>
        </row>
        <row r="403">
          <cell r="L403">
            <v>41.5</v>
          </cell>
          <cell r="N403">
            <v>32.799999999999997</v>
          </cell>
        </row>
        <row r="404">
          <cell r="L404">
            <v>100.80000000000001</v>
          </cell>
          <cell r="N404">
            <v>11.1</v>
          </cell>
        </row>
        <row r="405">
          <cell r="L405">
            <v>329.7</v>
          </cell>
          <cell r="N405">
            <v>0</v>
          </cell>
        </row>
        <row r="406">
          <cell r="L406">
            <v>500.7000000000001</v>
          </cell>
          <cell r="N406">
            <v>0</v>
          </cell>
        </row>
        <row r="407">
          <cell r="L407">
            <v>682.1</v>
          </cell>
          <cell r="N407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 HDD 2009 "/>
      <sheetName val="Orangeville HDD2010"/>
      <sheetName val="Orangeville HDD2011"/>
      <sheetName val="Orangeville HDD2012"/>
    </sheetNames>
    <sheetDataSet>
      <sheetData sheetId="0">
        <row r="396">
          <cell r="L396">
            <v>877</v>
          </cell>
          <cell r="N396">
            <v>0</v>
          </cell>
        </row>
        <row r="397">
          <cell r="L397">
            <v>689.19999999999993</v>
          </cell>
          <cell r="N397">
            <v>0</v>
          </cell>
        </row>
        <row r="398">
          <cell r="L398">
            <v>597.60000000000014</v>
          </cell>
          <cell r="N398">
            <v>0</v>
          </cell>
        </row>
        <row r="399">
          <cell r="L399">
            <v>368.39336726571935</v>
          </cell>
        </row>
        <row r="400">
          <cell r="L400">
            <v>207.29999999999993</v>
          </cell>
          <cell r="N400">
            <v>4.3</v>
          </cell>
        </row>
        <row r="401">
          <cell r="L401">
            <v>83.200000000000017</v>
          </cell>
          <cell r="N401">
            <v>16.899999999999999</v>
          </cell>
        </row>
        <row r="402">
          <cell r="L402">
            <v>43.500000000000007</v>
          </cell>
          <cell r="N402">
            <v>11.6</v>
          </cell>
        </row>
        <row r="403">
          <cell r="L403">
            <v>21.2</v>
          </cell>
          <cell r="N403">
            <v>54.29999999999999</v>
          </cell>
        </row>
        <row r="404">
          <cell r="L404">
            <v>118.60000000000001</v>
          </cell>
          <cell r="N404">
            <v>4.4000000000000004</v>
          </cell>
        </row>
        <row r="405">
          <cell r="L405">
            <v>355.59999999999997</v>
          </cell>
          <cell r="N405">
            <v>0</v>
          </cell>
        </row>
        <row r="406">
          <cell r="L406">
            <v>400.4</v>
          </cell>
          <cell r="N406">
            <v>0</v>
          </cell>
        </row>
        <row r="407">
          <cell r="L407">
            <v>690.2</v>
          </cell>
          <cell r="N407">
            <v>0</v>
          </cell>
        </row>
      </sheetData>
      <sheetData sheetId="1">
        <row r="396">
          <cell r="L396">
            <v>787.69999999999993</v>
          </cell>
          <cell r="N396">
            <v>0</v>
          </cell>
        </row>
        <row r="397">
          <cell r="L397">
            <v>665.69999999999993</v>
          </cell>
          <cell r="N397">
            <v>0</v>
          </cell>
        </row>
        <row r="398">
          <cell r="L398">
            <v>505.19999999999993</v>
          </cell>
          <cell r="N398">
            <v>0</v>
          </cell>
        </row>
        <row r="399">
          <cell r="L399">
            <v>265.09999999999997</v>
          </cell>
          <cell r="N399">
            <v>0</v>
          </cell>
        </row>
        <row r="400">
          <cell r="L400">
            <v>141.49999999999997</v>
          </cell>
          <cell r="N400">
            <v>16.100000000000001</v>
          </cell>
        </row>
        <row r="401">
          <cell r="L401">
            <v>46.900000000000006</v>
          </cell>
          <cell r="N401">
            <v>27.1</v>
          </cell>
        </row>
        <row r="402">
          <cell r="L402">
            <v>7.6000000000000005</v>
          </cell>
          <cell r="N402">
            <v>105.39999999999998</v>
          </cell>
        </row>
        <row r="403">
          <cell r="L403">
            <v>13.9</v>
          </cell>
          <cell r="N403">
            <v>80.399999999999991</v>
          </cell>
        </row>
        <row r="404">
          <cell r="L404">
            <v>128.60000000000002</v>
          </cell>
          <cell r="N404">
            <v>20.100000000000001</v>
          </cell>
        </row>
        <row r="405">
          <cell r="L405">
            <v>296.69999999999993</v>
          </cell>
          <cell r="N405">
            <v>0</v>
          </cell>
        </row>
        <row r="406">
          <cell r="L406">
            <v>474.39999999999992</v>
          </cell>
          <cell r="N406">
            <v>0</v>
          </cell>
        </row>
        <row r="407">
          <cell r="L407">
            <v>729.09999999999968</v>
          </cell>
          <cell r="N407">
            <v>0</v>
          </cell>
        </row>
      </sheetData>
      <sheetData sheetId="2">
        <row r="396">
          <cell r="L396">
            <v>872.49999999999977</v>
          </cell>
          <cell r="N396">
            <v>0</v>
          </cell>
        </row>
        <row r="397">
          <cell r="L397">
            <v>712.3</v>
          </cell>
          <cell r="N397">
            <v>0</v>
          </cell>
        </row>
        <row r="398">
          <cell r="L398">
            <v>645.49999999999989</v>
          </cell>
          <cell r="N398">
            <v>0</v>
          </cell>
        </row>
        <row r="399">
          <cell r="L399">
            <v>395.2999999999999</v>
          </cell>
          <cell r="N399">
            <v>0</v>
          </cell>
        </row>
        <row r="400">
          <cell r="L400">
            <v>192.99999999999994</v>
          </cell>
          <cell r="N400">
            <v>9.3999999999999986</v>
          </cell>
        </row>
        <row r="401">
          <cell r="L401">
            <v>65.600000000000023</v>
          </cell>
          <cell r="N401">
            <v>13.3</v>
          </cell>
        </row>
        <row r="402">
          <cell r="L402">
            <v>6.4</v>
          </cell>
          <cell r="N402">
            <v>99.899999999999977</v>
          </cell>
        </row>
        <row r="403">
          <cell r="L403">
            <v>17.5</v>
          </cell>
          <cell r="N403">
            <v>31.200000000000006</v>
          </cell>
        </row>
        <row r="404">
          <cell r="L404">
            <v>136.00000000000003</v>
          </cell>
          <cell r="N404">
            <v>16.8</v>
          </cell>
        </row>
        <row r="405">
          <cell r="L405">
            <v>306.39999999999992</v>
          </cell>
          <cell r="N405">
            <v>0</v>
          </cell>
        </row>
        <row r="406">
          <cell r="L406">
            <v>418.2999999999999</v>
          </cell>
          <cell r="N406">
            <v>0</v>
          </cell>
        </row>
        <row r="407">
          <cell r="L407">
            <v>625.20000000000005</v>
          </cell>
          <cell r="N407">
            <v>0</v>
          </cell>
        </row>
      </sheetData>
      <sheetData sheetId="3">
        <row r="396">
          <cell r="L396">
            <v>707.2</v>
          </cell>
          <cell r="N396">
            <v>0</v>
          </cell>
        </row>
        <row r="397">
          <cell r="L397">
            <v>626.69999999999982</v>
          </cell>
          <cell r="N397">
            <v>0</v>
          </cell>
        </row>
        <row r="398">
          <cell r="L398">
            <v>436.49999999999989</v>
          </cell>
          <cell r="N398">
            <v>0</v>
          </cell>
        </row>
        <row r="399">
          <cell r="L399">
            <v>411.99999999999989</v>
          </cell>
          <cell r="N399">
            <v>0</v>
          </cell>
        </row>
        <row r="400">
          <cell r="L400">
            <v>141.00000000000003</v>
          </cell>
          <cell r="N400">
            <v>6.8999999999999995</v>
          </cell>
        </row>
        <row r="401">
          <cell r="L401">
            <v>59.900000000000006</v>
          </cell>
          <cell r="N401">
            <v>48.699999999999996</v>
          </cell>
        </row>
        <row r="402">
          <cell r="L402">
            <v>1.2</v>
          </cell>
          <cell r="N402">
            <v>103.99999999999999</v>
          </cell>
        </row>
        <row r="403">
          <cell r="L403">
            <v>21</v>
          </cell>
          <cell r="N403">
            <v>51.699999999999989</v>
          </cell>
        </row>
        <row r="404">
          <cell r="L404">
            <v>136.70000000000002</v>
          </cell>
          <cell r="N404">
            <v>9.6999999999999993</v>
          </cell>
        </row>
        <row r="405">
          <cell r="L405">
            <v>301.39999999999992</v>
          </cell>
          <cell r="N405">
            <v>0</v>
          </cell>
        </row>
        <row r="406">
          <cell r="L406">
            <v>474.09999999999997</v>
          </cell>
          <cell r="N406">
            <v>0</v>
          </cell>
        </row>
        <row r="407">
          <cell r="L407">
            <v>596.59999999999991</v>
          </cell>
          <cell r="N407">
            <v>0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 Rates"/>
      <sheetName val="Revised"/>
      <sheetName val="Sheet3"/>
    </sheetNames>
    <sheetDataSet>
      <sheetData sheetId="0">
        <row r="4">
          <cell r="D4">
            <v>8981</v>
          </cell>
          <cell r="G4">
            <v>9164</v>
          </cell>
          <cell r="J4">
            <v>9392</v>
          </cell>
        </row>
        <row r="5">
          <cell r="D5">
            <v>964</v>
          </cell>
          <cell r="G5">
            <v>979</v>
          </cell>
          <cell r="J5">
            <v>986</v>
          </cell>
        </row>
        <row r="6">
          <cell r="D6">
            <v>141</v>
          </cell>
          <cell r="G6">
            <v>145</v>
          </cell>
          <cell r="J6">
            <v>146</v>
          </cell>
        </row>
        <row r="16">
          <cell r="D16">
            <v>9458</v>
          </cell>
          <cell r="G16">
            <v>9507</v>
          </cell>
          <cell r="J16">
            <v>9587</v>
          </cell>
        </row>
        <row r="17">
          <cell r="D17">
            <v>985</v>
          </cell>
          <cell r="G17">
            <v>1002</v>
          </cell>
          <cell r="J17">
            <v>1057</v>
          </cell>
        </row>
        <row r="18">
          <cell r="D18">
            <v>130</v>
          </cell>
          <cell r="G18">
            <v>129</v>
          </cell>
          <cell r="J18">
            <v>132</v>
          </cell>
        </row>
        <row r="28">
          <cell r="D28">
            <v>9650</v>
          </cell>
        </row>
        <row r="29">
          <cell r="D29">
            <v>1064</v>
          </cell>
        </row>
        <row r="30">
          <cell r="D30">
            <v>132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irections"/>
      <sheetName val="Wholesale + Generation"/>
      <sheetName val="101706"/>
      <sheetName val="RCB"/>
      <sheetName val="% of Purchased by class"/>
      <sheetName val="Loss Factors"/>
      <sheetName val="% power purchased"/>
      <sheetName val="H1 LT - included in power Purch"/>
      <sheetName val="IESO calculated from 4705 rec"/>
    </sheetNames>
    <sheetDataSet>
      <sheetData sheetId="0" refreshError="1">
        <row r="9">
          <cell r="D9">
            <v>11724403.133333333</v>
          </cell>
        </row>
        <row r="10">
          <cell r="J10">
            <v>4986</v>
          </cell>
          <cell r="R10">
            <v>573</v>
          </cell>
          <cell r="CR10">
            <v>48</v>
          </cell>
          <cell r="CT10">
            <v>4843401.3999999994</v>
          </cell>
        </row>
        <row r="11">
          <cell r="J11">
            <v>4986</v>
          </cell>
          <cell r="R11">
            <v>573</v>
          </cell>
          <cell r="CR11">
            <v>51</v>
          </cell>
          <cell r="CT11">
            <v>4964308.5199999996</v>
          </cell>
        </row>
        <row r="12">
          <cell r="J12">
            <v>4986</v>
          </cell>
          <cell r="R12">
            <v>573</v>
          </cell>
          <cell r="CR12">
            <v>51</v>
          </cell>
          <cell r="CT12">
            <v>5208532.4800000004</v>
          </cell>
        </row>
        <row r="13">
          <cell r="J13">
            <v>4986</v>
          </cell>
          <cell r="R13">
            <v>573</v>
          </cell>
          <cell r="CR13">
            <v>51</v>
          </cell>
          <cell r="CT13">
            <v>4736911.07</v>
          </cell>
        </row>
        <row r="14">
          <cell r="J14">
            <v>4986</v>
          </cell>
          <cell r="R14">
            <v>573</v>
          </cell>
          <cell r="CR14">
            <v>51</v>
          </cell>
          <cell r="CT14">
            <v>4652837.08</v>
          </cell>
        </row>
        <row r="15">
          <cell r="J15">
            <v>4986</v>
          </cell>
          <cell r="R15">
            <v>573</v>
          </cell>
          <cell r="CR15">
            <v>51</v>
          </cell>
          <cell r="CT15">
            <v>4554846.22</v>
          </cell>
        </row>
        <row r="16">
          <cell r="J16">
            <v>4986</v>
          </cell>
          <cell r="R16">
            <v>573</v>
          </cell>
          <cell r="CR16">
            <v>51</v>
          </cell>
          <cell r="CT16">
            <v>4634143.49</v>
          </cell>
        </row>
        <row r="17">
          <cell r="J17">
            <v>5010</v>
          </cell>
          <cell r="R17">
            <v>576</v>
          </cell>
          <cell r="CR17">
            <v>51</v>
          </cell>
          <cell r="CT17">
            <v>5831902.4199999999</v>
          </cell>
        </row>
        <row r="18">
          <cell r="J18">
            <v>5034</v>
          </cell>
          <cell r="R18">
            <v>579</v>
          </cell>
          <cell r="CR18">
            <v>51</v>
          </cell>
          <cell r="CT18">
            <v>5311144.13</v>
          </cell>
        </row>
        <row r="19">
          <cell r="J19">
            <v>5047</v>
          </cell>
          <cell r="R19">
            <v>582</v>
          </cell>
          <cell r="CR19">
            <v>51</v>
          </cell>
          <cell r="CT19">
            <v>4970084.38</v>
          </cell>
        </row>
        <row r="20">
          <cell r="J20">
            <v>5059</v>
          </cell>
          <cell r="R20">
            <v>585</v>
          </cell>
          <cell r="CR20">
            <v>51</v>
          </cell>
          <cell r="CT20">
            <v>5512684.1400000006</v>
          </cell>
        </row>
        <row r="21">
          <cell r="J21">
            <v>5071</v>
          </cell>
          <cell r="R21">
            <v>588</v>
          </cell>
          <cell r="CR21">
            <v>51</v>
          </cell>
          <cell r="CT21">
            <v>5380352.0099999998</v>
          </cell>
        </row>
        <row r="22">
          <cell r="J22">
            <v>5082</v>
          </cell>
          <cell r="R22">
            <v>591</v>
          </cell>
          <cell r="CR22">
            <v>51</v>
          </cell>
          <cell r="CT22">
            <v>5217936.76</v>
          </cell>
        </row>
        <row r="23">
          <cell r="J23">
            <v>5094</v>
          </cell>
          <cell r="R23">
            <v>594</v>
          </cell>
          <cell r="CR23">
            <v>51</v>
          </cell>
          <cell r="CT23">
            <v>5439350.3499999996</v>
          </cell>
        </row>
        <row r="24">
          <cell r="J24">
            <v>5106</v>
          </cell>
          <cell r="R24">
            <v>597</v>
          </cell>
          <cell r="CR24">
            <v>51</v>
          </cell>
          <cell r="CT24">
            <v>5138932.1399999997</v>
          </cell>
        </row>
        <row r="25">
          <cell r="J25">
            <v>5118</v>
          </cell>
          <cell r="R25">
            <v>600</v>
          </cell>
          <cell r="CR25">
            <v>51</v>
          </cell>
          <cell r="CT25">
            <v>4419434</v>
          </cell>
        </row>
        <row r="26">
          <cell r="J26">
            <v>5126</v>
          </cell>
          <cell r="R26">
            <v>603</v>
          </cell>
          <cell r="CR26">
            <v>51</v>
          </cell>
          <cell r="CT26">
            <v>5248324.68</v>
          </cell>
        </row>
        <row r="27">
          <cell r="J27">
            <v>5149</v>
          </cell>
          <cell r="R27">
            <v>606</v>
          </cell>
          <cell r="CR27">
            <v>51</v>
          </cell>
          <cell r="CT27">
            <v>5261860.37</v>
          </cell>
        </row>
        <row r="28">
          <cell r="J28">
            <v>5163</v>
          </cell>
          <cell r="R28">
            <v>609</v>
          </cell>
          <cell r="CR28">
            <v>51</v>
          </cell>
          <cell r="CT28">
            <v>5282926.21</v>
          </cell>
        </row>
        <row r="29">
          <cell r="J29">
            <v>5164</v>
          </cell>
          <cell r="R29">
            <v>613</v>
          </cell>
          <cell r="CR29">
            <v>52</v>
          </cell>
          <cell r="CT29">
            <v>5646726.4700000007</v>
          </cell>
        </row>
        <row r="30">
          <cell r="J30">
            <v>5181</v>
          </cell>
          <cell r="R30">
            <v>611</v>
          </cell>
          <cell r="CR30">
            <v>51</v>
          </cell>
          <cell r="CT30">
            <v>5176038.71</v>
          </cell>
        </row>
        <row r="31">
          <cell r="J31">
            <v>5197</v>
          </cell>
          <cell r="R31">
            <v>612</v>
          </cell>
          <cell r="CR31">
            <v>51</v>
          </cell>
          <cell r="CT31">
            <v>4877727.29</v>
          </cell>
        </row>
        <row r="32">
          <cell r="J32">
            <v>5203</v>
          </cell>
          <cell r="R32">
            <v>612</v>
          </cell>
          <cell r="CR32">
            <v>50</v>
          </cell>
          <cell r="CT32">
            <v>5052723.45</v>
          </cell>
        </row>
        <row r="33">
          <cell r="J33">
            <v>5216</v>
          </cell>
          <cell r="R33">
            <v>614</v>
          </cell>
          <cell r="CR33">
            <v>50</v>
          </cell>
          <cell r="CT33">
            <v>5338005.51</v>
          </cell>
        </row>
        <row r="34">
          <cell r="J34">
            <v>5226</v>
          </cell>
          <cell r="R34">
            <v>615</v>
          </cell>
          <cell r="CR34">
            <v>50</v>
          </cell>
          <cell r="CT34">
            <v>5320615.6999999993</v>
          </cell>
        </row>
        <row r="35">
          <cell r="J35">
            <v>5251</v>
          </cell>
          <cell r="R35">
            <v>622</v>
          </cell>
          <cell r="CR35">
            <v>44</v>
          </cell>
          <cell r="CT35">
            <v>5334938.8</v>
          </cell>
        </row>
        <row r="36">
          <cell r="J36">
            <v>5254</v>
          </cell>
          <cell r="R36">
            <v>621</v>
          </cell>
          <cell r="CR36">
            <v>50</v>
          </cell>
          <cell r="CT36">
            <v>5639271.0700000003</v>
          </cell>
        </row>
        <row r="37">
          <cell r="J37">
            <v>5268</v>
          </cell>
          <cell r="R37">
            <v>620</v>
          </cell>
          <cell r="CR37">
            <v>50</v>
          </cell>
          <cell r="CT37">
            <v>5627647.21</v>
          </cell>
        </row>
        <row r="38">
          <cell r="J38">
            <v>5280</v>
          </cell>
          <cell r="R38">
            <v>620</v>
          </cell>
          <cell r="CR38">
            <v>51</v>
          </cell>
          <cell r="CT38">
            <v>5291026.09</v>
          </cell>
        </row>
        <row r="39">
          <cell r="J39">
            <v>5294</v>
          </cell>
          <cell r="R39">
            <v>622</v>
          </cell>
          <cell r="CR39">
            <v>52</v>
          </cell>
          <cell r="CT39">
            <v>5523064.0999999996</v>
          </cell>
        </row>
        <row r="40">
          <cell r="J40">
            <v>5319</v>
          </cell>
          <cell r="R40">
            <v>627</v>
          </cell>
          <cell r="CR40">
            <v>54</v>
          </cell>
          <cell r="CT40">
            <v>5882976.4600000009</v>
          </cell>
        </row>
        <row r="41">
          <cell r="J41">
            <v>5321</v>
          </cell>
          <cell r="R41">
            <v>627</v>
          </cell>
          <cell r="CR41">
            <v>54</v>
          </cell>
          <cell r="CT41">
            <v>5416459.29</v>
          </cell>
        </row>
        <row r="42">
          <cell r="J42">
            <v>5325</v>
          </cell>
          <cell r="R42">
            <v>626</v>
          </cell>
          <cell r="CR42">
            <v>53</v>
          </cell>
          <cell r="CT42">
            <v>5733803.1699999999</v>
          </cell>
        </row>
        <row r="43">
          <cell r="J43">
            <v>5336</v>
          </cell>
          <cell r="R43">
            <v>621</v>
          </cell>
          <cell r="CR43">
            <v>53</v>
          </cell>
          <cell r="CT43">
            <v>5188433.16</v>
          </cell>
        </row>
        <row r="44">
          <cell r="J44">
            <v>5343</v>
          </cell>
          <cell r="R44">
            <v>621</v>
          </cell>
          <cell r="CR44">
            <v>51</v>
          </cell>
          <cell r="CT44">
            <v>4911190.78</v>
          </cell>
        </row>
        <row r="45">
          <cell r="J45">
            <v>5350</v>
          </cell>
          <cell r="R45">
            <v>622</v>
          </cell>
          <cell r="CR45">
            <v>52</v>
          </cell>
          <cell r="CT45">
            <v>4916161.99</v>
          </cell>
        </row>
        <row r="46">
          <cell r="J46">
            <v>5360</v>
          </cell>
          <cell r="R46">
            <v>622</v>
          </cell>
          <cell r="CR46">
            <v>51</v>
          </cell>
          <cell r="CT46">
            <v>5204983.3499999996</v>
          </cell>
        </row>
        <row r="47">
          <cell r="J47">
            <v>5364</v>
          </cell>
          <cell r="R47">
            <v>622</v>
          </cell>
          <cell r="CR47">
            <v>51</v>
          </cell>
          <cell r="CT47">
            <v>5071710.47</v>
          </cell>
        </row>
        <row r="48">
          <cell r="J48">
            <v>5371</v>
          </cell>
          <cell r="R48">
            <v>623</v>
          </cell>
          <cell r="CR48">
            <v>51</v>
          </cell>
          <cell r="CT48">
            <v>5408583.5099999998</v>
          </cell>
        </row>
        <row r="49">
          <cell r="J49">
            <v>5385</v>
          </cell>
          <cell r="R49">
            <v>621</v>
          </cell>
          <cell r="CR49">
            <v>51</v>
          </cell>
          <cell r="CT49">
            <v>5473435.2999999998</v>
          </cell>
        </row>
        <row r="50">
          <cell r="J50">
            <v>5401</v>
          </cell>
          <cell r="R50">
            <v>621</v>
          </cell>
          <cell r="CR50">
            <v>51</v>
          </cell>
          <cell r="CT50">
            <v>5173285.620000001</v>
          </cell>
        </row>
        <row r="51">
          <cell r="J51">
            <v>5404</v>
          </cell>
          <cell r="R51">
            <v>622</v>
          </cell>
          <cell r="CR51">
            <v>51</v>
          </cell>
          <cell r="CT51">
            <v>5132287.2</v>
          </cell>
        </row>
        <row r="52">
          <cell r="J52">
            <v>5409</v>
          </cell>
          <cell r="R52">
            <v>624</v>
          </cell>
          <cell r="CR52">
            <v>51</v>
          </cell>
          <cell r="CT52">
            <v>4749649.72</v>
          </cell>
        </row>
        <row r="53">
          <cell r="J53">
            <v>5409</v>
          </cell>
          <cell r="R53">
            <v>623</v>
          </cell>
          <cell r="CR53">
            <v>52</v>
          </cell>
          <cell r="CT53">
            <v>5326921.01</v>
          </cell>
        </row>
        <row r="54">
          <cell r="J54">
            <v>5417</v>
          </cell>
          <cell r="R54">
            <v>623</v>
          </cell>
          <cell r="CR54">
            <v>54</v>
          </cell>
          <cell r="CT54">
            <v>4342101.26</v>
          </cell>
        </row>
        <row r="55">
          <cell r="J55">
            <v>5418</v>
          </cell>
          <cell r="R55">
            <v>622</v>
          </cell>
          <cell r="CR55">
            <v>54</v>
          </cell>
          <cell r="CT55">
            <v>5578944.3499999996</v>
          </cell>
        </row>
        <row r="56">
          <cell r="J56">
            <v>5422</v>
          </cell>
          <cell r="R56">
            <v>628</v>
          </cell>
          <cell r="CR56">
            <v>54</v>
          </cell>
          <cell r="CT56">
            <v>5076820.2</v>
          </cell>
        </row>
        <row r="57">
          <cell r="J57">
            <v>5429</v>
          </cell>
          <cell r="R57">
            <v>626</v>
          </cell>
          <cell r="CR57">
            <v>53</v>
          </cell>
          <cell r="CT57">
            <v>5306762.93</v>
          </cell>
        </row>
        <row r="58">
          <cell r="J58">
            <v>5430</v>
          </cell>
          <cell r="R58">
            <v>637</v>
          </cell>
          <cell r="CR58">
            <v>53</v>
          </cell>
          <cell r="CT58">
            <v>5358384.63</v>
          </cell>
        </row>
        <row r="59">
          <cell r="J59">
            <v>5434</v>
          </cell>
          <cell r="R59">
            <v>638</v>
          </cell>
          <cell r="CR59">
            <v>53</v>
          </cell>
          <cell r="CT59">
            <v>5326927.4499999993</v>
          </cell>
        </row>
        <row r="60">
          <cell r="J60">
            <v>5437</v>
          </cell>
          <cell r="R60">
            <v>638</v>
          </cell>
          <cell r="CR60">
            <v>53</v>
          </cell>
          <cell r="CT60">
            <v>5711093.0500000007</v>
          </cell>
        </row>
        <row r="61">
          <cell r="J61">
            <v>5436</v>
          </cell>
          <cell r="R61">
            <v>638</v>
          </cell>
          <cell r="CR61">
            <v>54</v>
          </cell>
          <cell r="CT61">
            <v>5117143.32</v>
          </cell>
        </row>
        <row r="62">
          <cell r="J62">
            <v>5439</v>
          </cell>
          <cell r="R62">
            <v>639</v>
          </cell>
          <cell r="CR62">
            <v>54</v>
          </cell>
          <cell r="CT62">
            <v>5315238.08</v>
          </cell>
        </row>
        <row r="63">
          <cell r="J63">
            <v>5467</v>
          </cell>
          <cell r="R63">
            <v>639</v>
          </cell>
          <cell r="CR63">
            <v>54</v>
          </cell>
          <cell r="CT63">
            <v>5350541.74</v>
          </cell>
        </row>
        <row r="64">
          <cell r="J64">
            <v>5466</v>
          </cell>
          <cell r="R64">
            <v>639</v>
          </cell>
          <cell r="CR64">
            <v>54</v>
          </cell>
          <cell r="CT64">
            <v>5127576.12</v>
          </cell>
        </row>
        <row r="65">
          <cell r="J65">
            <v>5472</v>
          </cell>
          <cell r="R65">
            <v>640</v>
          </cell>
          <cell r="CR65">
            <v>54</v>
          </cell>
          <cell r="CT65">
            <v>5730787.2400000002</v>
          </cell>
        </row>
        <row r="66">
          <cell r="J66">
            <v>5477</v>
          </cell>
          <cell r="R66">
            <v>642</v>
          </cell>
          <cell r="CR66">
            <v>53</v>
          </cell>
          <cell r="CT66">
            <v>5204196.3100000005</v>
          </cell>
        </row>
        <row r="67">
          <cell r="J67">
            <v>5472</v>
          </cell>
          <cell r="R67">
            <v>665</v>
          </cell>
          <cell r="CR67">
            <v>53</v>
          </cell>
          <cell r="CT67">
            <v>5478827.7400000002</v>
          </cell>
        </row>
        <row r="68">
          <cell r="J68">
            <v>5477</v>
          </cell>
          <cell r="R68">
            <v>662</v>
          </cell>
          <cell r="CR68">
            <v>52</v>
          </cell>
          <cell r="CT68">
            <v>4925344.0200000005</v>
          </cell>
        </row>
        <row r="69">
          <cell r="J69">
            <v>5480</v>
          </cell>
          <cell r="R69">
            <v>663</v>
          </cell>
          <cell r="CR69">
            <v>52</v>
          </cell>
          <cell r="CT69">
            <v>4950939.18</v>
          </cell>
        </row>
        <row r="70">
          <cell r="J70">
            <v>5492</v>
          </cell>
          <cell r="R70">
            <v>667</v>
          </cell>
          <cell r="CR70">
            <v>53</v>
          </cell>
          <cell r="CT70">
            <v>5038152.8800000008</v>
          </cell>
        </row>
        <row r="71">
          <cell r="J71">
            <v>5495</v>
          </cell>
          <cell r="R71">
            <v>667</v>
          </cell>
          <cell r="CR71">
            <v>53</v>
          </cell>
          <cell r="CT71">
            <v>4787520.46</v>
          </cell>
        </row>
        <row r="72">
          <cell r="J72">
            <v>5501</v>
          </cell>
          <cell r="R72">
            <v>667</v>
          </cell>
          <cell r="CR72">
            <v>54</v>
          </cell>
          <cell r="CT72">
            <v>5008395.5599999996</v>
          </cell>
        </row>
        <row r="73">
          <cell r="J73">
            <v>5510</v>
          </cell>
          <cell r="R73">
            <v>669</v>
          </cell>
          <cell r="CR73">
            <v>54</v>
          </cell>
          <cell r="CT73">
            <v>4905752.13</v>
          </cell>
        </row>
        <row r="74">
          <cell r="J74">
            <v>5510</v>
          </cell>
          <cell r="R74">
            <v>667</v>
          </cell>
          <cell r="CR74">
            <v>54</v>
          </cell>
          <cell r="CT74">
            <v>5174567.12</v>
          </cell>
        </row>
        <row r="75">
          <cell r="J75">
            <v>5513</v>
          </cell>
          <cell r="R75">
            <v>668</v>
          </cell>
          <cell r="CR75">
            <v>54</v>
          </cell>
          <cell r="CT75">
            <v>5124865.54</v>
          </cell>
        </row>
        <row r="76">
          <cell r="J76">
            <v>5510</v>
          </cell>
          <cell r="R76">
            <v>671</v>
          </cell>
          <cell r="CR76">
            <v>54</v>
          </cell>
          <cell r="CT76">
            <v>4947199.49</v>
          </cell>
        </row>
        <row r="77">
          <cell r="J77">
            <v>5512</v>
          </cell>
          <cell r="R77">
            <v>672</v>
          </cell>
          <cell r="CR77">
            <v>55</v>
          </cell>
          <cell r="CT77">
            <v>7516255.3200000003</v>
          </cell>
        </row>
        <row r="78">
          <cell r="J78">
            <v>5522</v>
          </cell>
          <cell r="R78">
            <v>673</v>
          </cell>
          <cell r="CR78">
            <v>55</v>
          </cell>
          <cell r="CT78">
            <v>5022592.38</v>
          </cell>
        </row>
        <row r="79">
          <cell r="J79">
            <v>5523</v>
          </cell>
          <cell r="R79">
            <v>676</v>
          </cell>
          <cell r="CR79">
            <v>54</v>
          </cell>
          <cell r="CT79">
            <v>5716428.3399999999</v>
          </cell>
        </row>
        <row r="80">
          <cell r="J80">
            <v>5524</v>
          </cell>
          <cell r="R80">
            <v>672</v>
          </cell>
          <cell r="CR80">
            <v>58</v>
          </cell>
          <cell r="CT80">
            <v>5351170.6399999997</v>
          </cell>
        </row>
        <row r="81">
          <cell r="J81">
            <v>5530</v>
          </cell>
          <cell r="R81">
            <v>672</v>
          </cell>
          <cell r="CR81">
            <v>58</v>
          </cell>
          <cell r="CT81">
            <v>5274780.21</v>
          </cell>
        </row>
        <row r="82">
          <cell r="J82">
            <v>5530</v>
          </cell>
          <cell r="R82">
            <v>674</v>
          </cell>
          <cell r="CR82">
            <v>58</v>
          </cell>
          <cell r="CT82">
            <v>5489928.6099999994</v>
          </cell>
        </row>
        <row r="83">
          <cell r="J83">
            <v>5537</v>
          </cell>
          <cell r="R83">
            <v>675</v>
          </cell>
          <cell r="CR83">
            <v>58</v>
          </cell>
          <cell r="CT83">
            <v>5505551.4299999997</v>
          </cell>
        </row>
        <row r="84">
          <cell r="J84">
            <v>5545</v>
          </cell>
          <cell r="R84">
            <v>676</v>
          </cell>
          <cell r="CR84">
            <v>58</v>
          </cell>
          <cell r="CT84">
            <v>5569239.6799999997</v>
          </cell>
        </row>
        <row r="85">
          <cell r="J85">
            <v>5546</v>
          </cell>
          <cell r="R85">
            <v>676</v>
          </cell>
          <cell r="CR85">
            <v>59</v>
          </cell>
          <cell r="CT85">
            <v>5399515.9199999999</v>
          </cell>
        </row>
        <row r="86">
          <cell r="J86">
            <v>5556</v>
          </cell>
          <cell r="R86">
            <v>680</v>
          </cell>
          <cell r="CR86">
            <v>59</v>
          </cell>
          <cell r="CT86">
            <v>5552895.1399999997</v>
          </cell>
        </row>
        <row r="87">
          <cell r="J87">
            <v>5559</v>
          </cell>
          <cell r="R87">
            <v>682</v>
          </cell>
          <cell r="CR87">
            <v>59</v>
          </cell>
          <cell r="CT87">
            <v>5353309.32</v>
          </cell>
        </row>
        <row r="88">
          <cell r="J88">
            <v>5562</v>
          </cell>
          <cell r="R88">
            <v>685</v>
          </cell>
          <cell r="CR88">
            <v>59</v>
          </cell>
          <cell r="CT88">
            <v>5147153.4000000004</v>
          </cell>
        </row>
        <row r="89">
          <cell r="J89">
            <v>5565</v>
          </cell>
          <cell r="R89">
            <v>686</v>
          </cell>
          <cell r="CR89">
            <v>59</v>
          </cell>
          <cell r="CT89">
            <v>5517120.4900000002</v>
          </cell>
        </row>
        <row r="90">
          <cell r="J90">
            <v>5575</v>
          </cell>
          <cell r="R90">
            <v>682</v>
          </cell>
          <cell r="CR90">
            <v>59</v>
          </cell>
          <cell r="CT90">
            <v>4983742.6500000004</v>
          </cell>
        </row>
        <row r="91">
          <cell r="J91">
            <v>5569</v>
          </cell>
          <cell r="R91">
            <v>689</v>
          </cell>
          <cell r="CR91">
            <v>58</v>
          </cell>
          <cell r="CT91">
            <v>5208108.6300000008</v>
          </cell>
        </row>
        <row r="92">
          <cell r="J92">
            <v>5572</v>
          </cell>
          <cell r="R92">
            <v>688</v>
          </cell>
          <cell r="CR92">
            <v>58</v>
          </cell>
          <cell r="CT92">
            <v>5059748.74</v>
          </cell>
        </row>
        <row r="93">
          <cell r="J93">
            <v>5573</v>
          </cell>
          <cell r="R93">
            <v>689</v>
          </cell>
          <cell r="CR93">
            <v>58</v>
          </cell>
          <cell r="CT93">
            <v>5014653.33</v>
          </cell>
        </row>
        <row r="94">
          <cell r="J94">
            <v>5576</v>
          </cell>
          <cell r="R94">
            <v>691</v>
          </cell>
          <cell r="CR94">
            <v>60</v>
          </cell>
          <cell r="CT94">
            <v>5096481.6099999994</v>
          </cell>
        </row>
        <row r="95">
          <cell r="J95">
            <v>5584</v>
          </cell>
          <cell r="R95">
            <v>694</v>
          </cell>
          <cell r="CR95">
            <v>60</v>
          </cell>
          <cell r="CT95">
            <v>5015960.82</v>
          </cell>
        </row>
        <row r="96">
          <cell r="J96">
            <v>5587</v>
          </cell>
          <cell r="R96">
            <v>693</v>
          </cell>
          <cell r="CR96">
            <v>61</v>
          </cell>
          <cell r="CT96">
            <v>5285812.55</v>
          </cell>
        </row>
        <row r="97">
          <cell r="J97">
            <v>5593</v>
          </cell>
          <cell r="R97">
            <v>696</v>
          </cell>
          <cell r="CR97">
            <v>61</v>
          </cell>
          <cell r="CT97">
            <v>5277097.6399999997</v>
          </cell>
        </row>
        <row r="98">
          <cell r="J98">
            <v>5599</v>
          </cell>
          <cell r="R98">
            <v>699</v>
          </cell>
          <cell r="CR98">
            <v>62</v>
          </cell>
          <cell r="CT98">
            <v>5260474.74</v>
          </cell>
        </row>
        <row r="99">
          <cell r="J99">
            <v>5602</v>
          </cell>
          <cell r="R99">
            <v>700</v>
          </cell>
          <cell r="CR99">
            <v>62</v>
          </cell>
          <cell r="CT99">
            <v>5388339.9100000001</v>
          </cell>
        </row>
        <row r="100">
          <cell r="J100">
            <v>5603</v>
          </cell>
          <cell r="R100">
            <v>701</v>
          </cell>
          <cell r="CR100">
            <v>62</v>
          </cell>
          <cell r="CT100">
            <v>5299573.92</v>
          </cell>
        </row>
        <row r="101">
          <cell r="J101">
            <v>5602</v>
          </cell>
          <cell r="R101">
            <v>702</v>
          </cell>
          <cell r="CR101">
            <v>62</v>
          </cell>
          <cell r="CT101">
            <v>5555439.0600000005</v>
          </cell>
        </row>
        <row r="102">
          <cell r="J102">
            <v>5611</v>
          </cell>
          <cell r="R102">
            <v>704</v>
          </cell>
          <cell r="CR102">
            <v>60</v>
          </cell>
          <cell r="CT102">
            <v>5013773.95</v>
          </cell>
        </row>
        <row r="103">
          <cell r="J103">
            <v>5615</v>
          </cell>
          <cell r="R103">
            <v>707</v>
          </cell>
          <cell r="CR103">
            <v>60</v>
          </cell>
          <cell r="CT103">
            <v>6205384.9399999995</v>
          </cell>
        </row>
        <row r="104">
          <cell r="J104">
            <v>5620</v>
          </cell>
          <cell r="R104">
            <v>706</v>
          </cell>
          <cell r="CR104">
            <v>60</v>
          </cell>
          <cell r="CT104">
            <v>5049381.8100000005</v>
          </cell>
        </row>
        <row r="105">
          <cell r="J105">
            <v>5626</v>
          </cell>
          <cell r="R105">
            <v>705</v>
          </cell>
          <cell r="CR105">
            <v>60</v>
          </cell>
          <cell r="CT105">
            <v>5353724.9700000007</v>
          </cell>
        </row>
        <row r="106">
          <cell r="J106">
            <v>5627</v>
          </cell>
          <cell r="R106">
            <v>705</v>
          </cell>
          <cell r="CR106">
            <v>60</v>
          </cell>
          <cell r="CT106">
            <v>5394851.75</v>
          </cell>
        </row>
        <row r="107">
          <cell r="J107">
            <v>5631</v>
          </cell>
          <cell r="R107">
            <v>706</v>
          </cell>
          <cell r="CR107">
            <v>60</v>
          </cell>
          <cell r="CT107">
            <v>5369307.0199999996</v>
          </cell>
        </row>
        <row r="108">
          <cell r="J108">
            <v>5631</v>
          </cell>
          <cell r="R108">
            <v>708</v>
          </cell>
          <cell r="CR108">
            <v>60</v>
          </cell>
          <cell r="CT108">
            <v>5474714.7199999997</v>
          </cell>
        </row>
        <row r="109">
          <cell r="J109">
            <v>5632</v>
          </cell>
          <cell r="R109">
            <v>707</v>
          </cell>
          <cell r="CR109">
            <v>60</v>
          </cell>
          <cell r="CT109">
            <v>5300728.08</v>
          </cell>
        </row>
        <row r="110">
          <cell r="J110">
            <v>5690</v>
          </cell>
          <cell r="R110">
            <v>708</v>
          </cell>
          <cell r="CR110">
            <v>61</v>
          </cell>
          <cell r="CT110">
            <v>5245082.21</v>
          </cell>
        </row>
        <row r="111">
          <cell r="J111">
            <v>5691</v>
          </cell>
          <cell r="R111">
            <v>706</v>
          </cell>
          <cell r="CR111">
            <v>62</v>
          </cell>
          <cell r="CT111">
            <v>5280970.4800000004</v>
          </cell>
        </row>
        <row r="112">
          <cell r="J112">
            <v>5692</v>
          </cell>
          <cell r="R112">
            <v>705</v>
          </cell>
          <cell r="CR112">
            <v>62</v>
          </cell>
          <cell r="CT112">
            <v>5133324.76</v>
          </cell>
        </row>
        <row r="113">
          <cell r="J113">
            <v>5693</v>
          </cell>
          <cell r="R113">
            <v>707</v>
          </cell>
          <cell r="CR113">
            <v>61</v>
          </cell>
          <cell r="CT113">
            <v>5500082.6099999994</v>
          </cell>
        </row>
        <row r="114">
          <cell r="J114">
            <v>5695</v>
          </cell>
          <cell r="R114">
            <v>707</v>
          </cell>
          <cell r="CR114">
            <v>60</v>
          </cell>
          <cell r="CT114">
            <v>4946525.8899999997</v>
          </cell>
        </row>
        <row r="115">
          <cell r="J115">
            <v>5703</v>
          </cell>
          <cell r="R115">
            <v>708</v>
          </cell>
          <cell r="CR115">
            <v>60</v>
          </cell>
          <cell r="CT115">
            <v>5361918.63</v>
          </cell>
        </row>
        <row r="116">
          <cell r="J116">
            <v>5707</v>
          </cell>
          <cell r="R116">
            <v>708</v>
          </cell>
          <cell r="CR116">
            <v>60</v>
          </cell>
          <cell r="CT116">
            <v>4665343.54</v>
          </cell>
        </row>
        <row r="117">
          <cell r="J117">
            <v>5708</v>
          </cell>
          <cell r="R117">
            <v>709</v>
          </cell>
          <cell r="CR117">
            <v>59</v>
          </cell>
          <cell r="CT117">
            <v>4906208.38</v>
          </cell>
        </row>
        <row r="118">
          <cell r="J118">
            <v>5711</v>
          </cell>
          <cell r="R118">
            <v>709</v>
          </cell>
          <cell r="CR118">
            <v>59</v>
          </cell>
          <cell r="CT118">
            <v>5074043.26</v>
          </cell>
        </row>
        <row r="119">
          <cell r="J119">
            <v>5710</v>
          </cell>
          <cell r="R119">
            <v>709</v>
          </cell>
          <cell r="CR119">
            <v>59</v>
          </cell>
          <cell r="CT119">
            <v>5134785.51</v>
          </cell>
        </row>
        <row r="120">
          <cell r="J120">
            <v>5716</v>
          </cell>
          <cell r="R120">
            <v>711</v>
          </cell>
          <cell r="CR120">
            <v>59</v>
          </cell>
          <cell r="CT120">
            <v>5283195.8</v>
          </cell>
        </row>
        <row r="121">
          <cell r="J121">
            <v>5718</v>
          </cell>
          <cell r="R121">
            <v>713</v>
          </cell>
          <cell r="CR121">
            <v>59</v>
          </cell>
          <cell r="CT121">
            <v>5127913.71</v>
          </cell>
        </row>
        <row r="122">
          <cell r="J122">
            <v>5720</v>
          </cell>
          <cell r="R122">
            <v>713</v>
          </cell>
          <cell r="CR122">
            <v>59</v>
          </cell>
          <cell r="CT122">
            <v>5157725.91</v>
          </cell>
        </row>
        <row r="123">
          <cell r="J123">
            <v>5722</v>
          </cell>
          <cell r="R123">
            <v>710</v>
          </cell>
          <cell r="CR123">
            <v>60</v>
          </cell>
          <cell r="CT123">
            <v>5190993.6900000004</v>
          </cell>
        </row>
        <row r="124">
          <cell r="J124">
            <v>5725</v>
          </cell>
          <cell r="R124">
            <v>710</v>
          </cell>
          <cell r="CR124">
            <v>60</v>
          </cell>
          <cell r="CT124">
            <v>5094019.5199999996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ibit 3 Tables"/>
      <sheetName val="Summary"/>
      <sheetName val="Stats Sum"/>
      <sheetName val="Purchased Power Model "/>
      <sheetName val="Residential"/>
      <sheetName val="GS &lt; 50 kW"/>
      <sheetName val="GS &gt; 50 kW "/>
      <sheetName val="Rate Class Energy Model"/>
      <sheetName val="Rate Class Customer Model"/>
      <sheetName val="Rate Class Load Model"/>
      <sheetName val="Weather Analysis - Pearson"/>
      <sheetName val="Weather Analysis - Fergus"/>
      <sheetName val="CDM Activity"/>
      <sheetName val="2012 COP Forecast"/>
      <sheetName val="2013 COP Forecast "/>
      <sheetName val="App.2-P_Loss Factors"/>
      <sheetName val="CWH Loss Factors"/>
    </sheetNames>
    <sheetDataSet>
      <sheetData sheetId="0"/>
      <sheetData sheetId="1"/>
      <sheetData sheetId="2"/>
      <sheetData sheetId="3">
        <row r="5">
          <cell r="C5">
            <v>36.200000000000003</v>
          </cell>
          <cell r="D5">
            <v>70</v>
          </cell>
          <cell r="E5">
            <v>30</v>
          </cell>
          <cell r="F5">
            <v>319.68</v>
          </cell>
          <cell r="G5">
            <v>0</v>
          </cell>
          <cell r="I5">
            <v>123.31120824213403</v>
          </cell>
          <cell r="K5">
            <v>581.79999999999995</v>
          </cell>
          <cell r="L5">
            <v>0</v>
          </cell>
        </row>
        <row r="6">
          <cell r="C6">
            <v>0</v>
          </cell>
          <cell r="D6">
            <v>192.4</v>
          </cell>
          <cell r="E6">
            <v>31</v>
          </cell>
          <cell r="F6">
            <v>351.91199999999998</v>
          </cell>
          <cell r="G6">
            <v>0</v>
          </cell>
          <cell r="I6">
            <v>123.67575966778612</v>
          </cell>
          <cell r="K6">
            <v>584.70000000000005</v>
          </cell>
          <cell r="L6">
            <v>0</v>
          </cell>
        </row>
        <row r="7">
          <cell r="C7">
            <v>0.2</v>
          </cell>
          <cell r="D7">
            <v>142.69999999999999</v>
          </cell>
          <cell r="E7">
            <v>31</v>
          </cell>
          <cell r="F7">
            <v>336.28800000000001</v>
          </cell>
          <cell r="G7">
            <v>0</v>
          </cell>
          <cell r="I7">
            <v>124.04138883603632</v>
          </cell>
          <cell r="K7">
            <v>586.6</v>
          </cell>
          <cell r="L7">
            <v>0</v>
          </cell>
        </row>
        <row r="8">
          <cell r="C8">
            <v>21.8</v>
          </cell>
          <cell r="D8">
            <v>87.6</v>
          </cell>
          <cell r="E8">
            <v>30</v>
          </cell>
          <cell r="F8">
            <v>319.68</v>
          </cell>
          <cell r="G8">
            <v>0</v>
          </cell>
          <cell r="I8">
            <v>124.40809893307186</v>
          </cell>
          <cell r="K8">
            <v>583.20000000000005</v>
          </cell>
          <cell r="L8">
            <v>1</v>
          </cell>
        </row>
        <row r="9">
          <cell r="C9">
            <v>292.2</v>
          </cell>
          <cell r="D9">
            <v>10</v>
          </cell>
          <cell r="E9">
            <v>31</v>
          </cell>
          <cell r="F9">
            <v>351.91199999999998</v>
          </cell>
          <cell r="G9">
            <v>0</v>
          </cell>
          <cell r="I9">
            <v>124.7758931544995</v>
          </cell>
          <cell r="K9">
            <v>582.9</v>
          </cell>
          <cell r="L9">
            <v>1</v>
          </cell>
        </row>
        <row r="10">
          <cell r="C10">
            <v>445</v>
          </cell>
          <cell r="D10">
            <v>0</v>
          </cell>
          <cell r="E10">
            <v>30</v>
          </cell>
          <cell r="F10">
            <v>336.24</v>
          </cell>
          <cell r="G10">
            <v>0</v>
          </cell>
          <cell r="I10">
            <v>125.14477470537335</v>
          </cell>
          <cell r="K10">
            <v>583.5</v>
          </cell>
          <cell r="L10">
            <v>1</v>
          </cell>
        </row>
        <row r="11">
          <cell r="C11">
            <v>619.4</v>
          </cell>
          <cell r="D11">
            <v>0</v>
          </cell>
          <cell r="E11">
            <v>31</v>
          </cell>
          <cell r="F11">
            <v>319.92</v>
          </cell>
          <cell r="G11">
            <v>0</v>
          </cell>
          <cell r="I11">
            <v>125.51474680022261</v>
          </cell>
          <cell r="K11">
            <v>591.79999999999995</v>
          </cell>
          <cell r="L11">
            <v>0</v>
          </cell>
        </row>
        <row r="12">
          <cell r="C12">
            <v>814.5</v>
          </cell>
          <cell r="D12">
            <v>0</v>
          </cell>
          <cell r="G12">
            <v>0</v>
          </cell>
          <cell r="I12">
            <v>125.66024937363977</v>
          </cell>
          <cell r="K12">
            <v>591.29999999999995</v>
          </cell>
          <cell r="L12">
            <v>0</v>
          </cell>
        </row>
        <row r="13">
          <cell r="C13">
            <v>699</v>
          </cell>
          <cell r="D13">
            <v>0</v>
          </cell>
          <cell r="G13">
            <v>0</v>
          </cell>
          <cell r="K13">
            <v>588.4</v>
          </cell>
        </row>
        <row r="14">
          <cell r="C14">
            <v>581.1</v>
          </cell>
          <cell r="D14">
            <v>0</v>
          </cell>
          <cell r="G14">
            <v>0</v>
          </cell>
          <cell r="K14">
            <v>584.5</v>
          </cell>
        </row>
        <row r="15">
          <cell r="C15">
            <v>372.5</v>
          </cell>
          <cell r="D15">
            <v>2.4</v>
          </cell>
          <cell r="G15">
            <v>0</v>
          </cell>
          <cell r="K15">
            <v>587.79999999999995</v>
          </cell>
        </row>
        <row r="16">
          <cell r="C16">
            <v>177.9</v>
          </cell>
          <cell r="D16">
            <v>0</v>
          </cell>
          <cell r="G16">
            <v>0</v>
          </cell>
          <cell r="K16">
            <v>596.4</v>
          </cell>
        </row>
        <row r="17">
          <cell r="C17">
            <v>43.4</v>
          </cell>
          <cell r="D17">
            <v>52.9</v>
          </cell>
          <cell r="G17">
            <v>0</v>
          </cell>
          <cell r="K17">
            <v>601.70000000000005</v>
          </cell>
        </row>
        <row r="18">
          <cell r="C18">
            <v>0.2</v>
          </cell>
          <cell r="D18">
            <v>118.3</v>
          </cell>
          <cell r="G18">
            <v>0</v>
          </cell>
          <cell r="K18">
            <v>605.70000000000005</v>
          </cell>
        </row>
        <row r="19">
          <cell r="C19">
            <v>2</v>
          </cell>
          <cell r="D19">
            <v>128</v>
          </cell>
          <cell r="G19">
            <v>0</v>
          </cell>
          <cell r="K19">
            <v>607.6</v>
          </cell>
        </row>
        <row r="20">
          <cell r="C20">
            <v>54.9</v>
          </cell>
          <cell r="D20">
            <v>24</v>
          </cell>
          <cell r="G20">
            <v>0</v>
          </cell>
          <cell r="K20">
            <v>607.6</v>
          </cell>
        </row>
        <row r="21">
          <cell r="C21">
            <v>276</v>
          </cell>
          <cell r="D21">
            <v>0</v>
          </cell>
          <cell r="G21">
            <v>0</v>
          </cell>
          <cell r="K21">
            <v>609.5</v>
          </cell>
        </row>
        <row r="22">
          <cell r="C22">
            <v>398.5</v>
          </cell>
          <cell r="D22">
            <v>0</v>
          </cell>
          <cell r="G22">
            <v>0</v>
          </cell>
          <cell r="K22">
            <v>609</v>
          </cell>
        </row>
        <row r="23">
          <cell r="C23">
            <v>561.5</v>
          </cell>
          <cell r="D23">
            <v>0</v>
          </cell>
          <cell r="G23">
            <v>0</v>
          </cell>
          <cell r="K23">
            <v>609.20000000000005</v>
          </cell>
        </row>
        <row r="24">
          <cell r="C24">
            <v>849.1</v>
          </cell>
          <cell r="D24">
            <v>0</v>
          </cell>
          <cell r="G24">
            <v>0</v>
          </cell>
          <cell r="K24">
            <v>605</v>
          </cell>
        </row>
        <row r="25">
          <cell r="C25">
            <v>631.70000000000005</v>
          </cell>
          <cell r="D25">
            <v>0</v>
          </cell>
          <cell r="G25">
            <v>0</v>
          </cell>
          <cell r="K25">
            <v>599.4</v>
          </cell>
        </row>
        <row r="26">
          <cell r="C26">
            <v>487.3</v>
          </cell>
          <cell r="D26">
            <v>0</v>
          </cell>
          <cell r="G26">
            <v>0</v>
          </cell>
          <cell r="K26">
            <v>595.4</v>
          </cell>
        </row>
        <row r="27">
          <cell r="C27">
            <v>331.5</v>
          </cell>
          <cell r="D27">
            <v>0</v>
          </cell>
          <cell r="G27">
            <v>0</v>
          </cell>
          <cell r="K27">
            <v>597.70000000000005</v>
          </cell>
        </row>
        <row r="28">
          <cell r="C28">
            <v>158.9</v>
          </cell>
          <cell r="D28">
            <v>8.6</v>
          </cell>
          <cell r="G28">
            <v>0</v>
          </cell>
          <cell r="K28">
            <v>605.6</v>
          </cell>
        </row>
        <row r="29">
          <cell r="C29">
            <v>44.2</v>
          </cell>
          <cell r="D29">
            <v>31.6</v>
          </cell>
          <cell r="G29">
            <v>0</v>
          </cell>
          <cell r="K29">
            <v>615.4</v>
          </cell>
        </row>
        <row r="30">
          <cell r="C30">
            <v>3.6</v>
          </cell>
          <cell r="D30">
            <v>86.4</v>
          </cell>
          <cell r="G30">
            <v>0</v>
          </cell>
          <cell r="K30">
            <v>623.79999999999995</v>
          </cell>
        </row>
        <row r="31">
          <cell r="C31">
            <v>12.8</v>
          </cell>
          <cell r="D31">
            <v>59.6</v>
          </cell>
          <cell r="G31">
            <v>0</v>
          </cell>
          <cell r="K31">
            <v>625.70000000000005</v>
          </cell>
        </row>
        <row r="32">
          <cell r="C32">
            <v>30</v>
          </cell>
          <cell r="D32">
            <v>41.2</v>
          </cell>
          <cell r="G32">
            <v>0</v>
          </cell>
          <cell r="K32">
            <v>626.70000000000005</v>
          </cell>
        </row>
        <row r="33">
          <cell r="C33">
            <v>226.3</v>
          </cell>
          <cell r="D33">
            <v>1.5</v>
          </cell>
          <cell r="G33">
            <v>0</v>
          </cell>
          <cell r="K33">
            <v>625.1</v>
          </cell>
        </row>
        <row r="34">
          <cell r="C34">
            <v>379.1</v>
          </cell>
          <cell r="D34">
            <v>0</v>
          </cell>
          <cell r="G34">
            <v>0</v>
          </cell>
          <cell r="K34">
            <v>625.20000000000005</v>
          </cell>
        </row>
        <row r="35">
          <cell r="C35">
            <v>643.4</v>
          </cell>
          <cell r="D35">
            <v>0</v>
          </cell>
          <cell r="G35">
            <v>0</v>
          </cell>
          <cell r="K35">
            <v>628.4</v>
          </cell>
        </row>
        <row r="36">
          <cell r="C36">
            <v>770</v>
          </cell>
          <cell r="D36">
            <v>0</v>
          </cell>
          <cell r="G36">
            <v>0</v>
          </cell>
          <cell r="K36">
            <v>629.5</v>
          </cell>
        </row>
        <row r="37">
          <cell r="C37">
            <v>616.4</v>
          </cell>
          <cell r="D37">
            <v>0</v>
          </cell>
          <cell r="G37">
            <v>0</v>
          </cell>
          <cell r="K37">
            <v>630.9</v>
          </cell>
        </row>
        <row r="38">
          <cell r="C38">
            <v>608.6</v>
          </cell>
          <cell r="D38">
            <v>0</v>
          </cell>
          <cell r="G38">
            <v>0</v>
          </cell>
          <cell r="K38">
            <v>628.1</v>
          </cell>
        </row>
        <row r="39">
          <cell r="C39">
            <v>306.8</v>
          </cell>
          <cell r="D39">
            <v>0</v>
          </cell>
          <cell r="G39">
            <v>0</v>
          </cell>
          <cell r="K39">
            <v>631.29999999999995</v>
          </cell>
        </row>
        <row r="40">
          <cell r="C40">
            <v>189.4</v>
          </cell>
          <cell r="D40">
            <v>0.8</v>
          </cell>
          <cell r="G40">
            <v>0</v>
          </cell>
          <cell r="K40">
            <v>638.6</v>
          </cell>
        </row>
        <row r="41">
          <cell r="C41">
            <v>8.9</v>
          </cell>
          <cell r="D41">
            <v>146.30000000000001</v>
          </cell>
          <cell r="G41">
            <v>0</v>
          </cell>
          <cell r="K41">
            <v>648.1</v>
          </cell>
        </row>
        <row r="42">
          <cell r="C42">
            <v>0</v>
          </cell>
          <cell r="D42">
            <v>188.7</v>
          </cell>
          <cell r="G42">
            <v>0</v>
          </cell>
          <cell r="K42">
            <v>653.1</v>
          </cell>
        </row>
        <row r="43">
          <cell r="C43">
            <v>0.2</v>
          </cell>
          <cell r="D43">
            <v>140.69999999999999</v>
          </cell>
          <cell r="G43">
            <v>0</v>
          </cell>
          <cell r="K43">
            <v>655.6</v>
          </cell>
        </row>
        <row r="44">
          <cell r="C44">
            <v>22.6</v>
          </cell>
          <cell r="D44">
            <v>52.1</v>
          </cell>
          <cell r="G44">
            <v>0</v>
          </cell>
          <cell r="K44">
            <v>652.20000000000005</v>
          </cell>
        </row>
        <row r="45">
          <cell r="C45">
            <v>220.2</v>
          </cell>
          <cell r="D45">
            <v>7.6</v>
          </cell>
          <cell r="G45">
            <v>0</v>
          </cell>
          <cell r="K45">
            <v>649.79999999999995</v>
          </cell>
        </row>
        <row r="46">
          <cell r="C46">
            <v>388.4</v>
          </cell>
          <cell r="D46">
            <v>0</v>
          </cell>
          <cell r="G46">
            <v>0</v>
          </cell>
          <cell r="K46">
            <v>643.79999999999995</v>
          </cell>
        </row>
        <row r="47">
          <cell r="C47">
            <v>665.3</v>
          </cell>
          <cell r="D47">
            <v>0</v>
          </cell>
          <cell r="G47">
            <v>0</v>
          </cell>
          <cell r="K47">
            <v>644.6</v>
          </cell>
        </row>
        <row r="48">
          <cell r="C48">
            <v>551.79999999999995</v>
          </cell>
          <cell r="D48">
            <v>0</v>
          </cell>
          <cell r="G48">
            <v>5336.8962781528307</v>
          </cell>
          <cell r="K48">
            <v>643.6</v>
          </cell>
        </row>
        <row r="49">
          <cell r="C49">
            <v>604.29999999999995</v>
          </cell>
          <cell r="D49">
            <v>0</v>
          </cell>
          <cell r="G49">
            <v>10673.792556305661</v>
          </cell>
          <cell r="K49">
            <v>642.9</v>
          </cell>
        </row>
        <row r="50">
          <cell r="C50">
            <v>516.6</v>
          </cell>
          <cell r="D50">
            <v>0</v>
          </cell>
          <cell r="G50">
            <v>16010.688834458491</v>
          </cell>
          <cell r="K50">
            <v>641</v>
          </cell>
        </row>
        <row r="51">
          <cell r="C51">
            <v>293.3</v>
          </cell>
          <cell r="D51">
            <v>0</v>
          </cell>
          <cell r="G51">
            <v>21347.585112611323</v>
          </cell>
          <cell r="K51">
            <v>643.6</v>
          </cell>
        </row>
        <row r="52">
          <cell r="C52">
            <v>136.9</v>
          </cell>
          <cell r="D52">
            <v>26</v>
          </cell>
          <cell r="G52">
            <v>26684.481390764155</v>
          </cell>
          <cell r="K52">
            <v>652.29999999999995</v>
          </cell>
        </row>
        <row r="53">
          <cell r="C53">
            <v>19.5</v>
          </cell>
          <cell r="D53">
            <v>73.599999999999994</v>
          </cell>
          <cell r="G53">
            <v>32021.377668916986</v>
          </cell>
          <cell r="K53">
            <v>660</v>
          </cell>
        </row>
        <row r="54">
          <cell r="C54">
            <v>0</v>
          </cell>
          <cell r="D54">
            <v>167.3</v>
          </cell>
          <cell r="G54">
            <v>37358.273947069814</v>
          </cell>
          <cell r="K54">
            <v>665.1</v>
          </cell>
        </row>
        <row r="55">
          <cell r="C55">
            <v>4.2</v>
          </cell>
          <cell r="D55">
            <v>101.6</v>
          </cell>
          <cell r="G55">
            <v>42695.170225222646</v>
          </cell>
          <cell r="K55">
            <v>667.3</v>
          </cell>
        </row>
        <row r="56">
          <cell r="C56">
            <v>80.900000000000006</v>
          </cell>
          <cell r="D56">
            <v>12.9</v>
          </cell>
          <cell r="G56">
            <v>48032.066503375478</v>
          </cell>
          <cell r="K56">
            <v>664.9</v>
          </cell>
        </row>
        <row r="57">
          <cell r="C57">
            <v>288.3</v>
          </cell>
          <cell r="D57">
            <v>1.1000000000000001</v>
          </cell>
          <cell r="G57">
            <v>53368.962781528309</v>
          </cell>
          <cell r="K57">
            <v>667</v>
          </cell>
        </row>
        <row r="58">
          <cell r="C58">
            <v>382.2</v>
          </cell>
          <cell r="D58">
            <v>0</v>
          </cell>
          <cell r="G58">
            <v>58705.859059681141</v>
          </cell>
          <cell r="K58">
            <v>666.2</v>
          </cell>
        </row>
        <row r="59">
          <cell r="C59">
            <v>500.5</v>
          </cell>
          <cell r="D59">
            <v>0</v>
          </cell>
          <cell r="G59">
            <v>64042.755337833973</v>
          </cell>
          <cell r="K59">
            <v>667.7</v>
          </cell>
        </row>
        <row r="60">
          <cell r="C60">
            <v>647.1</v>
          </cell>
          <cell r="D60">
            <v>0</v>
          </cell>
          <cell r="G60">
            <v>78567.686312416365</v>
          </cell>
          <cell r="K60">
            <v>662.2</v>
          </cell>
        </row>
        <row r="61">
          <cell r="C61">
            <v>740.1</v>
          </cell>
          <cell r="D61">
            <v>0</v>
          </cell>
          <cell r="G61">
            <v>93092.617286998749</v>
          </cell>
          <cell r="K61">
            <v>656.8</v>
          </cell>
        </row>
        <row r="62">
          <cell r="C62">
            <v>546.70000000000005</v>
          </cell>
          <cell r="D62">
            <v>0</v>
          </cell>
          <cell r="G62">
            <v>107617.54826158113</v>
          </cell>
          <cell r="K62">
            <v>652.20000000000005</v>
          </cell>
        </row>
        <row r="63">
          <cell r="C63">
            <v>356.4</v>
          </cell>
          <cell r="D63">
            <v>0</v>
          </cell>
          <cell r="G63">
            <v>122142.47923616352</v>
          </cell>
          <cell r="K63">
            <v>647.4</v>
          </cell>
        </row>
        <row r="64">
          <cell r="C64">
            <v>136.4</v>
          </cell>
          <cell r="D64">
            <v>22.4</v>
          </cell>
          <cell r="G64">
            <v>136667.4102107459</v>
          </cell>
          <cell r="K64">
            <v>646.9</v>
          </cell>
        </row>
        <row r="65">
          <cell r="C65">
            <v>16.5</v>
          </cell>
          <cell r="D65">
            <v>99.2</v>
          </cell>
          <cell r="G65">
            <v>151192.34118532829</v>
          </cell>
          <cell r="K65">
            <v>652.29999999999995</v>
          </cell>
        </row>
        <row r="66">
          <cell r="C66">
            <v>3.2</v>
          </cell>
          <cell r="D66">
            <v>106.1</v>
          </cell>
          <cell r="G66">
            <v>165717.27215991067</v>
          </cell>
          <cell r="K66">
            <v>659.9</v>
          </cell>
        </row>
        <row r="67">
          <cell r="C67">
            <v>5.2</v>
          </cell>
          <cell r="D67">
            <v>141</v>
          </cell>
          <cell r="G67">
            <v>180242.20313449306</v>
          </cell>
          <cell r="K67">
            <v>662.1</v>
          </cell>
        </row>
        <row r="68">
          <cell r="C68">
            <v>36.9</v>
          </cell>
          <cell r="D68">
            <v>47.5</v>
          </cell>
          <cell r="G68">
            <v>194767.13410907544</v>
          </cell>
          <cell r="K68">
            <v>660.7</v>
          </cell>
        </row>
        <row r="69">
          <cell r="C69">
            <v>137.69999999999999</v>
          </cell>
          <cell r="D69">
            <v>19.8</v>
          </cell>
          <cell r="G69">
            <v>209292.06508365783</v>
          </cell>
          <cell r="K69">
            <v>662.5</v>
          </cell>
        </row>
        <row r="70">
          <cell r="C70">
            <v>462.5</v>
          </cell>
          <cell r="D70">
            <v>0</v>
          </cell>
          <cell r="G70">
            <v>223816.99605824021</v>
          </cell>
          <cell r="K70">
            <v>666.7</v>
          </cell>
        </row>
        <row r="71">
          <cell r="C71">
            <v>630.70000000000005</v>
          </cell>
          <cell r="D71">
            <v>0</v>
          </cell>
          <cell r="G71">
            <v>238341.9270328226</v>
          </cell>
          <cell r="K71">
            <v>668.5</v>
          </cell>
        </row>
        <row r="72">
          <cell r="C72">
            <v>623.5</v>
          </cell>
          <cell r="D72">
            <v>0</v>
          </cell>
          <cell r="G72">
            <v>229402.04229052924</v>
          </cell>
          <cell r="K72">
            <v>661.4</v>
          </cell>
        </row>
        <row r="73">
          <cell r="C73">
            <v>674.7</v>
          </cell>
          <cell r="D73">
            <v>0</v>
          </cell>
          <cell r="G73">
            <v>220462.15754823587</v>
          </cell>
          <cell r="K73">
            <v>656.3</v>
          </cell>
        </row>
        <row r="74">
          <cell r="C74">
            <v>610.20000000000005</v>
          </cell>
          <cell r="D74">
            <v>0</v>
          </cell>
          <cell r="G74">
            <v>211522.27280594251</v>
          </cell>
          <cell r="K74">
            <v>647</v>
          </cell>
        </row>
        <row r="75">
          <cell r="C75">
            <v>253.9</v>
          </cell>
          <cell r="D75">
            <v>0</v>
          </cell>
          <cell r="G75">
            <v>202582.38806364915</v>
          </cell>
          <cell r="K75">
            <v>647.20000000000005</v>
          </cell>
        </row>
        <row r="76">
          <cell r="C76">
            <v>193.5</v>
          </cell>
          <cell r="D76">
            <v>2.5</v>
          </cell>
          <cell r="G76">
            <v>193642.50332135579</v>
          </cell>
          <cell r="K76">
            <v>648.79999999999995</v>
          </cell>
        </row>
        <row r="77">
          <cell r="C77">
            <v>22.7</v>
          </cell>
          <cell r="D77">
            <v>71.5</v>
          </cell>
          <cell r="G77">
            <v>184702.61857906243</v>
          </cell>
          <cell r="K77">
            <v>656.8</v>
          </cell>
        </row>
        <row r="78">
          <cell r="C78">
            <v>1</v>
          </cell>
          <cell r="D78">
            <v>111</v>
          </cell>
          <cell r="G78">
            <v>175762.73383676907</v>
          </cell>
          <cell r="K78">
            <v>663.6</v>
          </cell>
        </row>
        <row r="79">
          <cell r="C79">
            <v>12.7</v>
          </cell>
          <cell r="D79">
            <v>64</v>
          </cell>
          <cell r="G79">
            <v>166822.84909447571</v>
          </cell>
          <cell r="K79">
            <v>666.6</v>
          </cell>
        </row>
        <row r="80">
          <cell r="C80">
            <v>59</v>
          </cell>
          <cell r="D80">
            <v>26.7</v>
          </cell>
          <cell r="G80">
            <v>157882.96435218235</v>
          </cell>
          <cell r="K80">
            <v>669.7</v>
          </cell>
        </row>
        <row r="81">
          <cell r="C81">
            <v>278.60000000000002</v>
          </cell>
          <cell r="D81">
            <v>0</v>
          </cell>
          <cell r="G81">
            <v>148943.07960988898</v>
          </cell>
          <cell r="K81">
            <v>673</v>
          </cell>
        </row>
        <row r="82">
          <cell r="C82">
            <v>451.6</v>
          </cell>
          <cell r="D82">
            <v>0</v>
          </cell>
          <cell r="G82">
            <v>140003.19486759562</v>
          </cell>
          <cell r="K82">
            <v>676.9</v>
          </cell>
        </row>
        <row r="83">
          <cell r="C83">
            <v>654.6</v>
          </cell>
          <cell r="D83">
            <v>0</v>
          </cell>
          <cell r="G83">
            <v>131063.31012530225</v>
          </cell>
          <cell r="K83">
            <v>673.6</v>
          </cell>
        </row>
        <row r="84">
          <cell r="C84">
            <v>830.2</v>
          </cell>
          <cell r="D84">
            <v>0</v>
          </cell>
          <cell r="G84">
            <v>143659.25372164507</v>
          </cell>
          <cell r="K84">
            <v>662.3</v>
          </cell>
        </row>
        <row r="85">
          <cell r="C85">
            <v>606.4</v>
          </cell>
          <cell r="D85">
            <v>0</v>
          </cell>
          <cell r="G85">
            <v>156255.19731798788</v>
          </cell>
          <cell r="K85">
            <v>649.29999999999995</v>
          </cell>
        </row>
        <row r="86">
          <cell r="C86">
            <v>533.79999999999995</v>
          </cell>
          <cell r="D86">
            <v>0</v>
          </cell>
          <cell r="G86">
            <v>168851.1409143307</v>
          </cell>
          <cell r="K86">
            <v>636.29999999999995</v>
          </cell>
        </row>
        <row r="87">
          <cell r="C87">
            <v>305.8</v>
          </cell>
          <cell r="D87">
            <v>1.2</v>
          </cell>
          <cell r="G87">
            <v>181447.08451067351</v>
          </cell>
          <cell r="K87">
            <v>632.20000000000005</v>
          </cell>
        </row>
        <row r="88">
          <cell r="C88">
            <v>158.80000000000001</v>
          </cell>
          <cell r="D88">
            <v>6.9</v>
          </cell>
          <cell r="G88">
            <v>194043.02810701632</v>
          </cell>
          <cell r="K88">
            <v>631.70000000000005</v>
          </cell>
        </row>
        <row r="89">
          <cell r="C89">
            <v>49.3</v>
          </cell>
          <cell r="D89">
            <v>34.200000000000003</v>
          </cell>
          <cell r="G89">
            <v>206638.97170335913</v>
          </cell>
          <cell r="K89">
            <v>642.70000000000005</v>
          </cell>
        </row>
        <row r="90">
          <cell r="C90">
            <v>6.2</v>
          </cell>
          <cell r="D90">
            <v>43.7</v>
          </cell>
          <cell r="G90">
            <v>219234.91529970194</v>
          </cell>
          <cell r="K90">
            <v>650</v>
          </cell>
        </row>
        <row r="91">
          <cell r="C91">
            <v>9.8000000000000007</v>
          </cell>
          <cell r="D91">
            <v>91</v>
          </cell>
          <cell r="G91">
            <v>231830.85889604475</v>
          </cell>
          <cell r="K91">
            <v>655.29999999999995</v>
          </cell>
        </row>
        <row r="92">
          <cell r="C92">
            <v>55.2</v>
          </cell>
          <cell r="D92">
            <v>20.9</v>
          </cell>
          <cell r="G92">
            <v>244426.80249238756</v>
          </cell>
          <cell r="K92">
            <v>654.9</v>
          </cell>
        </row>
        <row r="93">
          <cell r="C93">
            <v>287.8</v>
          </cell>
          <cell r="D93">
            <v>0</v>
          </cell>
          <cell r="G93">
            <v>257022.74608873038</v>
          </cell>
          <cell r="K93">
            <v>656.6</v>
          </cell>
        </row>
        <row r="94">
          <cell r="C94">
            <v>361.2</v>
          </cell>
          <cell r="D94">
            <v>0</v>
          </cell>
          <cell r="G94">
            <v>269618.68968507322</v>
          </cell>
          <cell r="K94">
            <v>654.79999999999995</v>
          </cell>
        </row>
        <row r="95">
          <cell r="C95">
            <v>631.29999999999995</v>
          </cell>
          <cell r="D95">
            <v>0</v>
          </cell>
          <cell r="G95">
            <v>282214.63328141603</v>
          </cell>
          <cell r="K95">
            <v>652.29999999999995</v>
          </cell>
        </row>
        <row r="96">
          <cell r="C96">
            <v>720</v>
          </cell>
          <cell r="D96">
            <v>0</v>
          </cell>
          <cell r="G96">
            <v>273285.76999982441</v>
          </cell>
          <cell r="K96">
            <v>646</v>
          </cell>
        </row>
        <row r="97">
          <cell r="C97">
            <v>598.29999999999995</v>
          </cell>
          <cell r="D97">
            <v>0</v>
          </cell>
          <cell r="G97">
            <v>264356.90671823279</v>
          </cell>
          <cell r="K97">
            <v>642.29999999999995</v>
          </cell>
        </row>
        <row r="98">
          <cell r="C98">
            <v>422.8</v>
          </cell>
          <cell r="D98">
            <v>0</v>
          </cell>
          <cell r="G98">
            <v>255428.04343664116</v>
          </cell>
          <cell r="K98">
            <v>639.5</v>
          </cell>
        </row>
        <row r="99">
          <cell r="C99">
            <v>225.1</v>
          </cell>
          <cell r="D99">
            <v>0</v>
          </cell>
          <cell r="G99">
            <v>246499.18015504954</v>
          </cell>
          <cell r="K99">
            <v>643.79999999999995</v>
          </cell>
        </row>
        <row r="100">
          <cell r="C100">
            <v>107.9</v>
          </cell>
          <cell r="D100">
            <v>45.7</v>
          </cell>
          <cell r="G100">
            <v>237570.31687345792</v>
          </cell>
          <cell r="K100">
            <v>653.4</v>
          </cell>
        </row>
        <row r="101">
          <cell r="C101">
            <v>21.7</v>
          </cell>
          <cell r="D101">
            <v>58.7</v>
          </cell>
          <cell r="G101">
            <v>228641.4535918663</v>
          </cell>
          <cell r="K101">
            <v>668.5</v>
          </cell>
        </row>
        <row r="102">
          <cell r="C102">
            <v>1.8</v>
          </cell>
          <cell r="D102">
            <v>164.9</v>
          </cell>
          <cell r="G102">
            <v>219712.59031027468</v>
          </cell>
          <cell r="K102">
            <v>680.1</v>
          </cell>
        </row>
        <row r="103">
          <cell r="C103">
            <v>2.1</v>
          </cell>
          <cell r="D103">
            <v>138.80000000000001</v>
          </cell>
          <cell r="G103">
            <v>210783.72702868306</v>
          </cell>
          <cell r="K103">
            <v>683.1</v>
          </cell>
        </row>
        <row r="104">
          <cell r="C104">
            <v>78.099999999999994</v>
          </cell>
          <cell r="D104">
            <v>31.5</v>
          </cell>
          <cell r="G104">
            <v>201854.86374709144</v>
          </cell>
          <cell r="K104">
            <v>677.1</v>
          </cell>
        </row>
        <row r="105">
          <cell r="C105">
            <v>241.6</v>
          </cell>
          <cell r="D105">
            <v>0</v>
          </cell>
          <cell r="G105">
            <v>192926.00046549982</v>
          </cell>
          <cell r="K105">
            <v>670.2</v>
          </cell>
        </row>
        <row r="106">
          <cell r="C106">
            <v>405.3</v>
          </cell>
          <cell r="D106">
            <v>0</v>
          </cell>
          <cell r="G106">
            <v>183997.1371839082</v>
          </cell>
          <cell r="K106">
            <v>668.1</v>
          </cell>
        </row>
        <row r="107">
          <cell r="C107">
            <v>676.2</v>
          </cell>
          <cell r="D107">
            <v>0</v>
          </cell>
          <cell r="G107">
            <v>175068.27390231658</v>
          </cell>
          <cell r="K107">
            <v>666.9</v>
          </cell>
        </row>
        <row r="108">
          <cell r="C108">
            <v>775.3</v>
          </cell>
          <cell r="D108">
            <v>0</v>
          </cell>
          <cell r="G108">
            <v>193076.05790077086</v>
          </cell>
          <cell r="K108">
            <v>663.9</v>
          </cell>
        </row>
        <row r="109">
          <cell r="C109">
            <v>654.20000000000005</v>
          </cell>
          <cell r="D109">
            <v>0</v>
          </cell>
          <cell r="G109">
            <v>211083.84189922514</v>
          </cell>
          <cell r="K109">
            <v>666.1</v>
          </cell>
        </row>
        <row r="110">
          <cell r="C110">
            <v>572.79999999999995</v>
          </cell>
          <cell r="D110">
            <v>0</v>
          </cell>
          <cell r="G110">
            <v>229091.62589767942</v>
          </cell>
          <cell r="K110">
            <v>671.2</v>
          </cell>
        </row>
        <row r="111">
          <cell r="C111">
            <v>332.3</v>
          </cell>
          <cell r="D111">
            <v>0</v>
          </cell>
          <cell r="G111">
            <v>247099.4098961337</v>
          </cell>
          <cell r="K111">
            <v>679.9</v>
          </cell>
        </row>
        <row r="112">
          <cell r="C112">
            <v>134.1</v>
          </cell>
          <cell r="D112">
            <v>13</v>
          </cell>
          <cell r="G112">
            <v>265107.19389458798</v>
          </cell>
          <cell r="K112">
            <v>685.8</v>
          </cell>
        </row>
        <row r="113">
          <cell r="C113">
            <v>19</v>
          </cell>
          <cell r="D113">
            <v>52.2</v>
          </cell>
          <cell r="G113">
            <v>283114.97789304226</v>
          </cell>
          <cell r="K113">
            <v>697.1</v>
          </cell>
        </row>
        <row r="114">
          <cell r="C114">
            <v>0</v>
          </cell>
          <cell r="D114">
            <v>198.5</v>
          </cell>
          <cell r="G114">
            <v>301122.76189149654</v>
          </cell>
          <cell r="K114">
            <v>707.5</v>
          </cell>
        </row>
        <row r="115">
          <cell r="C115">
            <v>0</v>
          </cell>
          <cell r="D115">
            <v>122.2</v>
          </cell>
          <cell r="G115">
            <v>319130.54588995082</v>
          </cell>
          <cell r="K115">
            <v>708.3</v>
          </cell>
        </row>
        <row r="116">
          <cell r="C116">
            <v>48.2</v>
          </cell>
          <cell r="D116">
            <v>39.700000000000003</v>
          </cell>
          <cell r="G116">
            <v>337138.3298884051</v>
          </cell>
          <cell r="K116">
            <v>700.8</v>
          </cell>
        </row>
        <row r="117">
          <cell r="C117">
            <v>235.5</v>
          </cell>
          <cell r="D117">
            <v>2.4</v>
          </cell>
          <cell r="G117">
            <v>355146.11388685938</v>
          </cell>
          <cell r="K117">
            <v>693.6</v>
          </cell>
        </row>
        <row r="118">
          <cell r="C118">
            <v>342.1</v>
          </cell>
          <cell r="D118">
            <v>0</v>
          </cell>
          <cell r="G118">
            <v>373153.89788531367</v>
          </cell>
          <cell r="K118">
            <v>690.2</v>
          </cell>
        </row>
        <row r="119">
          <cell r="C119">
            <v>534</v>
          </cell>
          <cell r="D119">
            <v>0</v>
          </cell>
          <cell r="G119">
            <v>391161.68188376795</v>
          </cell>
          <cell r="K119">
            <v>690.4</v>
          </cell>
        </row>
        <row r="120">
          <cell r="G120">
            <v>380946.64371458685</v>
          </cell>
        </row>
        <row r="121">
          <cell r="G121">
            <v>370731.60554540576</v>
          </cell>
        </row>
        <row r="122">
          <cell r="G122">
            <v>360516.56737622467</v>
          </cell>
        </row>
        <row r="123">
          <cell r="G123">
            <v>350301.52920704358</v>
          </cell>
        </row>
        <row r="124">
          <cell r="G124">
            <v>340086.49103786249</v>
          </cell>
        </row>
        <row r="125">
          <cell r="G125">
            <v>329871.4528686814</v>
          </cell>
        </row>
        <row r="126">
          <cell r="G126">
            <v>319656.41469950031</v>
          </cell>
        </row>
        <row r="127">
          <cell r="G127">
            <v>309441.37653031922</v>
          </cell>
        </row>
        <row r="128">
          <cell r="G128">
            <v>299226.33836113813</v>
          </cell>
        </row>
        <row r="129">
          <cell r="G129">
            <v>289011.30019195704</v>
          </cell>
        </row>
        <row r="130">
          <cell r="G130">
            <v>278796.26202277595</v>
          </cell>
        </row>
        <row r="131">
          <cell r="G131">
            <v>268581.22385359486</v>
          </cell>
        </row>
        <row r="132">
          <cell r="G132">
            <v>277069.45914351544</v>
          </cell>
        </row>
        <row r="133">
          <cell r="G133">
            <v>285557.69443343603</v>
          </cell>
        </row>
        <row r="134">
          <cell r="G134">
            <v>294045.92972335662</v>
          </cell>
        </row>
        <row r="135">
          <cell r="G135">
            <v>302534.1650132772</v>
          </cell>
        </row>
        <row r="136">
          <cell r="G136">
            <v>311022.40030319779</v>
          </cell>
        </row>
        <row r="137">
          <cell r="G137">
            <v>319510.63559311838</v>
          </cell>
        </row>
        <row r="138">
          <cell r="G138">
            <v>327998.87088303897</v>
          </cell>
        </row>
        <row r="139">
          <cell r="G139">
            <v>336487.10617295955</v>
          </cell>
        </row>
        <row r="140">
          <cell r="G140">
            <v>344975.34146288014</v>
          </cell>
        </row>
        <row r="141">
          <cell r="G141">
            <v>353463.57675280073</v>
          </cell>
        </row>
        <row r="142">
          <cell r="G142">
            <v>361951.81204272131</v>
          </cell>
        </row>
        <row r="143">
          <cell r="G143">
            <v>370440.0473326419</v>
          </cell>
        </row>
      </sheetData>
      <sheetData sheetId="4">
        <row r="3">
          <cell r="G3">
            <v>581.79999999999995</v>
          </cell>
        </row>
        <row r="4">
          <cell r="G4">
            <v>584.70000000000005</v>
          </cell>
        </row>
        <row r="5">
          <cell r="G5">
            <v>586.6</v>
          </cell>
        </row>
        <row r="6">
          <cell r="G6">
            <v>583.20000000000005</v>
          </cell>
        </row>
        <row r="7">
          <cell r="G7">
            <v>582.9</v>
          </cell>
        </row>
        <row r="8">
          <cell r="G8">
            <v>583.5</v>
          </cell>
        </row>
        <row r="9">
          <cell r="G9">
            <v>591.79999999999995</v>
          </cell>
        </row>
        <row r="10">
          <cell r="G10">
            <v>591.29999999999995</v>
          </cell>
        </row>
        <row r="11">
          <cell r="G11">
            <v>588.4</v>
          </cell>
        </row>
        <row r="12">
          <cell r="G12">
            <v>584.5</v>
          </cell>
        </row>
        <row r="13">
          <cell r="G13">
            <v>587.79999999999995</v>
          </cell>
        </row>
        <row r="14">
          <cell r="G14">
            <v>596.4</v>
          </cell>
        </row>
        <row r="15">
          <cell r="G15">
            <v>601.70000000000005</v>
          </cell>
        </row>
        <row r="16">
          <cell r="G16">
            <v>605.70000000000005</v>
          </cell>
        </row>
        <row r="17">
          <cell r="G17">
            <v>607.6</v>
          </cell>
        </row>
        <row r="18">
          <cell r="G18">
            <v>607.6</v>
          </cell>
        </row>
        <row r="19">
          <cell r="G19">
            <v>609.5</v>
          </cell>
        </row>
        <row r="20">
          <cell r="G20">
            <v>609</v>
          </cell>
        </row>
        <row r="21">
          <cell r="G21">
            <v>609.20000000000005</v>
          </cell>
        </row>
        <row r="22">
          <cell r="G22">
            <v>605</v>
          </cell>
        </row>
        <row r="23">
          <cell r="G23">
            <v>599.4</v>
          </cell>
        </row>
        <row r="24">
          <cell r="G24">
            <v>595.4</v>
          </cell>
        </row>
        <row r="25">
          <cell r="G25">
            <v>597.70000000000005</v>
          </cell>
        </row>
        <row r="26">
          <cell r="G26">
            <v>605.6</v>
          </cell>
        </row>
        <row r="27">
          <cell r="G27">
            <v>615.4</v>
          </cell>
        </row>
        <row r="28">
          <cell r="G28">
            <v>623.79999999999995</v>
          </cell>
        </row>
        <row r="29">
          <cell r="G29">
            <v>625.70000000000005</v>
          </cell>
        </row>
        <row r="30">
          <cell r="G30">
            <v>626.70000000000005</v>
          </cell>
        </row>
        <row r="31">
          <cell r="G31">
            <v>625.1</v>
          </cell>
        </row>
        <row r="32">
          <cell r="G32">
            <v>625.20000000000005</v>
          </cell>
        </row>
        <row r="33">
          <cell r="G33">
            <v>628.4</v>
          </cell>
        </row>
        <row r="34">
          <cell r="G34">
            <v>629.5</v>
          </cell>
        </row>
        <row r="35">
          <cell r="G35">
            <v>630.9</v>
          </cell>
        </row>
        <row r="36">
          <cell r="G36">
            <v>628.1</v>
          </cell>
        </row>
        <row r="37">
          <cell r="G37">
            <v>631.29999999999995</v>
          </cell>
        </row>
        <row r="38">
          <cell r="G38">
            <v>638.6</v>
          </cell>
        </row>
        <row r="39">
          <cell r="G39">
            <v>648.1</v>
          </cell>
        </row>
        <row r="40">
          <cell r="G40">
            <v>653.1</v>
          </cell>
        </row>
        <row r="41">
          <cell r="G41">
            <v>655.6</v>
          </cell>
        </row>
        <row r="42">
          <cell r="G42">
            <v>652.20000000000005</v>
          </cell>
        </row>
        <row r="43">
          <cell r="G43">
            <v>649.79999999999995</v>
          </cell>
        </row>
        <row r="44">
          <cell r="G44">
            <v>643.79999999999995</v>
          </cell>
        </row>
        <row r="45">
          <cell r="G45">
            <v>644.6</v>
          </cell>
        </row>
        <row r="46">
          <cell r="G46">
            <v>643.6</v>
          </cell>
        </row>
        <row r="47">
          <cell r="G47">
            <v>642.9</v>
          </cell>
        </row>
        <row r="48">
          <cell r="G48">
            <v>641</v>
          </cell>
        </row>
        <row r="49">
          <cell r="G49">
            <v>643.6</v>
          </cell>
        </row>
        <row r="50">
          <cell r="G50">
            <v>652.29999999999995</v>
          </cell>
        </row>
        <row r="51">
          <cell r="G51">
            <v>660</v>
          </cell>
        </row>
        <row r="52">
          <cell r="G52">
            <v>665.1</v>
          </cell>
        </row>
        <row r="53">
          <cell r="G53">
            <v>667.3</v>
          </cell>
        </row>
        <row r="54">
          <cell r="G54">
            <v>664.9</v>
          </cell>
        </row>
        <row r="55">
          <cell r="G55">
            <v>667</v>
          </cell>
        </row>
        <row r="56">
          <cell r="G56">
            <v>666.2</v>
          </cell>
        </row>
        <row r="57">
          <cell r="G57">
            <v>667.7</v>
          </cell>
        </row>
        <row r="58">
          <cell r="G58">
            <v>662.2</v>
          </cell>
        </row>
        <row r="59">
          <cell r="G59">
            <v>656.8</v>
          </cell>
        </row>
        <row r="60">
          <cell r="G60">
            <v>652.20000000000005</v>
          </cell>
        </row>
        <row r="61">
          <cell r="G61">
            <v>647.4</v>
          </cell>
        </row>
        <row r="62">
          <cell r="G62">
            <v>646.9</v>
          </cell>
        </row>
        <row r="63">
          <cell r="G63">
            <v>652.29999999999995</v>
          </cell>
        </row>
        <row r="64">
          <cell r="G64">
            <v>659.9</v>
          </cell>
        </row>
        <row r="65">
          <cell r="G65">
            <v>662.1</v>
          </cell>
        </row>
        <row r="66">
          <cell r="G66">
            <v>660.7</v>
          </cell>
        </row>
        <row r="67">
          <cell r="G67">
            <v>662.5</v>
          </cell>
        </row>
        <row r="68">
          <cell r="G68">
            <v>666.7</v>
          </cell>
        </row>
        <row r="69">
          <cell r="G69">
            <v>668.5</v>
          </cell>
        </row>
        <row r="70">
          <cell r="G70">
            <v>661.4</v>
          </cell>
        </row>
        <row r="71">
          <cell r="G71">
            <v>656.3</v>
          </cell>
        </row>
        <row r="72">
          <cell r="G72">
            <v>647</v>
          </cell>
        </row>
        <row r="73">
          <cell r="G73">
            <v>647.20000000000005</v>
          </cell>
        </row>
        <row r="74">
          <cell r="G74">
            <v>648.79999999999995</v>
          </cell>
        </row>
        <row r="75">
          <cell r="G75">
            <v>656.8</v>
          </cell>
        </row>
        <row r="76">
          <cell r="G76">
            <v>663.6</v>
          </cell>
        </row>
        <row r="77">
          <cell r="G77">
            <v>666.6</v>
          </cell>
        </row>
        <row r="78">
          <cell r="G78">
            <v>669.7</v>
          </cell>
        </row>
        <row r="79">
          <cell r="G79">
            <v>673</v>
          </cell>
        </row>
        <row r="80">
          <cell r="G80">
            <v>676.9</v>
          </cell>
        </row>
        <row r="81">
          <cell r="G81">
            <v>673.6</v>
          </cell>
        </row>
        <row r="82">
          <cell r="G82">
            <v>662.3</v>
          </cell>
        </row>
        <row r="83">
          <cell r="G83">
            <v>649.29999999999995</v>
          </cell>
        </row>
        <row r="84">
          <cell r="G84">
            <v>636.29999999999995</v>
          </cell>
        </row>
        <row r="85">
          <cell r="G85">
            <v>632.20000000000005</v>
          </cell>
        </row>
        <row r="86">
          <cell r="G86">
            <v>631.70000000000005</v>
          </cell>
        </row>
        <row r="87">
          <cell r="G87">
            <v>642.70000000000005</v>
          </cell>
        </row>
        <row r="88">
          <cell r="G88">
            <v>650</v>
          </cell>
        </row>
        <row r="89">
          <cell r="G89">
            <v>655.29999999999995</v>
          </cell>
        </row>
        <row r="90">
          <cell r="G90">
            <v>654.9</v>
          </cell>
        </row>
        <row r="91">
          <cell r="G91">
            <v>656.6</v>
          </cell>
        </row>
        <row r="92">
          <cell r="G92">
            <v>654.79999999999995</v>
          </cell>
        </row>
        <row r="93">
          <cell r="G93">
            <v>652.29999999999995</v>
          </cell>
        </row>
        <row r="94">
          <cell r="G94">
            <v>646</v>
          </cell>
        </row>
        <row r="95">
          <cell r="G95">
            <v>642.29999999999995</v>
          </cell>
        </row>
        <row r="96">
          <cell r="G96">
            <v>639.5</v>
          </cell>
        </row>
        <row r="97">
          <cell r="G97">
            <v>643.79999999999995</v>
          </cell>
        </row>
        <row r="98">
          <cell r="G98">
            <v>653.4</v>
          </cell>
        </row>
        <row r="99">
          <cell r="G99">
            <v>668.5</v>
          </cell>
        </row>
        <row r="100">
          <cell r="G100">
            <v>680.1</v>
          </cell>
        </row>
        <row r="101">
          <cell r="G101">
            <v>683.1</v>
          </cell>
        </row>
        <row r="102">
          <cell r="G102">
            <v>677.1</v>
          </cell>
        </row>
        <row r="103">
          <cell r="G103">
            <v>670.2</v>
          </cell>
        </row>
        <row r="104">
          <cell r="G104">
            <v>668.1</v>
          </cell>
        </row>
        <row r="105">
          <cell r="G105">
            <v>666.9</v>
          </cell>
        </row>
        <row r="106">
          <cell r="G106">
            <v>663.9</v>
          </cell>
        </row>
        <row r="107">
          <cell r="G107">
            <v>666.1</v>
          </cell>
        </row>
        <row r="108">
          <cell r="G108">
            <v>671.2</v>
          </cell>
        </row>
        <row r="109">
          <cell r="G109">
            <v>679.9</v>
          </cell>
        </row>
        <row r="110">
          <cell r="G110">
            <v>685.8</v>
          </cell>
        </row>
        <row r="111">
          <cell r="G111">
            <v>697.1</v>
          </cell>
        </row>
        <row r="112">
          <cell r="G112">
            <v>707.5</v>
          </cell>
        </row>
        <row r="113">
          <cell r="G113">
            <v>708.3</v>
          </cell>
        </row>
        <row r="114">
          <cell r="G114">
            <v>700.8</v>
          </cell>
        </row>
        <row r="115">
          <cell r="G115">
            <v>693.6</v>
          </cell>
        </row>
        <row r="116">
          <cell r="G116">
            <v>690.2</v>
          </cell>
        </row>
        <row r="117">
          <cell r="G117">
            <v>690.4</v>
          </cell>
        </row>
        <row r="118">
          <cell r="G118">
            <v>689.98599542334102</v>
          </cell>
        </row>
        <row r="119">
          <cell r="G119">
            <v>690.77809279570704</v>
          </cell>
        </row>
        <row r="120">
          <cell r="G120">
            <v>691.57019016807396</v>
          </cell>
        </row>
        <row r="121">
          <cell r="G121">
            <v>692.36228754043998</v>
          </cell>
        </row>
        <row r="122">
          <cell r="G122">
            <v>693.15438491280702</v>
          </cell>
        </row>
        <row r="123">
          <cell r="G123">
            <v>693.94648228517303</v>
          </cell>
        </row>
        <row r="124">
          <cell r="G124">
            <v>694.73857965753996</v>
          </cell>
        </row>
        <row r="125">
          <cell r="G125">
            <v>695.53067702990597</v>
          </cell>
        </row>
        <row r="126">
          <cell r="G126">
            <v>696.32277440227199</v>
          </cell>
        </row>
        <row r="127">
          <cell r="G127">
            <v>697.11487177463903</v>
          </cell>
        </row>
        <row r="128">
          <cell r="G128">
            <v>697.90696914700504</v>
          </cell>
        </row>
        <row r="129">
          <cell r="G129">
            <v>698.69906651937197</v>
          </cell>
        </row>
        <row r="130">
          <cell r="G130">
            <v>699.49116389173798</v>
          </cell>
        </row>
        <row r="131">
          <cell r="G131">
            <v>700.283261264104</v>
          </cell>
        </row>
        <row r="132">
          <cell r="G132">
            <v>701.07535863647104</v>
          </cell>
        </row>
        <row r="133">
          <cell r="G133">
            <v>701.86745600883705</v>
          </cell>
        </row>
        <row r="134">
          <cell r="G134">
            <v>702.65955338120398</v>
          </cell>
        </row>
        <row r="135">
          <cell r="G135">
            <v>703.45165075356999</v>
          </cell>
        </row>
        <row r="136">
          <cell r="G136">
            <v>704.24374812593703</v>
          </cell>
        </row>
        <row r="137">
          <cell r="G137">
            <v>705.03584549830305</v>
          </cell>
        </row>
        <row r="138">
          <cell r="G138">
            <v>705.82794287066895</v>
          </cell>
        </row>
        <row r="139">
          <cell r="G139">
            <v>706.62004024303599</v>
          </cell>
        </row>
        <row r="140">
          <cell r="G140">
            <v>707.412137615402</v>
          </cell>
        </row>
        <row r="141">
          <cell r="G141">
            <v>708.20423498776904</v>
          </cell>
        </row>
      </sheetData>
      <sheetData sheetId="5"/>
      <sheetData sheetId="6"/>
      <sheetData sheetId="7"/>
      <sheetData sheetId="8"/>
      <sheetData sheetId="9"/>
      <sheetData sheetId="10">
        <row r="8">
          <cell r="V8">
            <v>715.37000000000012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Rate App"/>
      <sheetName val="Summary"/>
      <sheetName val="Purchased Power Model"/>
      <sheetName val="Rate Class Energy Model"/>
      <sheetName val="Rate Class Customer Model"/>
      <sheetName val="Rate Class Load Model"/>
      <sheetName val="Table 7 Loss Factor"/>
      <sheetName val="Weather data"/>
      <sheetName val="Tables Used for Exhibits"/>
      <sheetName val="Exhibit 3 Energy by Rate Class"/>
    </sheetNames>
    <sheetDataSet>
      <sheetData sheetId="0"/>
      <sheetData sheetId="1">
        <row r="13">
          <cell r="L13">
            <v>85739255.741245419</v>
          </cell>
        </row>
        <row r="18">
          <cell r="L18">
            <v>38644866.570349239</v>
          </cell>
        </row>
        <row r="22">
          <cell r="L22">
            <v>103800433.81327569</v>
          </cell>
        </row>
        <row r="28">
          <cell r="L28">
            <v>19536895.404684614</v>
          </cell>
        </row>
        <row r="34">
          <cell r="L34">
            <v>1787016.6594117379</v>
          </cell>
        </row>
        <row r="40">
          <cell r="L40">
            <v>129053.09086034459</v>
          </cell>
        </row>
        <row r="46">
          <cell r="L46">
            <v>374473.48200116301</v>
          </cell>
        </row>
        <row r="50">
          <cell r="L50">
            <v>14184.009471030229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tatutoryholidays.com/thanksgiving.php" TargetMode="External"/><Relationship Id="rId3" Type="http://schemas.openxmlformats.org/officeDocument/2006/relationships/hyperlink" Target="http://www.statutoryholidays.com/easter.php" TargetMode="External"/><Relationship Id="rId7" Type="http://schemas.openxmlformats.org/officeDocument/2006/relationships/hyperlink" Target="http://www.statutoryholidays.com/labourday.php" TargetMode="External"/><Relationship Id="rId2" Type="http://schemas.openxmlformats.org/officeDocument/2006/relationships/hyperlink" Target="http://www.statutoryholidays.com/family-day.php" TargetMode="External"/><Relationship Id="rId1" Type="http://schemas.openxmlformats.org/officeDocument/2006/relationships/hyperlink" Target="http://www.statutoryholidays.com/newyears.php" TargetMode="External"/><Relationship Id="rId6" Type="http://schemas.openxmlformats.org/officeDocument/2006/relationships/hyperlink" Target="http://www.statutoryholidays.com/canadaday.php" TargetMode="External"/><Relationship Id="rId5" Type="http://schemas.openxmlformats.org/officeDocument/2006/relationships/hyperlink" Target="http://www.statutoryholidays.com/victoriaday.php" TargetMode="External"/><Relationship Id="rId4" Type="http://schemas.openxmlformats.org/officeDocument/2006/relationships/hyperlink" Target="http://www.statutoryholidays.com/easter.php" TargetMode="External"/><Relationship Id="rId9" Type="http://schemas.openxmlformats.org/officeDocument/2006/relationships/hyperlink" Target="http://www.statutoryholidays.com/christmas.php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orangevillehydro.on.ca/Billing/rateorder.pdf" TargetMode="External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2:T714"/>
  <sheetViews>
    <sheetView topLeftCell="A303" workbookViewId="0">
      <selection activeCell="J250" sqref="J250"/>
    </sheetView>
  </sheetViews>
  <sheetFormatPr defaultRowHeight="15" x14ac:dyDescent="0.25"/>
  <cols>
    <col min="1" max="1" width="9.140625" style="287"/>
    <col min="2" max="2" width="22.140625" style="287" bestFit="1" customWidth="1"/>
    <col min="3" max="3" width="22.7109375" style="287" hidden="1" customWidth="1"/>
    <col min="4" max="4" width="14.7109375" style="287" customWidth="1"/>
    <col min="5" max="5" width="17.5703125" style="287" customWidth="1"/>
    <col min="6" max="6" width="15" style="287" customWidth="1"/>
    <col min="7" max="7" width="14.28515625" style="287" bestFit="1" customWidth="1"/>
    <col min="8" max="8" width="14.5703125" style="287" customWidth="1"/>
    <col min="9" max="9" width="14.28515625" style="287" bestFit="1" customWidth="1"/>
    <col min="10" max="10" width="13.5703125" style="287" customWidth="1"/>
    <col min="11" max="12" width="13.140625" style="287" customWidth="1"/>
    <col min="13" max="13" width="10.140625" style="287" bestFit="1" customWidth="1"/>
    <col min="14" max="14" width="9.140625" style="287"/>
    <col min="15" max="15" width="11" style="287" customWidth="1"/>
    <col min="16" max="16384" width="9.140625" style="287"/>
  </cols>
  <sheetData>
    <row r="2" spans="1:17" x14ac:dyDescent="0.25">
      <c r="A2" s="746" t="s">
        <v>480</v>
      </c>
      <c r="B2" s="747"/>
      <c r="C2" s="747"/>
      <c r="D2" s="747"/>
      <c r="E2" s="747"/>
      <c r="F2" s="747"/>
      <c r="G2" s="747"/>
      <c r="H2" s="747"/>
      <c r="I2" s="748"/>
      <c r="J2" s="286"/>
    </row>
    <row r="3" spans="1:17" ht="45" x14ac:dyDescent="0.25">
      <c r="A3" s="545" t="s">
        <v>102</v>
      </c>
      <c r="B3" s="546"/>
      <c r="C3" s="546"/>
      <c r="D3" s="547" t="s">
        <v>103</v>
      </c>
      <c r="E3" s="547" t="s">
        <v>104</v>
      </c>
      <c r="F3" s="547" t="s">
        <v>105</v>
      </c>
      <c r="G3" s="547" t="s">
        <v>106</v>
      </c>
      <c r="H3" s="547" t="s">
        <v>107</v>
      </c>
      <c r="I3" s="547" t="s">
        <v>108</v>
      </c>
      <c r="J3" s="290"/>
    </row>
    <row r="4" spans="1:17" x14ac:dyDescent="0.25">
      <c r="A4" s="749" t="s">
        <v>109</v>
      </c>
      <c r="B4" s="750"/>
      <c r="C4" s="750"/>
      <c r="D4" s="750"/>
      <c r="E4" s="750"/>
      <c r="F4" s="750"/>
      <c r="G4" s="750"/>
      <c r="H4" s="750"/>
      <c r="I4" s="751"/>
      <c r="J4" s="286"/>
    </row>
    <row r="5" spans="1:17" x14ac:dyDescent="0.25">
      <c r="A5" s="762"/>
      <c r="B5" s="763"/>
      <c r="C5" s="291"/>
      <c r="D5" s="292"/>
      <c r="E5" s="292"/>
      <c r="F5" s="292"/>
      <c r="G5" s="292"/>
      <c r="H5" s="292"/>
      <c r="I5" s="292"/>
      <c r="J5" s="286"/>
      <c r="O5" s="293"/>
      <c r="P5" s="293"/>
      <c r="Q5" s="293"/>
    </row>
    <row r="6" spans="1:17" x14ac:dyDescent="0.25">
      <c r="A6" s="294" t="s">
        <v>358</v>
      </c>
      <c r="B6" s="291"/>
      <c r="C6" s="291"/>
      <c r="D6" s="448">
        <f>J25</f>
        <v>250.01199476182819</v>
      </c>
      <c r="E6" s="292"/>
      <c r="F6" s="292"/>
      <c r="G6" s="449">
        <f>[9]Summary!$L$50-32+151</f>
        <v>14303.009471030229</v>
      </c>
      <c r="H6" s="292"/>
      <c r="I6" s="292"/>
      <c r="J6" s="286"/>
      <c r="O6" s="293"/>
      <c r="P6" s="293"/>
      <c r="Q6" s="293"/>
    </row>
    <row r="7" spans="1:17" x14ac:dyDescent="0.25">
      <c r="A7" s="762"/>
      <c r="B7" s="763"/>
      <c r="C7" s="291"/>
      <c r="D7" s="292"/>
      <c r="E7" s="292"/>
      <c r="F7" s="292"/>
      <c r="G7" s="292"/>
      <c r="H7" s="292"/>
      <c r="I7" s="292"/>
      <c r="J7" s="286"/>
      <c r="O7" s="293"/>
      <c r="P7" s="293"/>
      <c r="Q7" s="293"/>
    </row>
    <row r="8" spans="1:17" x14ac:dyDescent="0.25">
      <c r="A8" s="294" t="s">
        <v>50</v>
      </c>
      <c r="B8" s="295"/>
      <c r="C8" s="295"/>
      <c r="D8" s="296">
        <f t="array" ref="D8:D19">TRANSPOSE(Summary!B9:M9)</f>
        <v>240.614498</v>
      </c>
      <c r="E8" s="297"/>
      <c r="F8" s="298"/>
      <c r="G8" s="299">
        <f t="array" ref="G8:G19">TRANSPOSE(Summary!B39:M39)</f>
        <v>12907.5</v>
      </c>
      <c r="H8" s="300"/>
      <c r="I8" s="298"/>
      <c r="J8" s="301"/>
      <c r="K8" s="302"/>
      <c r="O8" s="293"/>
      <c r="P8" s="293"/>
      <c r="Q8" s="293"/>
    </row>
    <row r="9" spans="1:17" x14ac:dyDescent="0.25">
      <c r="A9" s="294" t="s">
        <v>51</v>
      </c>
      <c r="B9" s="295"/>
      <c r="C9" s="295"/>
      <c r="D9" s="296">
        <v>242.286509</v>
      </c>
      <c r="E9" s="297">
        <f>D9-D8</f>
        <v>1.6720109999999977</v>
      </c>
      <c r="F9" s="298">
        <f>E9/D8</f>
        <v>6.9489204262329933E-3</v>
      </c>
      <c r="G9" s="299">
        <v>13195.5</v>
      </c>
      <c r="H9" s="303">
        <f t="shared" ref="H9:H19" si="0">G9-G8</f>
        <v>288</v>
      </c>
      <c r="I9" s="298">
        <f t="shared" ref="I9:I18" si="1">H9/G8</f>
        <v>2.2312608948285882E-2</v>
      </c>
      <c r="J9" s="301"/>
      <c r="K9" s="302"/>
      <c r="O9" s="293"/>
      <c r="P9" s="293"/>
      <c r="Q9" s="293"/>
    </row>
    <row r="10" spans="1:17" x14ac:dyDescent="0.25">
      <c r="A10" s="294" t="s">
        <v>52</v>
      </c>
      <c r="B10" s="295"/>
      <c r="C10" s="295"/>
      <c r="D10" s="296">
        <v>249.80694543000001</v>
      </c>
      <c r="E10" s="297">
        <f t="shared" ref="E10:E19" si="2">D10-D9</f>
        <v>7.5204364300000179</v>
      </c>
      <c r="F10" s="298">
        <f t="shared" ref="F10:F19" si="3">E10/D9</f>
        <v>3.1039435340578611E-2</v>
      </c>
      <c r="G10" s="299">
        <v>13294</v>
      </c>
      <c r="H10" s="303">
        <f t="shared" si="0"/>
        <v>98.5</v>
      </c>
      <c r="I10" s="298">
        <f t="shared" si="1"/>
        <v>7.4646659846159674E-3</v>
      </c>
      <c r="J10" s="301"/>
      <c r="K10" s="302"/>
      <c r="O10" s="293"/>
      <c r="P10" s="293"/>
      <c r="Q10" s="293"/>
    </row>
    <row r="11" spans="1:17" x14ac:dyDescent="0.25">
      <c r="A11" s="294" t="s">
        <v>53</v>
      </c>
      <c r="B11" s="295"/>
      <c r="C11" s="295"/>
      <c r="D11" s="296">
        <v>250.89768289999998</v>
      </c>
      <c r="E11" s="297">
        <f t="shared" si="2"/>
        <v>1.090737469999965</v>
      </c>
      <c r="F11" s="298">
        <f t="shared" si="3"/>
        <v>4.3663216333815168E-3</v>
      </c>
      <c r="G11" s="299">
        <v>13437.5</v>
      </c>
      <c r="H11" s="303">
        <f t="shared" si="0"/>
        <v>143.5</v>
      </c>
      <c r="I11" s="298">
        <f t="shared" si="1"/>
        <v>1.0794343312772679E-2</v>
      </c>
      <c r="J11" s="301"/>
      <c r="K11" s="302"/>
    </row>
    <row r="12" spans="1:17" x14ac:dyDescent="0.25">
      <c r="A12" s="294" t="s">
        <v>54</v>
      </c>
      <c r="B12" s="295"/>
      <c r="C12" s="295"/>
      <c r="D12" s="296">
        <v>256.64076854461268</v>
      </c>
      <c r="E12" s="297">
        <f t="shared" si="2"/>
        <v>5.7430856446127052</v>
      </c>
      <c r="F12" s="298">
        <f t="shared" si="3"/>
        <v>2.2890150192824702E-2</v>
      </c>
      <c r="G12" s="299">
        <v>13556.5</v>
      </c>
      <c r="H12" s="303">
        <f t="shared" si="0"/>
        <v>119</v>
      </c>
      <c r="I12" s="298">
        <f t="shared" si="1"/>
        <v>8.8558139534883722E-3</v>
      </c>
      <c r="J12" s="301"/>
      <c r="K12" s="302"/>
    </row>
    <row r="13" spans="1:17" x14ac:dyDescent="0.25">
      <c r="A13" s="294" t="s">
        <v>110</v>
      </c>
      <c r="B13" s="295"/>
      <c r="C13" s="295"/>
      <c r="D13" s="296">
        <v>249.71648517999998</v>
      </c>
      <c r="E13" s="297">
        <f t="shared" si="2"/>
        <v>-6.9242833646127053</v>
      </c>
      <c r="F13" s="298">
        <f t="shared" si="3"/>
        <v>-2.6980449769846426E-2</v>
      </c>
      <c r="G13" s="299">
        <v>13784</v>
      </c>
      <c r="H13" s="303">
        <f t="shared" si="0"/>
        <v>227.5</v>
      </c>
      <c r="I13" s="298">
        <f t="shared" si="1"/>
        <v>1.6781617674178437E-2</v>
      </c>
      <c r="J13" s="301"/>
      <c r="K13" s="302"/>
    </row>
    <row r="14" spans="1:17" x14ac:dyDescent="0.25">
      <c r="A14" s="294" t="s">
        <v>111</v>
      </c>
      <c r="B14" s="295"/>
      <c r="C14" s="295"/>
      <c r="D14" s="296">
        <v>243.6217428875091</v>
      </c>
      <c r="E14" s="297">
        <f t="shared" si="2"/>
        <v>-6.0947422924908778</v>
      </c>
      <c r="F14" s="298">
        <f t="shared" si="3"/>
        <v>-2.4406647755344152E-2</v>
      </c>
      <c r="G14" s="299">
        <v>13978.5</v>
      </c>
      <c r="H14" s="303">
        <f t="shared" si="0"/>
        <v>194.5</v>
      </c>
      <c r="I14" s="298">
        <f t="shared" si="1"/>
        <v>1.4110562971561231E-2</v>
      </c>
      <c r="J14" s="301"/>
      <c r="K14" s="302"/>
    </row>
    <row r="15" spans="1:17" ht="15" customHeight="1" x14ac:dyDescent="0.25">
      <c r="A15" s="294" t="s">
        <v>72</v>
      </c>
      <c r="B15" s="295"/>
      <c r="C15" s="304"/>
      <c r="D15" s="296">
        <v>247.97778401121641</v>
      </c>
      <c r="E15" s="297">
        <f t="shared" si="2"/>
        <v>4.356041123707314</v>
      </c>
      <c r="F15" s="298">
        <f t="shared" si="3"/>
        <v>1.7880346278118082E-2</v>
      </c>
      <c r="G15" s="299">
        <v>14193.5</v>
      </c>
      <c r="H15" s="303">
        <f t="shared" si="0"/>
        <v>215</v>
      </c>
      <c r="I15" s="298">
        <f t="shared" si="1"/>
        <v>1.5380763315091032E-2</v>
      </c>
      <c r="J15" s="301"/>
      <c r="K15" s="302"/>
    </row>
    <row r="16" spans="1:17" s="307" customFormat="1" x14ac:dyDescent="0.25">
      <c r="A16" s="294" t="s">
        <v>75</v>
      </c>
      <c r="B16" s="305"/>
      <c r="C16" s="291"/>
      <c r="D16" s="296">
        <v>245.69444294518962</v>
      </c>
      <c r="E16" s="297">
        <f t="shared" si="2"/>
        <v>-2.283341066026793</v>
      </c>
      <c r="F16" s="298">
        <f t="shared" si="3"/>
        <v>-9.2078452718309389E-3</v>
      </c>
      <c r="G16" s="299">
        <v>14354.5</v>
      </c>
      <c r="H16" s="303">
        <f t="shared" si="0"/>
        <v>161</v>
      </c>
      <c r="I16" s="298">
        <f t="shared" si="1"/>
        <v>1.1343220488251664E-2</v>
      </c>
      <c r="J16" s="301"/>
      <c r="K16" s="306"/>
    </row>
    <row r="17" spans="1:13" s="307" customFormat="1" x14ac:dyDescent="0.25">
      <c r="A17" s="294" t="s">
        <v>196</v>
      </c>
      <c r="B17" s="305"/>
      <c r="C17" s="286"/>
      <c r="D17" s="296">
        <v>244.15033563700857</v>
      </c>
      <c r="E17" s="297">
        <f t="shared" si="2"/>
        <v>-1.5441073081810543</v>
      </c>
      <c r="F17" s="298">
        <f t="shared" si="3"/>
        <v>-6.2846651705733498E-3</v>
      </c>
      <c r="G17" s="299">
        <v>14417.5</v>
      </c>
      <c r="H17" s="303">
        <f t="shared" si="0"/>
        <v>63</v>
      </c>
      <c r="I17" s="298">
        <f t="shared" si="1"/>
        <v>4.3888676024939916E-3</v>
      </c>
      <c r="J17" s="301"/>
      <c r="K17" s="306"/>
    </row>
    <row r="18" spans="1:13" s="307" customFormat="1" x14ac:dyDescent="0.25">
      <c r="A18" s="308" t="s">
        <v>359</v>
      </c>
      <c r="B18" s="291"/>
      <c r="C18" s="286"/>
      <c r="D18" s="309">
        <v>248.74234839648202</v>
      </c>
      <c r="E18" s="310">
        <f t="shared" si="2"/>
        <v>4.5920127594734481</v>
      </c>
      <c r="F18" s="311">
        <f t="shared" si="3"/>
        <v>1.8808136173528101E-2</v>
      </c>
      <c r="G18" s="312">
        <v>14552.475785005921</v>
      </c>
      <c r="H18" s="313">
        <f t="shared" si="0"/>
        <v>134.97578500592135</v>
      </c>
      <c r="I18" s="311">
        <f t="shared" si="1"/>
        <v>9.3619410442810028E-3</v>
      </c>
      <c r="J18" s="314"/>
      <c r="K18" s="306"/>
      <c r="L18" s="315"/>
    </row>
    <row r="19" spans="1:13" s="307" customFormat="1" x14ac:dyDescent="0.25">
      <c r="A19" s="292" t="s">
        <v>360</v>
      </c>
      <c r="B19" s="292"/>
      <c r="C19" s="286"/>
      <c r="D19" s="309">
        <v>249.98067921348121</v>
      </c>
      <c r="E19" s="310">
        <f t="shared" si="2"/>
        <v>1.2383308169991949</v>
      </c>
      <c r="F19" s="311">
        <f t="shared" si="3"/>
        <v>4.9783674753498819E-3</v>
      </c>
      <c r="G19" s="312">
        <v>14717.918745184044</v>
      </c>
      <c r="H19" s="313">
        <f t="shared" si="0"/>
        <v>165.44296017812303</v>
      </c>
      <c r="I19" s="311">
        <f t="shared" ref="I19" si="4">H19/G18</f>
        <v>1.1368715716990675E-2</v>
      </c>
      <c r="J19" s="314"/>
      <c r="K19" s="306"/>
      <c r="L19" s="315"/>
    </row>
    <row r="20" spans="1:13" s="307" customFormat="1" x14ac:dyDescent="0.25">
      <c r="A20" s="316"/>
      <c r="B20" s="317"/>
      <c r="C20" s="286"/>
      <c r="D20" s="318"/>
      <c r="E20" s="319"/>
      <c r="F20" s="320"/>
      <c r="G20" s="321"/>
      <c r="H20" s="322"/>
      <c r="I20" s="320"/>
      <c r="J20" s="314"/>
      <c r="K20" s="306"/>
    </row>
    <row r="21" spans="1:13" x14ac:dyDescent="0.25">
      <c r="A21" s="548" t="s">
        <v>481</v>
      </c>
      <c r="B21" s="549"/>
      <c r="C21" s="549"/>
      <c r="D21" s="549"/>
      <c r="E21" s="549"/>
      <c r="F21" s="549"/>
      <c r="G21" s="549"/>
      <c r="H21" s="549"/>
      <c r="I21" s="549"/>
      <c r="J21" s="550"/>
      <c r="K21" s="324"/>
      <c r="L21" s="286"/>
      <c r="M21" s="325"/>
    </row>
    <row r="22" spans="1:13" x14ac:dyDescent="0.25">
      <c r="A22" s="764" t="s">
        <v>102</v>
      </c>
      <c r="B22" s="764"/>
      <c r="C22" s="326"/>
      <c r="D22" s="327" t="s">
        <v>94</v>
      </c>
      <c r="E22" s="327" t="s">
        <v>152</v>
      </c>
      <c r="F22" s="327" t="s">
        <v>153</v>
      </c>
      <c r="G22" s="327" t="str">
        <f>Summary!A24</f>
        <v xml:space="preserve">Streetlights </v>
      </c>
      <c r="H22" s="327" t="s">
        <v>154</v>
      </c>
      <c r="I22" s="327" t="s">
        <v>155</v>
      </c>
      <c r="J22" s="327" t="s">
        <v>9</v>
      </c>
    </row>
    <row r="23" spans="1:13" ht="14.25" customHeight="1" x14ac:dyDescent="0.25">
      <c r="A23" s="328" t="s">
        <v>112</v>
      </c>
      <c r="B23" s="328"/>
      <c r="C23" s="328"/>
      <c r="D23" s="328"/>
      <c r="E23" s="328"/>
      <c r="F23" s="328"/>
      <c r="G23" s="328"/>
      <c r="H23" s="328"/>
      <c r="I23" s="328"/>
      <c r="J23" s="328"/>
      <c r="K23" s="293"/>
    </row>
    <row r="24" spans="1:13" ht="14.25" customHeight="1" x14ac:dyDescent="0.25">
      <c r="A24" s="760"/>
      <c r="B24" s="760"/>
      <c r="C24" s="292"/>
      <c r="D24" s="292"/>
      <c r="E24" s="292"/>
      <c r="F24" s="292"/>
      <c r="G24" s="292"/>
      <c r="H24" s="329"/>
      <c r="I24" s="292"/>
      <c r="J24" s="329"/>
    </row>
    <row r="25" spans="1:13" ht="14.25" customHeight="1" x14ac:dyDescent="0.25">
      <c r="A25" s="551" t="str">
        <f>A6</f>
        <v>2010 Board Approved</v>
      </c>
      <c r="B25" s="557"/>
      <c r="C25" s="557"/>
      <c r="D25" s="558">
        <f>[9]Summary!$L$13/1000000</f>
        <v>85.739255741245415</v>
      </c>
      <c r="E25" s="558">
        <f>[9]Summary!$L$18/1000000</f>
        <v>38.644866570349237</v>
      </c>
      <c r="F25" s="558">
        <f>([9]Summary!$L$22+[9]Summary!$L$28)/1000000</f>
        <v>123.33732921796032</v>
      </c>
      <c r="G25" s="558">
        <f>[9]Summary!$L$34/1000000</f>
        <v>1.7870166594117378</v>
      </c>
      <c r="H25" s="559">
        <f>[9]Summary!$L$40/1000000</f>
        <v>0.12905309086034458</v>
      </c>
      <c r="I25" s="559">
        <f>[9]Summary!$L$46/1000000</f>
        <v>0.37447348200116298</v>
      </c>
      <c r="J25" s="560">
        <f>SUM(D25:I25)</f>
        <v>250.01199476182819</v>
      </c>
    </row>
    <row r="26" spans="1:13" ht="14.25" customHeight="1" x14ac:dyDescent="0.25">
      <c r="A26" s="760"/>
      <c r="B26" s="760"/>
      <c r="C26" s="292"/>
      <c r="D26" s="292"/>
      <c r="E26" s="292"/>
      <c r="F26" s="292"/>
      <c r="G26" s="292"/>
      <c r="H26" s="329"/>
      <c r="I26" s="296"/>
      <c r="J26" s="292"/>
    </row>
    <row r="27" spans="1:13" x14ac:dyDescent="0.25">
      <c r="A27" s="330" t="str">
        <f t="shared" ref="A27:A36" si="5">A8</f>
        <v xml:space="preserve">2003 Actual </v>
      </c>
      <c r="B27" s="330"/>
      <c r="C27" s="330"/>
      <c r="D27" s="296">
        <f t="array" ref="D27:D38">TRANSPOSE(Summary!B14:M14)</f>
        <v>82.401296000000002</v>
      </c>
      <c r="E27" s="296">
        <f t="array" ref="E27:E38">TRANSPOSE(Summary!B18:M18)</f>
        <v>30.457263000000001</v>
      </c>
      <c r="F27" s="296">
        <f t="array" ref="F27:F38">TRANSPOSE(Summary!B23:M23)</f>
        <v>126.06850799999999</v>
      </c>
      <c r="G27" s="296">
        <f t="array" ref="G27:G38">TRANSPOSE(Summary!B28:M28)</f>
        <v>1.5534939999999999</v>
      </c>
      <c r="H27" s="296">
        <f t="array" ref="H27:H38">TRANSPOSE(Summary!B33:M33)</f>
        <v>0.133937</v>
      </c>
      <c r="I27" s="296">
        <f t="array" ref="I27:I38">TRANSPOSE(Summary!B37:M37)</f>
        <v>0</v>
      </c>
      <c r="J27" s="296">
        <f t="shared" ref="J27:J38" si="6">SUM(D27:I27)</f>
        <v>240.614498</v>
      </c>
      <c r="K27" s="293"/>
      <c r="L27" s="293"/>
    </row>
    <row r="28" spans="1:13" x14ac:dyDescent="0.25">
      <c r="A28" s="330" t="str">
        <f t="shared" si="5"/>
        <v xml:space="preserve">2004 Actual </v>
      </c>
      <c r="B28" s="330"/>
      <c r="C28" s="330"/>
      <c r="D28" s="296">
        <v>82.624722000000006</v>
      </c>
      <c r="E28" s="296">
        <v>30.592102000000001</v>
      </c>
      <c r="F28" s="296">
        <v>127.24015</v>
      </c>
      <c r="G28" s="296">
        <v>1.6955169999999999</v>
      </c>
      <c r="H28" s="296">
        <v>0.134018</v>
      </c>
      <c r="I28" s="296">
        <v>0</v>
      </c>
      <c r="J28" s="296">
        <f t="shared" si="6"/>
        <v>242.286509</v>
      </c>
      <c r="K28" s="293"/>
      <c r="L28" s="293"/>
    </row>
    <row r="29" spans="1:13" x14ac:dyDescent="0.25">
      <c r="A29" s="330" t="str">
        <f t="shared" si="5"/>
        <v xml:space="preserve">2005 Actual </v>
      </c>
      <c r="B29" s="330"/>
      <c r="C29" s="330"/>
      <c r="D29" s="296">
        <v>87.597048720000004</v>
      </c>
      <c r="E29" s="296">
        <v>34.393459999999997</v>
      </c>
      <c r="F29" s="296">
        <v>126.094033</v>
      </c>
      <c r="G29" s="296">
        <v>1.5870295800000001</v>
      </c>
      <c r="H29" s="296">
        <v>0.13537413000000001</v>
      </c>
      <c r="I29" s="296">
        <v>0</v>
      </c>
      <c r="J29" s="296">
        <f t="shared" si="6"/>
        <v>249.80694543000001</v>
      </c>
      <c r="K29" s="293"/>
      <c r="L29" s="293"/>
    </row>
    <row r="30" spans="1:13" ht="12.75" customHeight="1" x14ac:dyDescent="0.25">
      <c r="A30" s="330" t="str">
        <f t="shared" si="5"/>
        <v xml:space="preserve">2006 Actual </v>
      </c>
      <c r="B30" s="330"/>
      <c r="C30" s="330"/>
      <c r="D30" s="296">
        <v>85.059822699999984</v>
      </c>
      <c r="E30" s="296">
        <v>35.198595559999994</v>
      </c>
      <c r="F30" s="296">
        <v>128.54142081000001</v>
      </c>
      <c r="G30" s="296">
        <v>1.5944692300000001</v>
      </c>
      <c r="H30" s="296">
        <v>0.13012238000000001</v>
      </c>
      <c r="I30" s="296">
        <v>0.37325221999999997</v>
      </c>
      <c r="J30" s="296">
        <f t="shared" si="6"/>
        <v>250.89768289999998</v>
      </c>
      <c r="K30" s="293"/>
      <c r="L30" s="293"/>
    </row>
    <row r="31" spans="1:13" x14ac:dyDescent="0.25">
      <c r="A31" s="330" t="str">
        <f t="shared" si="5"/>
        <v xml:space="preserve">2007 Actual </v>
      </c>
      <c r="B31" s="330"/>
      <c r="C31" s="330"/>
      <c r="D31" s="296">
        <v>85.92236883999999</v>
      </c>
      <c r="E31" s="296">
        <v>37.055212619999999</v>
      </c>
      <c r="F31" s="296">
        <v>131.51857086461274</v>
      </c>
      <c r="G31" s="296">
        <v>1.6154413500000002</v>
      </c>
      <c r="H31" s="296">
        <v>0.13347594999999998</v>
      </c>
      <c r="I31" s="296">
        <v>0.39569892000000001</v>
      </c>
      <c r="J31" s="296">
        <f t="shared" si="6"/>
        <v>256.64076854461268</v>
      </c>
      <c r="K31" s="293"/>
      <c r="L31" s="293"/>
    </row>
    <row r="32" spans="1:13" x14ac:dyDescent="0.25">
      <c r="A32" s="330" t="str">
        <f t="shared" si="5"/>
        <v xml:space="preserve">2008 Actual </v>
      </c>
      <c r="B32" s="330"/>
      <c r="C32" s="330"/>
      <c r="D32" s="296">
        <v>85.459087139999994</v>
      </c>
      <c r="E32" s="296">
        <v>37.433972129999994</v>
      </c>
      <c r="F32" s="296">
        <v>124.56024789999999</v>
      </c>
      <c r="G32" s="296">
        <v>1.7340122599999999</v>
      </c>
      <c r="H32" s="296">
        <v>0.13689163999999998</v>
      </c>
      <c r="I32" s="296">
        <v>0.39227411000000001</v>
      </c>
      <c r="J32" s="296">
        <f t="shared" si="6"/>
        <v>249.71648517999992</v>
      </c>
      <c r="K32" s="293"/>
      <c r="L32" s="293"/>
    </row>
    <row r="33" spans="1:12" x14ac:dyDescent="0.25">
      <c r="A33" s="330" t="str">
        <f t="shared" si="5"/>
        <v>2009 Actual</v>
      </c>
      <c r="B33" s="330"/>
      <c r="C33" s="330"/>
      <c r="D33" s="296">
        <v>84.392286059999989</v>
      </c>
      <c r="E33" s="296">
        <v>35.466555849999999</v>
      </c>
      <c r="F33" s="296">
        <v>121.49111347750913</v>
      </c>
      <c r="G33" s="296">
        <v>1.7701071300000002</v>
      </c>
      <c r="H33" s="296">
        <v>0.12850982999999999</v>
      </c>
      <c r="I33" s="296">
        <v>0.37317054000000005</v>
      </c>
      <c r="J33" s="296">
        <f t="shared" si="6"/>
        <v>243.62174288750913</v>
      </c>
      <c r="K33" s="293"/>
      <c r="L33" s="293"/>
    </row>
    <row r="34" spans="1:12" ht="14.25" customHeight="1" x14ac:dyDescent="0.25">
      <c r="A34" s="330" t="str">
        <f t="shared" si="5"/>
        <v xml:space="preserve">2010 Actual </v>
      </c>
      <c r="B34" s="330"/>
      <c r="C34" s="331"/>
      <c r="D34" s="296">
        <v>86.211879999999994</v>
      </c>
      <c r="E34" s="296">
        <v>36.096660999999997</v>
      </c>
      <c r="F34" s="296">
        <v>123.39055101121642</v>
      </c>
      <c r="G34" s="296">
        <v>1.7775190000000001</v>
      </c>
      <c r="H34" s="296">
        <v>0.127445</v>
      </c>
      <c r="I34" s="296">
        <v>0.373728</v>
      </c>
      <c r="J34" s="296">
        <f t="shared" si="6"/>
        <v>247.97778401121641</v>
      </c>
      <c r="K34" s="293"/>
      <c r="L34" s="293"/>
    </row>
    <row r="35" spans="1:12" s="307" customFormat="1" ht="15" customHeight="1" x14ac:dyDescent="0.25">
      <c r="A35" s="330" t="str">
        <f t="shared" si="5"/>
        <v xml:space="preserve">2011 Actual </v>
      </c>
      <c r="B35" s="330"/>
      <c r="C35" s="292"/>
      <c r="D35" s="296">
        <v>85.903537999999998</v>
      </c>
      <c r="E35" s="296">
        <v>35.863633999999998</v>
      </c>
      <c r="F35" s="296">
        <v>121.70724494518963</v>
      </c>
      <c r="G35" s="296">
        <v>1.782726</v>
      </c>
      <c r="H35" s="296">
        <v>9.9116999999999997E-2</v>
      </c>
      <c r="I35" s="296">
        <v>0.33818300000000001</v>
      </c>
      <c r="J35" s="296">
        <f t="shared" si="6"/>
        <v>245.69444294518959</v>
      </c>
      <c r="K35" s="293"/>
      <c r="L35" s="293"/>
    </row>
    <row r="36" spans="1:12" s="307" customFormat="1" ht="15" customHeight="1" x14ac:dyDescent="0.25">
      <c r="A36" s="330" t="str">
        <f t="shared" si="5"/>
        <v xml:space="preserve">2012 Actual </v>
      </c>
      <c r="B36" s="330"/>
      <c r="C36" s="292"/>
      <c r="D36" s="296">
        <v>85.673642999999998</v>
      </c>
      <c r="E36" s="296">
        <v>35.683447999999999</v>
      </c>
      <c r="F36" s="296">
        <v>120.4535489970086</v>
      </c>
      <c r="G36" s="296">
        <v>1.8013706399999998</v>
      </c>
      <c r="H36" s="296">
        <v>0.12453400000000001</v>
      </c>
      <c r="I36" s="296">
        <v>0.41379100000000002</v>
      </c>
      <c r="J36" s="296">
        <f t="shared" si="6"/>
        <v>244.1503356370086</v>
      </c>
      <c r="K36" s="293"/>
      <c r="L36" s="293"/>
    </row>
    <row r="37" spans="1:12" s="307" customFormat="1" ht="15" customHeight="1" x14ac:dyDescent="0.25">
      <c r="A37" s="292" t="str">
        <f>A18</f>
        <v>2013 Bridge</v>
      </c>
      <c r="B37" s="292"/>
      <c r="C37" s="292"/>
      <c r="D37" s="309">
        <v>88.880994441716524</v>
      </c>
      <c r="E37" s="309">
        <v>37.014297944330721</v>
      </c>
      <c r="F37" s="309">
        <v>120.54854028792873</v>
      </c>
      <c r="G37" s="309">
        <v>1.8312464771576069</v>
      </c>
      <c r="H37" s="309">
        <v>0.12353084818503986</v>
      </c>
      <c r="I37" s="309">
        <v>0.34373839716340865</v>
      </c>
      <c r="J37" s="309">
        <f t="shared" si="6"/>
        <v>248.74234839648202</v>
      </c>
      <c r="K37" s="332"/>
      <c r="L37" s="332"/>
    </row>
    <row r="38" spans="1:12" s="307" customFormat="1" x14ac:dyDescent="0.25">
      <c r="A38" s="292" t="str">
        <f>A19</f>
        <v>2014 Test</v>
      </c>
      <c r="B38" s="292"/>
      <c r="C38" s="292"/>
      <c r="D38" s="309">
        <v>89.827012905997805</v>
      </c>
      <c r="E38" s="309">
        <v>37.298288334516435</v>
      </c>
      <c r="F38" s="309">
        <v>120.51291991850819</v>
      </c>
      <c r="G38" s="309">
        <v>1.86161780681745</v>
      </c>
      <c r="H38" s="309">
        <v>0.12253577700319083</v>
      </c>
      <c r="I38" s="309">
        <v>0.35830447063816961</v>
      </c>
      <c r="J38" s="309">
        <f t="shared" si="6"/>
        <v>249.98067921348121</v>
      </c>
      <c r="K38" s="332"/>
      <c r="L38" s="332"/>
    </row>
    <row r="39" spans="1:12" x14ac:dyDescent="0.25">
      <c r="A39" s="333" t="s">
        <v>361</v>
      </c>
      <c r="B39" s="334"/>
      <c r="C39" s="334"/>
      <c r="D39" s="334"/>
      <c r="E39" s="334"/>
      <c r="F39" s="334"/>
      <c r="G39" s="334"/>
      <c r="H39" s="334"/>
      <c r="I39" s="334"/>
      <c r="J39" s="334"/>
      <c r="K39" s="335"/>
      <c r="L39" s="336"/>
    </row>
    <row r="40" spans="1:12" x14ac:dyDescent="0.25">
      <c r="A40" s="561" t="s">
        <v>113</v>
      </c>
      <c r="B40" s="562"/>
      <c r="C40" s="562"/>
      <c r="D40" s="562"/>
      <c r="E40" s="562"/>
      <c r="F40" s="562"/>
      <c r="G40" s="562"/>
      <c r="H40" s="562"/>
      <c r="I40" s="562"/>
      <c r="J40" s="562"/>
      <c r="K40" s="339"/>
      <c r="L40" s="340"/>
    </row>
    <row r="41" spans="1:12" x14ac:dyDescent="0.25">
      <c r="A41" s="341"/>
      <c r="B41" s="342"/>
      <c r="C41" s="342"/>
      <c r="D41" s="342"/>
      <c r="E41" s="342"/>
      <c r="F41" s="342"/>
      <c r="G41" s="342"/>
      <c r="H41" s="342"/>
      <c r="I41" s="342"/>
      <c r="J41" s="342"/>
      <c r="K41" s="343"/>
      <c r="L41" s="344"/>
    </row>
    <row r="42" spans="1:12" x14ac:dyDescent="0.25">
      <c r="A42" s="551" t="str">
        <f>A25</f>
        <v>2010 Board Approved</v>
      </c>
      <c r="B42" s="551"/>
      <c r="C42" s="551"/>
      <c r="D42" s="552">
        <f>[10]Summary!$L$12</f>
        <v>10044.5</v>
      </c>
      <c r="E42" s="552">
        <f>[10]Summary!$L$17</f>
        <v>1080.5</v>
      </c>
      <c r="F42" s="552">
        <f>[10]Summary!$L$21+[10]Summary!$L$27</f>
        <v>133</v>
      </c>
      <c r="G42" s="552">
        <f>[10]Summary!$L$33</f>
        <v>2723.9401053067331</v>
      </c>
      <c r="H42" s="552">
        <f>[10]Summary!$L$39</f>
        <v>170.06936572349571</v>
      </c>
      <c r="I42" s="552">
        <f>'[11]Forecast Data For 2010'!$H$27</f>
        <v>151</v>
      </c>
      <c r="J42" s="552">
        <f t="shared" ref="J42" si="7">SUM(D42:I42)</f>
        <v>14303.009471030229</v>
      </c>
    </row>
    <row r="43" spans="1:12" x14ac:dyDescent="0.25">
      <c r="A43" s="761"/>
      <c r="B43" s="761"/>
      <c r="C43" s="330"/>
      <c r="D43" s="345"/>
      <c r="E43" s="345"/>
      <c r="F43" s="345"/>
      <c r="G43" s="345"/>
      <c r="H43" s="345"/>
      <c r="I43" s="329"/>
      <c r="J43" s="345"/>
    </row>
    <row r="44" spans="1:12" x14ac:dyDescent="0.25">
      <c r="A44" s="330" t="s">
        <v>50</v>
      </c>
      <c r="B44" s="346"/>
      <c r="C44" s="330"/>
      <c r="D44" s="345">
        <f t="array" ref="D44:D55">TRANSPOSE(Summary!B12:M12)</f>
        <v>9072.5</v>
      </c>
      <c r="E44" s="345">
        <f t="array" ref="E44:E55">TRANSPOSE(Summary!B16:M16)</f>
        <v>971.5</v>
      </c>
      <c r="F44" s="345">
        <f t="array" ref="F44:F55">TRANSPOSE(Summary!B20:M20)</f>
        <v>143</v>
      </c>
      <c r="G44" s="345">
        <f t="array" ref="G44:G55">TRANSPOSE(Summary!B25:M25)</f>
        <v>2556.5</v>
      </c>
      <c r="H44" s="345">
        <f t="array" ref="H44:H55">TRANSPOSE(Summary!B30:M30)</f>
        <v>164</v>
      </c>
      <c r="I44" s="345">
        <f t="array" ref="I44:I55">TRANSPOSE(Summary!B35:M35)</f>
        <v>0</v>
      </c>
      <c r="J44" s="345">
        <f>SUM(D44:I44)</f>
        <v>12907.5</v>
      </c>
      <c r="K44" s="347"/>
      <c r="L44" s="347"/>
    </row>
    <row r="45" spans="1:12" x14ac:dyDescent="0.25">
      <c r="A45" s="330" t="s">
        <v>51</v>
      </c>
      <c r="B45" s="346"/>
      <c r="C45" s="330"/>
      <c r="D45" s="345">
        <v>9278</v>
      </c>
      <c r="E45" s="345">
        <v>982.5</v>
      </c>
      <c r="F45" s="345">
        <v>145.5</v>
      </c>
      <c r="G45" s="345">
        <v>2621.5</v>
      </c>
      <c r="H45" s="345">
        <v>168</v>
      </c>
      <c r="I45" s="345">
        <v>0</v>
      </c>
      <c r="J45" s="345">
        <f t="shared" ref="J45:J55" si="8">SUM(D45:I45)</f>
        <v>13195.5</v>
      </c>
      <c r="K45" s="347"/>
      <c r="L45" s="347"/>
    </row>
    <row r="46" spans="1:12" x14ac:dyDescent="0.25">
      <c r="A46" s="330" t="s">
        <v>52</v>
      </c>
      <c r="B46" s="348"/>
      <c r="C46" s="330"/>
      <c r="D46" s="345">
        <v>9425</v>
      </c>
      <c r="E46" s="345">
        <v>985.5</v>
      </c>
      <c r="F46" s="345">
        <v>138</v>
      </c>
      <c r="G46" s="345">
        <v>2572.5</v>
      </c>
      <c r="H46" s="345">
        <v>173</v>
      </c>
      <c r="I46" s="345">
        <v>0</v>
      </c>
      <c r="J46" s="345">
        <f t="shared" si="8"/>
        <v>13294</v>
      </c>
      <c r="K46" s="347"/>
      <c r="L46" s="347"/>
    </row>
    <row r="47" spans="1:12" ht="12.75" customHeight="1" x14ac:dyDescent="0.25">
      <c r="A47" s="330" t="s">
        <v>53</v>
      </c>
      <c r="B47" s="330"/>
      <c r="C47" s="330"/>
      <c r="D47" s="345">
        <v>9482.5</v>
      </c>
      <c r="E47" s="345">
        <v>993.5</v>
      </c>
      <c r="F47" s="345">
        <v>129.5</v>
      </c>
      <c r="G47" s="345">
        <v>2506</v>
      </c>
      <c r="H47" s="345">
        <v>175</v>
      </c>
      <c r="I47" s="345">
        <v>151</v>
      </c>
      <c r="J47" s="345">
        <f t="shared" si="8"/>
        <v>13437.5</v>
      </c>
      <c r="K47" s="347"/>
      <c r="L47" s="347"/>
    </row>
    <row r="48" spans="1:12" x14ac:dyDescent="0.25">
      <c r="A48" s="330" t="s">
        <v>54</v>
      </c>
      <c r="B48" s="330"/>
      <c r="C48" s="330"/>
      <c r="D48" s="345">
        <v>9547</v>
      </c>
      <c r="E48" s="345">
        <v>1029.5</v>
      </c>
      <c r="F48" s="345">
        <v>130.5</v>
      </c>
      <c r="G48" s="345">
        <v>2518.5</v>
      </c>
      <c r="H48" s="345">
        <v>178.5</v>
      </c>
      <c r="I48" s="345">
        <v>152.5</v>
      </c>
      <c r="J48" s="345">
        <f t="shared" si="8"/>
        <v>13556.5</v>
      </c>
      <c r="K48" s="347"/>
      <c r="L48" s="347"/>
    </row>
    <row r="49" spans="1:18" x14ac:dyDescent="0.25">
      <c r="A49" s="330" t="s">
        <v>110</v>
      </c>
      <c r="B49" s="330"/>
      <c r="C49" s="330"/>
      <c r="D49" s="345">
        <v>9618.5</v>
      </c>
      <c r="E49" s="345">
        <v>1060.5</v>
      </c>
      <c r="F49" s="345">
        <v>132</v>
      </c>
      <c r="G49" s="345">
        <v>2642.5</v>
      </c>
      <c r="H49" s="345">
        <v>176.5</v>
      </c>
      <c r="I49" s="345">
        <v>154</v>
      </c>
      <c r="J49" s="345">
        <f t="shared" si="8"/>
        <v>13784</v>
      </c>
      <c r="K49" s="347"/>
      <c r="L49" s="347"/>
    </row>
    <row r="50" spans="1:18" x14ac:dyDescent="0.25">
      <c r="A50" s="330" t="s">
        <v>111</v>
      </c>
      <c r="B50" s="330"/>
      <c r="C50" s="330"/>
      <c r="D50" s="345">
        <v>9732</v>
      </c>
      <c r="E50" s="345">
        <v>1106</v>
      </c>
      <c r="F50" s="345">
        <v>130.5</v>
      </c>
      <c r="G50" s="345">
        <v>2684</v>
      </c>
      <c r="H50" s="345">
        <v>172</v>
      </c>
      <c r="I50" s="345">
        <v>154</v>
      </c>
      <c r="J50" s="345">
        <f t="shared" si="8"/>
        <v>13978.5</v>
      </c>
      <c r="K50" s="347"/>
      <c r="L50" s="347"/>
    </row>
    <row r="51" spans="1:18" ht="12.75" customHeight="1" x14ac:dyDescent="0.25">
      <c r="A51" s="330" t="s">
        <v>72</v>
      </c>
      <c r="B51" s="330"/>
      <c r="C51" s="330"/>
      <c r="D51" s="345">
        <v>9888.5</v>
      </c>
      <c r="E51" s="345">
        <v>1155.5</v>
      </c>
      <c r="F51" s="345">
        <v>129.5</v>
      </c>
      <c r="G51" s="345">
        <v>2698</v>
      </c>
      <c r="H51" s="345">
        <v>166</v>
      </c>
      <c r="I51" s="345">
        <v>156</v>
      </c>
      <c r="J51" s="345">
        <f t="shared" si="8"/>
        <v>14193.5</v>
      </c>
      <c r="K51" s="347"/>
      <c r="L51" s="347"/>
      <c r="N51" s="293"/>
      <c r="O51" s="293"/>
      <c r="P51" s="293"/>
      <c r="Q51" s="293"/>
      <c r="R51" s="293"/>
    </row>
    <row r="52" spans="1:18" x14ac:dyDescent="0.25">
      <c r="A52" s="330" t="s">
        <v>75</v>
      </c>
      <c r="B52" s="330"/>
      <c r="C52" s="330"/>
      <c r="D52" s="345">
        <v>9995</v>
      </c>
      <c r="E52" s="345">
        <v>1126.5</v>
      </c>
      <c r="F52" s="345">
        <v>130.5</v>
      </c>
      <c r="G52" s="345">
        <v>2783.5</v>
      </c>
      <c r="H52" s="345">
        <v>161.5</v>
      </c>
      <c r="I52" s="345">
        <v>157.5</v>
      </c>
      <c r="J52" s="345">
        <f t="shared" si="8"/>
        <v>14354.5</v>
      </c>
      <c r="K52" s="347"/>
      <c r="L52" s="347"/>
    </row>
    <row r="53" spans="1:18" x14ac:dyDescent="0.25">
      <c r="A53" s="330" t="s">
        <v>196</v>
      </c>
      <c r="B53" s="330"/>
      <c r="C53" s="330"/>
      <c r="D53" s="345">
        <v>10085</v>
      </c>
      <c r="E53" s="345">
        <v>1108</v>
      </c>
      <c r="F53" s="345">
        <v>127</v>
      </c>
      <c r="G53" s="345">
        <v>2810</v>
      </c>
      <c r="H53" s="345">
        <v>157</v>
      </c>
      <c r="I53" s="345">
        <v>130.5</v>
      </c>
      <c r="J53" s="345">
        <f t="shared" si="8"/>
        <v>14417.5</v>
      </c>
      <c r="K53" s="347"/>
      <c r="L53" s="347"/>
      <c r="N53" s="293"/>
      <c r="O53" s="293"/>
      <c r="P53" s="293"/>
      <c r="Q53" s="293"/>
    </row>
    <row r="54" spans="1:18" s="307" customFormat="1" ht="12.75" customHeight="1" x14ac:dyDescent="0.25">
      <c r="A54" s="292" t="str">
        <f>A37</f>
        <v>2013 Bridge</v>
      </c>
      <c r="B54" s="349"/>
      <c r="C54" s="292"/>
      <c r="D54" s="350">
        <v>10204.255841796119</v>
      </c>
      <c r="E54" s="350">
        <v>1124.3042867708639</v>
      </c>
      <c r="F54" s="350">
        <v>124</v>
      </c>
      <c r="G54" s="350">
        <v>2839.6747529083364</v>
      </c>
      <c r="H54" s="350">
        <v>156.24090353060024</v>
      </c>
      <c r="I54" s="350">
        <v>104</v>
      </c>
      <c r="J54" s="350">
        <f t="shared" si="8"/>
        <v>14552.475785005921</v>
      </c>
      <c r="K54" s="351"/>
      <c r="L54" s="351"/>
    </row>
    <row r="55" spans="1:18" s="307" customFormat="1" x14ac:dyDescent="0.25">
      <c r="A55" s="292" t="str">
        <f>A38</f>
        <v>2014 Test</v>
      </c>
      <c r="B55" s="292"/>
      <c r="C55" s="352"/>
      <c r="D55" s="350">
        <v>10324.921892397642</v>
      </c>
      <c r="E55" s="350">
        <v>1140.8484921040983</v>
      </c>
      <c r="F55" s="350">
        <v>123</v>
      </c>
      <c r="G55" s="350">
        <v>2869.6628833825698</v>
      </c>
      <c r="H55" s="350">
        <v>155.48547729973458</v>
      </c>
      <c r="I55" s="350">
        <v>104</v>
      </c>
      <c r="J55" s="350">
        <f t="shared" si="8"/>
        <v>14717.918745184044</v>
      </c>
      <c r="K55" s="351"/>
      <c r="L55" s="351"/>
    </row>
    <row r="57" spans="1:18" x14ac:dyDescent="0.25">
      <c r="A57" s="548" t="s">
        <v>482</v>
      </c>
      <c r="B57" s="549"/>
      <c r="C57" s="549"/>
      <c r="D57" s="549"/>
      <c r="E57" s="549"/>
      <c r="F57" s="549"/>
      <c r="G57" s="549"/>
      <c r="H57" s="549"/>
      <c r="I57" s="550"/>
      <c r="J57" s="324"/>
      <c r="K57" s="286"/>
      <c r="L57" s="340"/>
    </row>
    <row r="58" spans="1:18" x14ac:dyDescent="0.25">
      <c r="A58" s="765" t="s">
        <v>102</v>
      </c>
      <c r="B58" s="765"/>
      <c r="C58" s="326"/>
      <c r="D58" s="327" t="s">
        <v>94</v>
      </c>
      <c r="E58" s="327" t="s">
        <v>152</v>
      </c>
      <c r="F58" s="327" t="s">
        <v>153</v>
      </c>
      <c r="G58" s="327" t="s">
        <v>95</v>
      </c>
      <c r="H58" s="327" t="s">
        <v>154</v>
      </c>
      <c r="I58" s="327" t="s">
        <v>155</v>
      </c>
      <c r="J58" s="293"/>
    </row>
    <row r="59" spans="1:18" x14ac:dyDescent="0.25">
      <c r="A59" s="762" t="s">
        <v>114</v>
      </c>
      <c r="B59" s="763"/>
      <c r="C59" s="763"/>
      <c r="D59" s="763"/>
      <c r="E59" s="763"/>
      <c r="F59" s="763"/>
      <c r="G59" s="763"/>
      <c r="H59" s="763"/>
      <c r="I59" s="782"/>
    </row>
    <row r="60" spans="1:18" x14ac:dyDescent="0.25">
      <c r="A60" s="353"/>
      <c r="B60" s="354"/>
      <c r="C60" s="355"/>
      <c r="D60" s="355"/>
      <c r="E60" s="355"/>
      <c r="F60" s="355"/>
      <c r="G60" s="355"/>
      <c r="H60" s="355"/>
      <c r="I60" s="355"/>
    </row>
    <row r="61" spans="1:18" x14ac:dyDescent="0.25">
      <c r="A61" s="553" t="str">
        <f>A42</f>
        <v>2010 Board Approved</v>
      </c>
      <c r="B61" s="554"/>
      <c r="C61" s="555"/>
      <c r="D61" s="556">
        <f>D25/D42*1000000</f>
        <v>8535.9406382841771</v>
      </c>
      <c r="E61" s="556">
        <f t="shared" ref="E61:I61" si="9">E25/E42*1000000</f>
        <v>35765.725655112663</v>
      </c>
      <c r="F61" s="556">
        <f t="shared" si="9"/>
        <v>927348.33998466399</v>
      </c>
      <c r="G61" s="556">
        <f t="shared" si="9"/>
        <v>656.04109867551892</v>
      </c>
      <c r="H61" s="556">
        <f t="shared" si="9"/>
        <v>758.82620195199218</v>
      </c>
      <c r="I61" s="556">
        <f t="shared" si="9"/>
        <v>2479.956834444788</v>
      </c>
    </row>
    <row r="62" spans="1:18" x14ac:dyDescent="0.25">
      <c r="A62" s="353"/>
      <c r="B62" s="354"/>
      <c r="C62" s="355"/>
      <c r="D62" s="299"/>
      <c r="E62" s="299"/>
      <c r="F62" s="299"/>
      <c r="G62" s="299"/>
      <c r="H62" s="299"/>
      <c r="I62" s="299"/>
    </row>
    <row r="63" spans="1:18" x14ac:dyDescent="0.25">
      <c r="A63" s="294" t="s">
        <v>50</v>
      </c>
      <c r="B63" s="354"/>
      <c r="C63" s="355"/>
      <c r="D63" s="299">
        <f t="shared" ref="D63:H63" si="10">D27/D44*1000000</f>
        <v>9082.5346927528262</v>
      </c>
      <c r="E63" s="299">
        <f t="shared" si="10"/>
        <v>31350.759650025735</v>
      </c>
      <c r="F63" s="299">
        <f t="shared" si="10"/>
        <v>881597.95804195793</v>
      </c>
      <c r="G63" s="299">
        <f t="shared" si="10"/>
        <v>607.6643849012321</v>
      </c>
      <c r="H63" s="299">
        <f t="shared" si="10"/>
        <v>816.68902439024396</v>
      </c>
      <c r="I63" s="299"/>
    </row>
    <row r="64" spans="1:18" x14ac:dyDescent="0.25">
      <c r="A64" s="294" t="s">
        <v>51</v>
      </c>
      <c r="B64" s="354"/>
      <c r="C64" s="355"/>
      <c r="D64" s="299">
        <f t="shared" ref="D64:H64" si="11">D28/D45*1000000</f>
        <v>8905.4453546022851</v>
      </c>
      <c r="E64" s="299">
        <f t="shared" si="11"/>
        <v>31136.999491094146</v>
      </c>
      <c r="F64" s="299">
        <f t="shared" si="11"/>
        <v>874502.74914089346</v>
      </c>
      <c r="G64" s="299">
        <f t="shared" si="11"/>
        <v>646.77360289910359</v>
      </c>
      <c r="H64" s="299">
        <f t="shared" si="11"/>
        <v>797.72619047619048</v>
      </c>
      <c r="I64" s="299"/>
    </row>
    <row r="65" spans="1:9" x14ac:dyDescent="0.25">
      <c r="A65" s="294" t="s">
        <v>52</v>
      </c>
      <c r="B65" s="356"/>
      <c r="C65" s="330"/>
      <c r="D65" s="299">
        <f t="shared" ref="D65:H65" si="12">D29/D46*1000000</f>
        <v>9294.1165750663131</v>
      </c>
      <c r="E65" s="299">
        <f t="shared" si="12"/>
        <v>34899.502790461695</v>
      </c>
      <c r="F65" s="299">
        <f t="shared" si="12"/>
        <v>913724.87681159424</v>
      </c>
      <c r="G65" s="299">
        <f t="shared" si="12"/>
        <v>616.92111953352764</v>
      </c>
      <c r="H65" s="299">
        <f t="shared" si="12"/>
        <v>782.50942196531798</v>
      </c>
      <c r="I65" s="299"/>
    </row>
    <row r="66" spans="1:9" x14ac:dyDescent="0.25">
      <c r="A66" s="294" t="s">
        <v>53</v>
      </c>
      <c r="B66" s="356"/>
      <c r="C66" s="330"/>
      <c r="D66" s="299">
        <f t="shared" ref="D66:I66" si="13">D30/D47*1000000</f>
        <v>8970.1895808067475</v>
      </c>
      <c r="E66" s="299">
        <f t="shared" si="13"/>
        <v>35428.883301459486</v>
      </c>
      <c r="F66" s="299">
        <f t="shared" si="13"/>
        <v>992597.84409266419</v>
      </c>
      <c r="G66" s="299">
        <f t="shared" si="13"/>
        <v>636.26066640063846</v>
      </c>
      <c r="H66" s="299">
        <f t="shared" si="13"/>
        <v>743.5564571428572</v>
      </c>
      <c r="I66" s="299">
        <f t="shared" si="13"/>
        <v>2471.8690066225163</v>
      </c>
    </row>
    <row r="67" spans="1:9" x14ac:dyDescent="0.25">
      <c r="A67" s="294" t="s">
        <v>54</v>
      </c>
      <c r="B67" s="356"/>
      <c r="C67" s="330"/>
      <c r="D67" s="299">
        <f t="shared" ref="D67:I67" si="14">D31/D48*1000000</f>
        <v>8999.9338891798452</v>
      </c>
      <c r="E67" s="299">
        <f t="shared" si="14"/>
        <v>35993.407110247688</v>
      </c>
      <c r="F67" s="299">
        <f t="shared" si="14"/>
        <v>1007805.1407250019</v>
      </c>
      <c r="G67" s="299">
        <f t="shared" si="14"/>
        <v>641.42995830851703</v>
      </c>
      <c r="H67" s="299">
        <f t="shared" si="14"/>
        <v>747.76442577030809</v>
      </c>
      <c r="I67" s="299">
        <f t="shared" si="14"/>
        <v>2594.7470163934427</v>
      </c>
    </row>
    <row r="68" spans="1:9" x14ac:dyDescent="0.25">
      <c r="A68" s="294" t="s">
        <v>110</v>
      </c>
      <c r="B68" s="356"/>
      <c r="C68" s="330"/>
      <c r="D68" s="299">
        <f t="shared" ref="D68:I68" si="15">D32/D49*1000000</f>
        <v>8884.8663658574624</v>
      </c>
      <c r="E68" s="299">
        <f t="shared" si="15"/>
        <v>35298.417850070713</v>
      </c>
      <c r="F68" s="299">
        <f t="shared" si="15"/>
        <v>943638.2416666667</v>
      </c>
      <c r="G68" s="299">
        <f t="shared" si="15"/>
        <v>656.20142289498574</v>
      </c>
      <c r="H68" s="299">
        <f t="shared" si="15"/>
        <v>775.59002832861177</v>
      </c>
      <c r="I68" s="299">
        <f t="shared" si="15"/>
        <v>2547.2344805194807</v>
      </c>
    </row>
    <row r="69" spans="1:9" x14ac:dyDescent="0.25">
      <c r="A69" s="294" t="s">
        <v>111</v>
      </c>
      <c r="B69" s="356"/>
      <c r="C69" s="330"/>
      <c r="D69" s="299">
        <f t="shared" ref="D69:I69" si="16">D33/D50*1000000</f>
        <v>8671.6282429099865</v>
      </c>
      <c r="E69" s="299">
        <f t="shared" si="16"/>
        <v>32067.410352622061</v>
      </c>
      <c r="F69" s="299">
        <f t="shared" si="16"/>
        <v>930966.38680083619</v>
      </c>
      <c r="G69" s="299">
        <f t="shared" si="16"/>
        <v>659.50340163934436</v>
      </c>
      <c r="H69" s="299">
        <f t="shared" si="16"/>
        <v>747.15017441860459</v>
      </c>
      <c r="I69" s="299">
        <f t="shared" si="16"/>
        <v>2423.1853246753249</v>
      </c>
    </row>
    <row r="70" spans="1:9" x14ac:dyDescent="0.25">
      <c r="A70" s="294" t="s">
        <v>72</v>
      </c>
      <c r="B70" s="356"/>
      <c r="C70" s="330"/>
      <c r="D70" s="299">
        <f t="shared" ref="D70:I70" si="17">D34/D51*1000000</f>
        <v>8718.3981392526675</v>
      </c>
      <c r="E70" s="299">
        <f t="shared" si="17"/>
        <v>31238.996971008219</v>
      </c>
      <c r="F70" s="299">
        <f t="shared" si="17"/>
        <v>952822.78773140092</v>
      </c>
      <c r="G70" s="299">
        <f t="shared" si="17"/>
        <v>658.82839140103783</v>
      </c>
      <c r="H70" s="299">
        <f t="shared" si="17"/>
        <v>767.74096385542168</v>
      </c>
      <c r="I70" s="299">
        <f t="shared" si="17"/>
        <v>2395.6923076923081</v>
      </c>
    </row>
    <row r="71" spans="1:9" x14ac:dyDescent="0.25">
      <c r="A71" s="294" t="s">
        <v>75</v>
      </c>
      <c r="B71" s="356"/>
      <c r="C71" s="330"/>
      <c r="D71" s="299">
        <f t="shared" ref="D71:I71" si="18">D35/D52*1000000</f>
        <v>8594.6511255627811</v>
      </c>
      <c r="E71" s="299">
        <f t="shared" si="18"/>
        <v>31836.337328007099</v>
      </c>
      <c r="F71" s="299">
        <f t="shared" si="18"/>
        <v>932622.5666298056</v>
      </c>
      <c r="G71" s="299">
        <f t="shared" si="18"/>
        <v>640.4620082629782</v>
      </c>
      <c r="H71" s="299">
        <f t="shared" si="18"/>
        <v>613.72755417956648</v>
      </c>
      <c r="I71" s="299">
        <f t="shared" si="18"/>
        <v>2147.1936507936507</v>
      </c>
    </row>
    <row r="72" spans="1:9" x14ac:dyDescent="0.25">
      <c r="A72" s="294" t="s">
        <v>196</v>
      </c>
      <c r="B72" s="356"/>
      <c r="C72" s="330"/>
      <c r="D72" s="299">
        <f t="shared" ref="D72:I72" si="19">D36/D53*1000000</f>
        <v>8495.1554784333166</v>
      </c>
      <c r="E72" s="299">
        <f t="shared" si="19"/>
        <v>32205.277978339353</v>
      </c>
      <c r="F72" s="299">
        <f t="shared" si="19"/>
        <v>948453.14170872909</v>
      </c>
      <c r="G72" s="299">
        <f t="shared" si="19"/>
        <v>641.05716725978641</v>
      </c>
      <c r="H72" s="299">
        <f t="shared" si="19"/>
        <v>793.21019108280257</v>
      </c>
      <c r="I72" s="299">
        <f t="shared" si="19"/>
        <v>3170.8122605363988</v>
      </c>
    </row>
    <row r="73" spans="1:9" s="307" customFormat="1" x14ac:dyDescent="0.25">
      <c r="A73" s="308" t="str">
        <f>A18</f>
        <v>2013 Bridge</v>
      </c>
      <c r="B73" s="323"/>
      <c r="C73" s="292"/>
      <c r="D73" s="312">
        <f t="shared" ref="D73:I73" si="20">D37/D54*1000000</f>
        <v>8710.1887506254443</v>
      </c>
      <c r="E73" s="312">
        <f t="shared" si="20"/>
        <v>32921.957498392367</v>
      </c>
      <c r="F73" s="312">
        <f t="shared" si="20"/>
        <v>972165.64748329623</v>
      </c>
      <c r="G73" s="312">
        <f t="shared" si="20"/>
        <v>644.87895146515712</v>
      </c>
      <c r="H73" s="312">
        <f t="shared" si="20"/>
        <v>790.64345759397111</v>
      </c>
      <c r="I73" s="312">
        <f t="shared" si="20"/>
        <v>3305.1768958020061</v>
      </c>
    </row>
    <row r="74" spans="1:9" s="307" customFormat="1" x14ac:dyDescent="0.25">
      <c r="A74" s="308" t="str">
        <f>A19</f>
        <v>2014 Test</v>
      </c>
      <c r="B74" s="323"/>
      <c r="C74" s="292"/>
      <c r="D74" s="312">
        <f t="shared" ref="D74:I74" si="21">D38/D55*1000000</f>
        <v>8700.0186386047571</v>
      </c>
      <c r="E74" s="312">
        <f t="shared" si="21"/>
        <v>32693.463323711083</v>
      </c>
      <c r="F74" s="312">
        <f t="shared" si="21"/>
        <v>979779.83673583891</v>
      </c>
      <c r="G74" s="312">
        <f t="shared" si="21"/>
        <v>648.72351996381451</v>
      </c>
      <c r="H74" s="312">
        <f t="shared" si="21"/>
        <v>788.08502974830571</v>
      </c>
      <c r="I74" s="312">
        <f t="shared" si="21"/>
        <v>3445.2352945977846</v>
      </c>
    </row>
    <row r="75" spans="1:9" x14ac:dyDescent="0.25">
      <c r="A75" s="341"/>
      <c r="B75" s="342"/>
      <c r="C75" s="342"/>
      <c r="D75" s="342"/>
      <c r="E75" s="342"/>
      <c r="F75" s="342"/>
      <c r="G75" s="342"/>
      <c r="H75" s="342"/>
      <c r="I75" s="357"/>
    </row>
    <row r="76" spans="1:9" x14ac:dyDescent="0.25">
      <c r="A76" s="783" t="s">
        <v>115</v>
      </c>
      <c r="B76" s="784"/>
      <c r="C76" s="784"/>
      <c r="D76" s="784"/>
      <c r="E76" s="784"/>
      <c r="F76" s="784"/>
      <c r="G76" s="784"/>
      <c r="H76" s="784"/>
      <c r="I76" s="785"/>
    </row>
    <row r="77" spans="1:9" x14ac:dyDescent="0.25">
      <c r="A77" s="358"/>
      <c r="B77" s="359"/>
      <c r="C77" s="359"/>
      <c r="D77" s="359"/>
      <c r="E77" s="359"/>
      <c r="F77" s="359"/>
      <c r="G77" s="359"/>
      <c r="H77" s="359"/>
      <c r="I77" s="360"/>
    </row>
    <row r="78" spans="1:9" x14ac:dyDescent="0.25">
      <c r="A78" s="563" t="s">
        <v>404</v>
      </c>
      <c r="B78" s="564"/>
      <c r="C78" s="564"/>
      <c r="D78" s="565">
        <f t="shared" ref="D78:I78" si="22">D61/D72-1</f>
        <v>4.8009903943961874E-3</v>
      </c>
      <c r="E78" s="565">
        <f t="shared" si="22"/>
        <v>0.11055478791917261</v>
      </c>
      <c r="F78" s="565">
        <f t="shared" si="22"/>
        <v>-2.2251812763298795E-2</v>
      </c>
      <c r="G78" s="565">
        <f t="shared" si="22"/>
        <v>2.3373783464244902E-2</v>
      </c>
      <c r="H78" s="565">
        <f t="shared" si="22"/>
        <v>-4.3347891287015883E-2</v>
      </c>
      <c r="I78" s="565">
        <f t="shared" si="22"/>
        <v>-0.21787963755846596</v>
      </c>
    </row>
    <row r="79" spans="1:9" x14ac:dyDescent="0.25">
      <c r="A79" s="358"/>
      <c r="B79" s="359"/>
      <c r="C79" s="359"/>
      <c r="D79" s="359"/>
      <c r="E79" s="359"/>
      <c r="F79" s="359"/>
      <c r="G79" s="359"/>
      <c r="H79" s="359"/>
      <c r="I79" s="359"/>
    </row>
    <row r="80" spans="1:9" x14ac:dyDescent="0.25">
      <c r="A80" s="361" t="str">
        <f t="shared" ref="A80:A91" si="23">A63</f>
        <v xml:space="preserve">2003 Actual </v>
      </c>
      <c r="B80" s="311"/>
      <c r="C80" s="311"/>
      <c r="D80" s="298"/>
      <c r="E80" s="311"/>
      <c r="F80" s="311"/>
      <c r="G80" s="311"/>
      <c r="H80" s="311"/>
      <c r="I80" s="311"/>
    </row>
    <row r="81" spans="1:12" x14ac:dyDescent="0.25">
      <c r="A81" s="361" t="str">
        <f t="shared" si="23"/>
        <v xml:space="preserve">2004 Actual </v>
      </c>
      <c r="B81" s="311"/>
      <c r="C81" s="311"/>
      <c r="D81" s="298">
        <f t="shared" ref="D81:I89" si="24">D64/D63-1</f>
        <v>-1.9497788243170167E-2</v>
      </c>
      <c r="E81" s="298">
        <f t="shared" si="24"/>
        <v>-6.8183406500459398E-3</v>
      </c>
      <c r="F81" s="298">
        <f t="shared" si="24"/>
        <v>-8.0481231113818108E-3</v>
      </c>
      <c r="G81" s="298">
        <f t="shared" si="24"/>
        <v>6.4359898275473615E-2</v>
      </c>
      <c r="H81" s="298">
        <f t="shared" si="24"/>
        <v>-2.3219160963025676E-2</v>
      </c>
      <c r="I81" s="298"/>
    </row>
    <row r="82" spans="1:12" x14ac:dyDescent="0.25">
      <c r="A82" s="361" t="str">
        <f t="shared" si="23"/>
        <v xml:space="preserve">2005 Actual </v>
      </c>
      <c r="B82" s="361"/>
      <c r="C82" s="361"/>
      <c r="D82" s="298">
        <f t="shared" si="24"/>
        <v>4.3644220472720541E-2</v>
      </c>
      <c r="E82" s="298">
        <f t="shared" si="24"/>
        <v>0.12083705433607062</v>
      </c>
      <c r="F82" s="298">
        <f t="shared" si="24"/>
        <v>4.4850776866319109E-2</v>
      </c>
      <c r="G82" s="298">
        <f t="shared" si="24"/>
        <v>-4.6156001469084273E-2</v>
      </c>
      <c r="H82" s="298">
        <f t="shared" si="24"/>
        <v>-1.9075177288323752E-2</v>
      </c>
      <c r="I82" s="298"/>
    </row>
    <row r="83" spans="1:12" x14ac:dyDescent="0.25">
      <c r="A83" s="361" t="str">
        <f t="shared" si="23"/>
        <v xml:space="preserve">2006 Actual </v>
      </c>
      <c r="B83" s="361"/>
      <c r="C83" s="361"/>
      <c r="D83" s="298">
        <f t="shared" si="24"/>
        <v>-3.4852908465617616E-2</v>
      </c>
      <c r="E83" s="298">
        <f t="shared" si="24"/>
        <v>1.5168712121092831E-2</v>
      </c>
      <c r="F83" s="298">
        <f t="shared" si="24"/>
        <v>8.6320258190073496E-2</v>
      </c>
      <c r="G83" s="298">
        <f t="shared" si="24"/>
        <v>3.1348492140671036E-2</v>
      </c>
      <c r="H83" s="298">
        <f t="shared" si="24"/>
        <v>-4.9779547349894093E-2</v>
      </c>
      <c r="I83" s="298"/>
    </row>
    <row r="84" spans="1:12" x14ac:dyDescent="0.25">
      <c r="A84" s="361" t="str">
        <f t="shared" si="23"/>
        <v xml:space="preserve">2007 Actual </v>
      </c>
      <c r="B84" s="361"/>
      <c r="C84" s="361"/>
      <c r="D84" s="298">
        <f t="shared" si="24"/>
        <v>3.315906325630058E-3</v>
      </c>
      <c r="E84" s="298">
        <f t="shared" si="24"/>
        <v>1.5933999499356144E-2</v>
      </c>
      <c r="F84" s="298">
        <f t="shared" si="24"/>
        <v>1.5320702863543589E-2</v>
      </c>
      <c r="G84" s="298">
        <f t="shared" si="24"/>
        <v>8.1244876209645156E-3</v>
      </c>
      <c r="H84" s="298">
        <f t="shared" si="24"/>
        <v>5.6592456255710744E-3</v>
      </c>
      <c r="I84" s="298">
        <f t="shared" si="24"/>
        <v>4.9710566960351699E-2</v>
      </c>
    </row>
    <row r="85" spans="1:12" x14ac:dyDescent="0.25">
      <c r="A85" s="361" t="str">
        <f t="shared" si="23"/>
        <v xml:space="preserve">2008 Actual </v>
      </c>
      <c r="B85" s="361"/>
      <c r="C85" s="361"/>
      <c r="D85" s="298">
        <f t="shared" si="24"/>
        <v>-1.278537428599591E-2</v>
      </c>
      <c r="E85" s="298">
        <f t="shared" si="24"/>
        <v>-1.9308793358967846E-2</v>
      </c>
      <c r="F85" s="298">
        <f t="shared" si="24"/>
        <v>-6.3669946168536495E-2</v>
      </c>
      <c r="G85" s="298">
        <f t="shared" si="24"/>
        <v>2.3028959584958875E-2</v>
      </c>
      <c r="H85" s="298">
        <f t="shared" si="24"/>
        <v>3.7211722835890804E-2</v>
      </c>
      <c r="I85" s="298">
        <f t="shared" si="24"/>
        <v>-1.8311047502427291E-2</v>
      </c>
    </row>
    <row r="86" spans="1:12" x14ac:dyDescent="0.25">
      <c r="A86" s="361" t="str">
        <f t="shared" si="23"/>
        <v>2009 Actual</v>
      </c>
      <c r="B86" s="361"/>
      <c r="C86" s="361"/>
      <c r="D86" s="298">
        <f t="shared" si="24"/>
        <v>-2.400014971152542E-2</v>
      </c>
      <c r="E86" s="298">
        <f t="shared" si="24"/>
        <v>-9.1534060001564055E-2</v>
      </c>
      <c r="F86" s="298">
        <f t="shared" si="24"/>
        <v>-1.3428721205119176E-2</v>
      </c>
      <c r="G86" s="298">
        <f t="shared" si="24"/>
        <v>5.0319591350338477E-3</v>
      </c>
      <c r="H86" s="298">
        <f t="shared" si="24"/>
        <v>-3.6668668847244956E-2</v>
      </c>
      <c r="I86" s="298">
        <f t="shared" si="24"/>
        <v>-4.8699543286198521E-2</v>
      </c>
    </row>
    <row r="87" spans="1:12" x14ac:dyDescent="0.25">
      <c r="A87" s="361" t="str">
        <f t="shared" si="23"/>
        <v xml:space="preserve">2010 Actual </v>
      </c>
      <c r="B87" s="361"/>
      <c r="C87" s="361"/>
      <c r="D87" s="298">
        <f t="shared" si="24"/>
        <v>5.3934388136300804E-3</v>
      </c>
      <c r="E87" s="298">
        <f t="shared" si="24"/>
        <v>-2.5833498012604705E-2</v>
      </c>
      <c r="F87" s="298">
        <f t="shared" si="24"/>
        <v>2.3477110710379057E-2</v>
      </c>
      <c r="G87" s="298">
        <f t="shared" si="24"/>
        <v>-1.0235128986880726E-3</v>
      </c>
      <c r="H87" s="298">
        <f t="shared" si="24"/>
        <v>2.7559104102250709E-2</v>
      </c>
      <c r="I87" s="298">
        <f t="shared" si="24"/>
        <v>-1.1345816889469895E-2</v>
      </c>
    </row>
    <row r="88" spans="1:12" x14ac:dyDescent="0.25">
      <c r="A88" s="361" t="str">
        <f t="shared" si="23"/>
        <v xml:space="preserve">2011 Actual </v>
      </c>
      <c r="B88" s="361"/>
      <c r="C88" s="361"/>
      <c r="D88" s="298">
        <f t="shared" si="24"/>
        <v>-1.419377868656202E-2</v>
      </c>
      <c r="E88" s="298">
        <f t="shared" si="24"/>
        <v>1.9121624089059264E-2</v>
      </c>
      <c r="F88" s="298">
        <f t="shared" si="24"/>
        <v>-2.1200396717726E-2</v>
      </c>
      <c r="G88" s="298">
        <f t="shared" si="24"/>
        <v>-2.7877340105216808E-2</v>
      </c>
      <c r="H88" s="298">
        <f t="shared" si="24"/>
        <v>-0.20060595555880545</v>
      </c>
      <c r="I88" s="298">
        <f t="shared" si="24"/>
        <v>-0.10372728421790856</v>
      </c>
    </row>
    <row r="89" spans="1:12" s="307" customFormat="1" x14ac:dyDescent="0.25">
      <c r="A89" s="361" t="str">
        <f t="shared" si="23"/>
        <v xml:space="preserve">2012 Actual </v>
      </c>
      <c r="B89" s="361"/>
      <c r="C89" s="362"/>
      <c r="D89" s="298">
        <f t="shared" si="24"/>
        <v>-1.1576461414883776E-2</v>
      </c>
      <c r="E89" s="298">
        <f t="shared" si="24"/>
        <v>1.1588665069448334E-2</v>
      </c>
      <c r="F89" s="298">
        <f t="shared" si="24"/>
        <v>1.6974256945261335E-2</v>
      </c>
      <c r="G89" s="298">
        <f t="shared" si="24"/>
        <v>9.292651072658753E-4</v>
      </c>
      <c r="H89" s="298">
        <f t="shared" si="24"/>
        <v>0.29244676352061338</v>
      </c>
      <c r="I89" s="298">
        <f t="shared" si="24"/>
        <v>0.47672393655057421</v>
      </c>
    </row>
    <row r="90" spans="1:12" s="307" customFormat="1" x14ac:dyDescent="0.25">
      <c r="A90" s="362" t="str">
        <f t="shared" si="23"/>
        <v>2013 Bridge</v>
      </c>
      <c r="B90" s="362"/>
      <c r="C90" s="362"/>
      <c r="D90" s="311">
        <f t="shared" ref="D90:I91" si="25">D73/D72-1</f>
        <v>2.5312458699317864E-2</v>
      </c>
      <c r="E90" s="311">
        <f t="shared" si="25"/>
        <v>2.225348033123753E-2</v>
      </c>
      <c r="F90" s="311">
        <f t="shared" si="25"/>
        <v>2.5001241212451175E-2</v>
      </c>
      <c r="G90" s="311">
        <f t="shared" si="25"/>
        <v>5.9616901589401028E-3</v>
      </c>
      <c r="H90" s="311">
        <f t="shared" si="25"/>
        <v>-3.2358806249420669E-3</v>
      </c>
      <c r="I90" s="311">
        <f t="shared" si="25"/>
        <v>4.2375462255490826E-2</v>
      </c>
    </row>
    <row r="91" spans="1:12" s="307" customFormat="1" x14ac:dyDescent="0.25">
      <c r="A91" s="362" t="str">
        <f t="shared" si="23"/>
        <v>2014 Test</v>
      </c>
      <c r="B91" s="362"/>
      <c r="C91" s="362"/>
      <c r="D91" s="311">
        <f t="shared" si="25"/>
        <v>-1.167610979722622E-3</v>
      </c>
      <c r="E91" s="311">
        <f t="shared" si="25"/>
        <v>-6.9404796082505049E-3</v>
      </c>
      <c r="F91" s="311">
        <f t="shared" si="25"/>
        <v>7.8321932813136819E-3</v>
      </c>
      <c r="G91" s="311">
        <f t="shared" si="25"/>
        <v>5.9616901589401028E-3</v>
      </c>
      <c r="H91" s="311">
        <f t="shared" si="25"/>
        <v>-3.2358806249418448E-3</v>
      </c>
      <c r="I91" s="311">
        <f t="shared" si="25"/>
        <v>4.2375462255490826E-2</v>
      </c>
    </row>
    <row r="92" spans="1:12" s="307" customFormat="1" x14ac:dyDescent="0.25">
      <c r="A92" s="363"/>
      <c r="B92" s="364"/>
      <c r="C92" s="364"/>
      <c r="D92" s="301"/>
      <c r="E92" s="301"/>
      <c r="F92" s="301"/>
      <c r="G92" s="301"/>
      <c r="H92" s="301"/>
      <c r="I92" s="301"/>
      <c r="J92" s="301"/>
      <c r="K92" s="302"/>
    </row>
    <row r="93" spans="1:12" ht="45" customHeight="1" x14ac:dyDescent="0.25">
      <c r="D93" s="754" t="s">
        <v>477</v>
      </c>
      <c r="E93" s="755"/>
      <c r="F93" s="755"/>
      <c r="G93" s="755"/>
      <c r="H93" s="756"/>
      <c r="J93" s="302"/>
    </row>
    <row r="94" spans="1:12" x14ac:dyDescent="0.25">
      <c r="D94" s="757" t="s">
        <v>405</v>
      </c>
      <c r="E94" s="757"/>
      <c r="F94" s="757"/>
      <c r="G94" s="757"/>
      <c r="H94" s="757"/>
      <c r="J94" s="302"/>
    </row>
    <row r="95" spans="1:12" x14ac:dyDescent="0.25">
      <c r="D95" s="758">
        <f>'CDM Data'!S16</f>
        <v>11820000</v>
      </c>
      <c r="E95" s="758"/>
      <c r="F95" s="758"/>
      <c r="G95" s="758"/>
      <c r="H95" s="758"/>
      <c r="J95" s="302"/>
      <c r="L95" s="293"/>
    </row>
    <row r="96" spans="1:12" x14ac:dyDescent="0.25">
      <c r="D96" s="365">
        <v>2011</v>
      </c>
      <c r="E96" s="365">
        <v>2012</v>
      </c>
      <c r="F96" s="365">
        <v>2013</v>
      </c>
      <c r="G96" s="365">
        <v>2014</v>
      </c>
      <c r="H96" s="365" t="s">
        <v>9</v>
      </c>
      <c r="J96" s="302"/>
      <c r="L96" s="293"/>
    </row>
    <row r="97" spans="1:12" x14ac:dyDescent="0.25">
      <c r="D97" s="757" t="s">
        <v>406</v>
      </c>
      <c r="E97" s="757"/>
      <c r="F97" s="757"/>
      <c r="G97" s="757"/>
      <c r="H97" s="757"/>
      <c r="J97" s="302"/>
      <c r="L97" s="293"/>
    </row>
    <row r="98" spans="1:12" x14ac:dyDescent="0.25">
      <c r="D98" s="366"/>
      <c r="E98" s="366">
        <f>'CDM Data'!P13</f>
        <v>1000000</v>
      </c>
      <c r="F98" s="366">
        <f>'CDM Data'!Q13</f>
        <v>900000</v>
      </c>
      <c r="G98" s="366">
        <f>'CDM Data'!R13</f>
        <v>900000</v>
      </c>
      <c r="H98" s="366">
        <f>SUM(D98:G98)</f>
        <v>2800000</v>
      </c>
      <c r="L98" s="293"/>
    </row>
    <row r="99" spans="1:12" x14ac:dyDescent="0.25">
      <c r="D99" s="366"/>
      <c r="E99" s="758" t="s">
        <v>116</v>
      </c>
      <c r="F99" s="758"/>
      <c r="G99" s="758"/>
      <c r="H99" s="758"/>
      <c r="L99" s="293"/>
    </row>
    <row r="100" spans="1:12" x14ac:dyDescent="0.25">
      <c r="D100" s="366">
        <f>'CDM Data'!O12</f>
        <v>1160000</v>
      </c>
      <c r="E100" s="366">
        <f>'CDM Data'!P12</f>
        <v>1130000</v>
      </c>
      <c r="F100" s="366">
        <f>'CDM Data'!Q12</f>
        <v>1130000</v>
      </c>
      <c r="G100" s="366">
        <f>'CDM Data'!R12</f>
        <v>1120000</v>
      </c>
      <c r="H100" s="450">
        <f>SUM(D100:G100)</f>
        <v>4540000</v>
      </c>
      <c r="L100" s="293"/>
    </row>
    <row r="101" spans="1:12" x14ac:dyDescent="0.25">
      <c r="D101" s="758" t="s">
        <v>117</v>
      </c>
      <c r="E101" s="758"/>
      <c r="F101" s="758"/>
      <c r="G101" s="759"/>
      <c r="H101" s="367"/>
      <c r="L101" s="293"/>
    </row>
    <row r="102" spans="1:12" x14ac:dyDescent="0.25">
      <c r="D102" s="365">
        <v>2006</v>
      </c>
      <c r="E102" s="365">
        <v>2007</v>
      </c>
      <c r="F102" s="365">
        <v>2008</v>
      </c>
      <c r="G102" s="365">
        <v>2009</v>
      </c>
      <c r="H102" s="365">
        <v>2010</v>
      </c>
      <c r="L102" s="293"/>
    </row>
    <row r="103" spans="1:12" x14ac:dyDescent="0.25">
      <c r="D103" s="366">
        <f t="array" ref="D103:H103">TRANSPOSE('CDM Data'!C3:C7)</f>
        <v>797108.65366579581</v>
      </c>
      <c r="E103" s="366">
        <v>1393096.129048256</v>
      </c>
      <c r="F103" s="366">
        <v>1720478.4509816684</v>
      </c>
      <c r="G103" s="366">
        <v>2687127.2240572851</v>
      </c>
      <c r="H103" s="366">
        <v>3367999.0854078466</v>
      </c>
      <c r="L103" s="293"/>
    </row>
    <row r="104" spans="1:12" x14ac:dyDescent="0.25">
      <c r="D104" s="365">
        <v>2011</v>
      </c>
      <c r="E104" s="365">
        <v>2012</v>
      </c>
      <c r="F104" s="365">
        <v>2013</v>
      </c>
      <c r="G104" s="365">
        <v>2014</v>
      </c>
      <c r="H104" s="368"/>
      <c r="L104" s="293"/>
    </row>
    <row r="105" spans="1:12" x14ac:dyDescent="0.25">
      <c r="D105" s="366">
        <f t="array" ref="D105:G105">TRANSPOSE('CDM Data'!C8:C11)</f>
        <v>3065642.8522753869</v>
      </c>
      <c r="E105" s="366">
        <v>3002780.7271086173</v>
      </c>
      <c r="F105" s="366">
        <v>2978413.379797833</v>
      </c>
      <c r="G105" s="366">
        <v>2807718.4816886685</v>
      </c>
      <c r="H105" s="368"/>
      <c r="L105" s="293"/>
    </row>
    <row r="106" spans="1:12" x14ac:dyDescent="0.25">
      <c r="D106" s="369"/>
      <c r="E106" s="370"/>
      <c r="F106" s="370"/>
      <c r="G106" s="370"/>
      <c r="L106" s="293"/>
    </row>
    <row r="107" spans="1:12" x14ac:dyDescent="0.25">
      <c r="A107" s="746" t="s">
        <v>156</v>
      </c>
      <c r="B107" s="747"/>
      <c r="C107" s="747"/>
      <c r="D107" s="748"/>
      <c r="L107" s="293"/>
    </row>
    <row r="108" spans="1:12" x14ac:dyDescent="0.25">
      <c r="A108" s="744" t="s">
        <v>118</v>
      </c>
      <c r="B108" s="745"/>
      <c r="C108" s="288"/>
      <c r="D108" s="289" t="s">
        <v>119</v>
      </c>
      <c r="K108" s="325"/>
    </row>
    <row r="109" spans="1:12" x14ac:dyDescent="0.25">
      <c r="A109" s="741" t="s">
        <v>22</v>
      </c>
      <c r="B109" s="742"/>
      <c r="C109" s="295"/>
      <c r="D109" s="371">
        <f>' Purchased Power Model'!S6</f>
        <v>0.86427164575886772</v>
      </c>
      <c r="K109" s="293"/>
    </row>
    <row r="110" spans="1:12" x14ac:dyDescent="0.25">
      <c r="A110" s="294" t="s">
        <v>23</v>
      </c>
      <c r="B110" s="295"/>
      <c r="C110" s="295"/>
      <c r="D110" s="371">
        <f>' Purchased Power Model'!S7</f>
        <v>0.85578862361879693</v>
      </c>
      <c r="K110" s="293"/>
    </row>
    <row r="111" spans="1:12" x14ac:dyDescent="0.25">
      <c r="A111" s="741" t="s">
        <v>120</v>
      </c>
      <c r="B111" s="742"/>
      <c r="C111" s="295"/>
      <c r="D111" s="372">
        <f>' Purchased Power Model'!V13</f>
        <v>101.88251680687678</v>
      </c>
      <c r="K111" s="293"/>
    </row>
    <row r="112" spans="1:12" x14ac:dyDescent="0.25">
      <c r="A112" s="294" t="s">
        <v>121</v>
      </c>
      <c r="B112" s="295"/>
      <c r="C112" s="295"/>
      <c r="D112" s="372"/>
      <c r="K112" s="293"/>
    </row>
    <row r="113" spans="1:11" x14ac:dyDescent="0.25">
      <c r="A113" s="373" t="str">
        <f>' Purchased Power Model'!R18</f>
        <v>Intercept</v>
      </c>
      <c r="B113" s="295"/>
      <c r="C113" s="295"/>
      <c r="D113" s="374">
        <f>' Purchased Power Model'!U18</f>
        <v>-3.7017336938210805</v>
      </c>
      <c r="K113" s="293"/>
    </row>
    <row r="114" spans="1:11" x14ac:dyDescent="0.25">
      <c r="A114" s="373" t="str">
        <f>' Purchased Power Model'!R19</f>
        <v>Heating Degree Days</v>
      </c>
      <c r="B114" s="295"/>
      <c r="C114" s="295"/>
      <c r="D114" s="374">
        <f>' Purchased Power Model'!U19</f>
        <v>20.61272306616501</v>
      </c>
      <c r="K114" s="293"/>
    </row>
    <row r="115" spans="1:11" x14ac:dyDescent="0.25">
      <c r="A115" s="373" t="str">
        <f>' Purchased Power Model'!R20</f>
        <v>Cooling Degree Days</v>
      </c>
      <c r="B115" s="295"/>
      <c r="C115" s="295"/>
      <c r="D115" s="374">
        <f>' Purchased Power Model'!U20</f>
        <v>12.025016093061863</v>
      </c>
      <c r="K115" s="293"/>
    </row>
    <row r="116" spans="1:11" x14ac:dyDescent="0.25">
      <c r="A116" s="373" t="str">
        <f>' Purchased Power Model'!R21</f>
        <v xml:space="preserve">Ontario Employment </v>
      </c>
      <c r="B116" s="295"/>
      <c r="C116" s="295"/>
      <c r="D116" s="374">
        <f>' Purchased Power Model'!U21</f>
        <v>6.2381259802091362</v>
      </c>
      <c r="K116" s="293"/>
    </row>
    <row r="117" spans="1:11" ht="14.25" customHeight="1" x14ac:dyDescent="0.25">
      <c r="A117" s="373" t="str">
        <f>' Purchased Power Model'!R22</f>
        <v>Number of Days in Month</v>
      </c>
      <c r="B117" s="375"/>
      <c r="C117" s="295"/>
      <c r="D117" s="374">
        <f>' Purchased Power Model'!U22</f>
        <v>5.690228890790511</v>
      </c>
    </row>
    <row r="118" spans="1:11" x14ac:dyDescent="0.25">
      <c r="A118" s="373" t="str">
        <f>' Purchased Power Model'!R23</f>
        <v>Spring Fall Flag</v>
      </c>
      <c r="B118" s="295"/>
      <c r="C118" s="295"/>
      <c r="D118" s="374">
        <f>' Purchased Power Model'!U23</f>
        <v>-2.9881874616799391</v>
      </c>
    </row>
    <row r="119" spans="1:11" x14ac:dyDescent="0.25">
      <c r="A119" s="373" t="str">
        <f>' Purchased Power Model'!R24</f>
        <v>CDM Activity</v>
      </c>
      <c r="B119" s="356"/>
      <c r="C119" s="376"/>
      <c r="D119" s="374">
        <f>' Purchased Power Model'!U24</f>
        <v>-3.7694508686341139</v>
      </c>
    </row>
    <row r="120" spans="1:11" x14ac:dyDescent="0.25">
      <c r="A120" s="377" t="str">
        <f>' Purchased Power Model'!R25</f>
        <v>Number of Peak Hours</v>
      </c>
      <c r="B120" s="378"/>
      <c r="C120" s="376"/>
      <c r="D120" s="379">
        <f>' Purchased Power Model'!U25</f>
        <v>3.5168701161201708</v>
      </c>
    </row>
    <row r="121" spans="1:11" x14ac:dyDescent="0.25">
      <c r="A121" s="380"/>
      <c r="B121" s="381"/>
      <c r="C121" s="381"/>
      <c r="D121" s="382"/>
    </row>
    <row r="122" spans="1:11" x14ac:dyDescent="0.25">
      <c r="K122" s="325"/>
    </row>
    <row r="123" spans="1:11" x14ac:dyDescent="0.25">
      <c r="A123" s="746" t="s">
        <v>157</v>
      </c>
      <c r="B123" s="747"/>
      <c r="C123" s="747"/>
      <c r="D123" s="747"/>
      <c r="E123" s="747"/>
      <c r="F123" s="748"/>
      <c r="K123" s="302"/>
    </row>
    <row r="124" spans="1:11" x14ac:dyDescent="0.25">
      <c r="A124" s="744" t="s">
        <v>102</v>
      </c>
      <c r="B124" s="745"/>
      <c r="C124" s="288"/>
      <c r="D124" s="289" t="s">
        <v>122</v>
      </c>
      <c r="E124" s="289" t="s">
        <v>123</v>
      </c>
      <c r="F124" s="289" t="s">
        <v>8</v>
      </c>
      <c r="K124" s="302"/>
    </row>
    <row r="125" spans="1:11" x14ac:dyDescent="0.25">
      <c r="A125" s="749" t="s">
        <v>124</v>
      </c>
      <c r="B125" s="750"/>
      <c r="C125" s="750"/>
      <c r="D125" s="750"/>
      <c r="E125" s="750"/>
      <c r="F125" s="751"/>
      <c r="K125" s="302"/>
    </row>
    <row r="126" spans="1:11" x14ac:dyDescent="0.25">
      <c r="A126" s="741">
        <v>2003</v>
      </c>
      <c r="B126" s="742"/>
      <c r="C126" s="295"/>
      <c r="D126" s="296">
        <f>' Purchased Power Model'!C151/1000000</f>
        <v>249.92354034199997</v>
      </c>
      <c r="E126" s="296">
        <f>' Purchased Power Model'!O151/1000000</f>
        <v>254.22872931072789</v>
      </c>
      <c r="F126" s="383">
        <f t="shared" ref="F126:F135" si="26">E126/D126-1</f>
        <v>1.7226024258605754E-2</v>
      </c>
      <c r="G126" s="293"/>
      <c r="K126" s="302"/>
    </row>
    <row r="127" spans="1:11" x14ac:dyDescent="0.25">
      <c r="A127" s="741">
        <v>2004</v>
      </c>
      <c r="B127" s="742"/>
      <c r="C127" s="295"/>
      <c r="D127" s="296">
        <f>' Purchased Power Model'!C152/1000000</f>
        <v>252.91785645759998</v>
      </c>
      <c r="E127" s="296">
        <f>' Purchased Power Model'!O152/1000000</f>
        <v>256.22443465078806</v>
      </c>
      <c r="F127" s="383">
        <f t="shared" si="26"/>
        <v>1.3073723775380852E-2</v>
      </c>
      <c r="G127" s="293"/>
      <c r="K127" s="302"/>
    </row>
    <row r="128" spans="1:11" x14ac:dyDescent="0.25">
      <c r="A128" s="741">
        <v>2005</v>
      </c>
      <c r="B128" s="742"/>
      <c r="C128" s="295"/>
      <c r="D128" s="296">
        <f>' Purchased Power Model'!C153/1000000</f>
        <v>261.52010469972004</v>
      </c>
      <c r="E128" s="296">
        <f>' Purchased Power Model'!O153/1000000</f>
        <v>262.71130638453059</v>
      </c>
      <c r="F128" s="383">
        <f t="shared" si="26"/>
        <v>4.5549143771501654E-3</v>
      </c>
      <c r="G128" s="293"/>
      <c r="K128" s="302"/>
    </row>
    <row r="129" spans="1:12" x14ac:dyDescent="0.25">
      <c r="A129" s="741">
        <v>2006</v>
      </c>
      <c r="B129" s="742"/>
      <c r="C129" s="295"/>
      <c r="D129" s="296">
        <f>' Purchased Power Model'!C154/1000000</f>
        <v>263.09088840446003</v>
      </c>
      <c r="E129" s="296">
        <f>' Purchased Power Model'!O154/1000000</f>
        <v>258.92089558458559</v>
      </c>
      <c r="F129" s="383">
        <f t="shared" si="26"/>
        <v>-1.5850008509088798E-2</v>
      </c>
      <c r="G129" s="293"/>
      <c r="K129" s="302"/>
    </row>
    <row r="130" spans="1:12" x14ac:dyDescent="0.25">
      <c r="A130" s="741">
        <v>2007</v>
      </c>
      <c r="B130" s="742"/>
      <c r="C130" s="295"/>
      <c r="D130" s="296">
        <f>' Purchased Power Model'!C155/1000000</f>
        <v>268.61793086324002</v>
      </c>
      <c r="E130" s="296">
        <f>' Purchased Power Model'!O155/1000000</f>
        <v>262.64329011945466</v>
      </c>
      <c r="F130" s="383">
        <f t="shared" si="26"/>
        <v>-2.2242151611342686E-2</v>
      </c>
      <c r="G130" s="293"/>
      <c r="K130" s="302"/>
    </row>
    <row r="131" spans="1:12" x14ac:dyDescent="0.25">
      <c r="A131" s="741">
        <v>2008</v>
      </c>
      <c r="B131" s="742"/>
      <c r="C131" s="295"/>
      <c r="D131" s="296">
        <f>' Purchased Power Model'!C156/1000000</f>
        <v>261.64345543000002</v>
      </c>
      <c r="E131" s="296">
        <f>' Purchased Power Model'!O156/1000000</f>
        <v>262.68030728775744</v>
      </c>
      <c r="F131" s="383">
        <f t="shared" si="26"/>
        <v>3.9628427015436785E-3</v>
      </c>
      <c r="G131" s="293"/>
      <c r="K131" s="302"/>
    </row>
    <row r="132" spans="1:12" x14ac:dyDescent="0.25">
      <c r="A132" s="741">
        <v>2009</v>
      </c>
      <c r="B132" s="742"/>
      <c r="C132" s="295"/>
      <c r="D132" s="296">
        <f>' Purchased Power Model'!C157/1000000</f>
        <v>254.48895253999999</v>
      </c>
      <c r="E132" s="296">
        <f>' Purchased Power Model'!O157/1000000</f>
        <v>252.84061346198899</v>
      </c>
      <c r="F132" s="383">
        <f t="shared" si="26"/>
        <v>-6.4770555325065482E-3</v>
      </c>
      <c r="G132" s="293"/>
      <c r="K132" s="302"/>
    </row>
    <row r="133" spans="1:12" x14ac:dyDescent="0.25">
      <c r="A133" s="741">
        <v>2010</v>
      </c>
      <c r="B133" s="742"/>
      <c r="C133" s="295"/>
      <c r="D133" s="296">
        <f>' Purchased Power Model'!C158/1000000</f>
        <v>261.17626129999996</v>
      </c>
      <c r="E133" s="296">
        <f>' Purchased Power Model'!O158/1000000</f>
        <v>257.81362674921684</v>
      </c>
      <c r="F133" s="383">
        <f t="shared" si="26"/>
        <v>-1.287496242593289E-2</v>
      </c>
      <c r="G133" s="293"/>
      <c r="K133" s="302"/>
    </row>
    <row r="134" spans="1:12" ht="12.75" customHeight="1" x14ac:dyDescent="0.25">
      <c r="A134" s="741">
        <v>2011</v>
      </c>
      <c r="B134" s="742"/>
      <c r="C134" s="384"/>
      <c r="D134" s="296">
        <f>' Purchased Power Model'!C159/1000000</f>
        <v>257.78303951999999</v>
      </c>
      <c r="E134" s="296">
        <f>' Purchased Power Model'!O159/1000000</f>
        <v>259.50151617453446</v>
      </c>
      <c r="F134" s="383">
        <f t="shared" si="26"/>
        <v>6.6663681898324612E-3</v>
      </c>
      <c r="G134" s="293"/>
    </row>
    <row r="135" spans="1:12" ht="12.75" customHeight="1" x14ac:dyDescent="0.25">
      <c r="A135" s="741">
        <v>2012</v>
      </c>
      <c r="B135" s="742"/>
      <c r="C135" s="385"/>
      <c r="D135" s="296">
        <f>' Purchased Power Model'!C160/1000000</f>
        <v>255.27933842063152</v>
      </c>
      <c r="E135" s="296">
        <f>' Purchased Power Model'!O160/1000000</f>
        <v>258.82583280264032</v>
      </c>
      <c r="F135" s="383">
        <f t="shared" si="26"/>
        <v>1.3892602526903719E-2</v>
      </c>
      <c r="G135" s="293"/>
    </row>
    <row r="136" spans="1:12" s="307" customFormat="1" ht="12.75" customHeight="1" x14ac:dyDescent="0.25">
      <c r="A136" s="749" t="s">
        <v>76</v>
      </c>
      <c r="B136" s="750"/>
      <c r="C136" s="750"/>
      <c r="D136" s="751"/>
      <c r="E136" s="309">
        <f>' Purchased Power Model'!O161/1000000</f>
        <v>261.78093365539229</v>
      </c>
      <c r="F136" s="386"/>
    </row>
    <row r="137" spans="1:12" s="307" customFormat="1" x14ac:dyDescent="0.25">
      <c r="A137" s="749" t="s">
        <v>197</v>
      </c>
      <c r="B137" s="750"/>
      <c r="C137" s="750"/>
      <c r="D137" s="751"/>
      <c r="E137" s="309">
        <f>' Purchased Power Model'!O162/1000000</f>
        <v>264.64202195537757</v>
      </c>
      <c r="F137" s="386"/>
      <c r="K137" s="387"/>
    </row>
    <row r="138" spans="1:12" s="307" customFormat="1" x14ac:dyDescent="0.25">
      <c r="A138" s="749" t="s">
        <v>408</v>
      </c>
      <c r="B138" s="750"/>
      <c r="C138" s="750"/>
      <c r="D138" s="751"/>
      <c r="E138" s="309">
        <f>' Purchased Power Model'!P182/1000000</f>
        <v>264.64202195537757</v>
      </c>
      <c r="F138" s="386"/>
      <c r="K138" s="387"/>
    </row>
    <row r="139" spans="1:12" s="302" customFormat="1" x14ac:dyDescent="0.25">
      <c r="A139" s="749" t="s">
        <v>409</v>
      </c>
      <c r="B139" s="750"/>
      <c r="C139" s="750"/>
      <c r="D139" s="751"/>
      <c r="E139" s="309">
        <f>' Purchased Power Model'!P198/1000000</f>
        <v>264.15980601139177</v>
      </c>
      <c r="F139" s="383"/>
      <c r="K139" s="344"/>
    </row>
    <row r="140" spans="1:12" x14ac:dyDescent="0.25">
      <c r="K140" s="293"/>
    </row>
    <row r="141" spans="1:12" x14ac:dyDescent="0.25">
      <c r="K141" s="293"/>
    </row>
    <row r="142" spans="1:12" x14ac:dyDescent="0.25">
      <c r="K142" s="293"/>
    </row>
    <row r="143" spans="1:12" x14ac:dyDescent="0.25">
      <c r="A143" s="561" t="s">
        <v>161</v>
      </c>
      <c r="B143" s="562"/>
      <c r="C143" s="562"/>
      <c r="D143" s="562"/>
      <c r="E143" s="562"/>
      <c r="F143" s="562"/>
      <c r="G143" s="562"/>
      <c r="H143" s="562"/>
      <c r="I143" s="562"/>
      <c r="J143" s="562"/>
      <c r="K143" s="339"/>
      <c r="L143" s="340"/>
    </row>
    <row r="144" spans="1:12" x14ac:dyDescent="0.25">
      <c r="A144" s="752" t="s">
        <v>102</v>
      </c>
      <c r="B144" s="753"/>
      <c r="C144" s="326"/>
      <c r="D144" s="327" t="str">
        <f t="shared" ref="D144:I144" si="27">D58</f>
        <v xml:space="preserve">Residential </v>
      </c>
      <c r="E144" s="327" t="str">
        <f t="shared" si="27"/>
        <v>GS&lt;50</v>
      </c>
      <c r="F144" s="327" t="str">
        <f t="shared" si="27"/>
        <v>GS&gt;50</v>
      </c>
      <c r="G144" s="327" t="str">
        <f t="shared" si="27"/>
        <v xml:space="preserve">Streetlights </v>
      </c>
      <c r="H144" s="327" t="str">
        <f t="shared" si="27"/>
        <v>Sentinels</v>
      </c>
      <c r="I144" s="327" t="str">
        <f t="shared" si="27"/>
        <v>USL</v>
      </c>
      <c r="J144" s="327" t="s">
        <v>9</v>
      </c>
    </row>
    <row r="145" spans="1:14" x14ac:dyDescent="0.25">
      <c r="A145" s="337" t="s">
        <v>113</v>
      </c>
      <c r="B145" s="338"/>
      <c r="C145" s="338"/>
      <c r="D145" s="338"/>
      <c r="E145" s="338"/>
      <c r="F145" s="338"/>
      <c r="G145" s="338"/>
      <c r="H145" s="338"/>
      <c r="I145" s="338"/>
      <c r="J145" s="388"/>
    </row>
    <row r="146" spans="1:14" x14ac:dyDescent="0.25">
      <c r="A146" s="294">
        <f t="shared" ref="A146:A155" si="28">A126</f>
        <v>2003</v>
      </c>
      <c r="B146" s="356"/>
      <c r="C146" s="330"/>
      <c r="D146" s="389">
        <f>'Rate Class Customer Model'!B3</f>
        <v>9072.5</v>
      </c>
      <c r="E146" s="389">
        <f>'Rate Class Customer Model'!C3</f>
        <v>971.5</v>
      </c>
      <c r="F146" s="389">
        <f>'Rate Class Customer Model'!D3</f>
        <v>143</v>
      </c>
      <c r="G146" s="389">
        <f>'Rate Class Customer Model'!E3</f>
        <v>2556.5</v>
      </c>
      <c r="H146" s="389">
        <f>'Rate Class Customer Model'!F3</f>
        <v>164</v>
      </c>
      <c r="I146" s="389">
        <f>'Rate Class Customer Model'!G3</f>
        <v>0</v>
      </c>
      <c r="J146" s="389">
        <f t="shared" ref="J146:J155" si="29">SUM(D146:I146)</f>
        <v>12907.5</v>
      </c>
      <c r="L146" s="293"/>
      <c r="M146" s="293"/>
      <c r="N146" s="293"/>
    </row>
    <row r="147" spans="1:14" x14ac:dyDescent="0.25">
      <c r="A147" s="294">
        <f t="shared" si="28"/>
        <v>2004</v>
      </c>
      <c r="B147" s="356"/>
      <c r="C147" s="330"/>
      <c r="D147" s="389">
        <f>'Rate Class Customer Model'!B4</f>
        <v>9278</v>
      </c>
      <c r="E147" s="389">
        <f>'Rate Class Customer Model'!C4</f>
        <v>982.5</v>
      </c>
      <c r="F147" s="389">
        <f>'Rate Class Customer Model'!D4</f>
        <v>145.5</v>
      </c>
      <c r="G147" s="389">
        <f>'Rate Class Customer Model'!E4</f>
        <v>2621.5</v>
      </c>
      <c r="H147" s="389">
        <f>'Rate Class Customer Model'!F4</f>
        <v>168</v>
      </c>
      <c r="I147" s="389">
        <f>'Rate Class Customer Model'!G4</f>
        <v>0</v>
      </c>
      <c r="J147" s="389">
        <f t="shared" si="29"/>
        <v>13195.5</v>
      </c>
      <c r="L147" s="293"/>
      <c r="M147" s="293"/>
      <c r="N147" s="293"/>
    </row>
    <row r="148" spans="1:14" x14ac:dyDescent="0.25">
      <c r="A148" s="294">
        <f t="shared" si="28"/>
        <v>2005</v>
      </c>
      <c r="B148" s="356"/>
      <c r="C148" s="330"/>
      <c r="D148" s="389">
        <f>'Rate Class Customer Model'!B5</f>
        <v>9425</v>
      </c>
      <c r="E148" s="389">
        <f>'Rate Class Customer Model'!C5</f>
        <v>985.5</v>
      </c>
      <c r="F148" s="389">
        <f>'Rate Class Customer Model'!D5</f>
        <v>138</v>
      </c>
      <c r="G148" s="389">
        <f>'Rate Class Customer Model'!E5</f>
        <v>2572.5</v>
      </c>
      <c r="H148" s="389">
        <f>'Rate Class Customer Model'!F5</f>
        <v>173</v>
      </c>
      <c r="I148" s="389">
        <f>'Rate Class Customer Model'!G5</f>
        <v>0</v>
      </c>
      <c r="J148" s="389">
        <f t="shared" si="29"/>
        <v>13294</v>
      </c>
      <c r="L148" s="293"/>
      <c r="M148" s="293"/>
      <c r="N148" s="293"/>
    </row>
    <row r="149" spans="1:14" x14ac:dyDescent="0.25">
      <c r="A149" s="294">
        <f t="shared" si="28"/>
        <v>2006</v>
      </c>
      <c r="B149" s="356"/>
      <c r="C149" s="330"/>
      <c r="D149" s="389">
        <f>'Rate Class Customer Model'!B6</f>
        <v>9482.5</v>
      </c>
      <c r="E149" s="389">
        <f>'Rate Class Customer Model'!C6</f>
        <v>993.5</v>
      </c>
      <c r="F149" s="389">
        <f>'Rate Class Customer Model'!D6</f>
        <v>129.5</v>
      </c>
      <c r="G149" s="389">
        <f>'Rate Class Customer Model'!E6</f>
        <v>2506</v>
      </c>
      <c r="H149" s="389">
        <f>'Rate Class Customer Model'!F6</f>
        <v>175</v>
      </c>
      <c r="I149" s="389">
        <f>'Rate Class Customer Model'!G6</f>
        <v>151</v>
      </c>
      <c r="J149" s="389">
        <f t="shared" si="29"/>
        <v>13437.5</v>
      </c>
      <c r="L149" s="293"/>
      <c r="M149" s="293"/>
      <c r="N149" s="293"/>
    </row>
    <row r="150" spans="1:14" x14ac:dyDescent="0.25">
      <c r="A150" s="294">
        <f t="shared" si="28"/>
        <v>2007</v>
      </c>
      <c r="B150" s="356"/>
      <c r="C150" s="330"/>
      <c r="D150" s="389">
        <f>'Rate Class Customer Model'!B7</f>
        <v>9547</v>
      </c>
      <c r="E150" s="389">
        <f>'Rate Class Customer Model'!C7</f>
        <v>1029.5</v>
      </c>
      <c r="F150" s="389">
        <f>'Rate Class Customer Model'!D7</f>
        <v>130.5</v>
      </c>
      <c r="G150" s="389">
        <f>'Rate Class Customer Model'!E7</f>
        <v>2518.5</v>
      </c>
      <c r="H150" s="389">
        <f>'Rate Class Customer Model'!F7</f>
        <v>178.5</v>
      </c>
      <c r="I150" s="389">
        <f>'Rate Class Customer Model'!G7</f>
        <v>152.5</v>
      </c>
      <c r="J150" s="389">
        <f t="shared" si="29"/>
        <v>13556.5</v>
      </c>
      <c r="L150" s="293"/>
      <c r="M150" s="293"/>
      <c r="N150" s="293"/>
    </row>
    <row r="151" spans="1:14" x14ac:dyDescent="0.25">
      <c r="A151" s="294">
        <f t="shared" si="28"/>
        <v>2008</v>
      </c>
      <c r="B151" s="356"/>
      <c r="C151" s="330"/>
      <c r="D151" s="389">
        <f>'Rate Class Customer Model'!B8</f>
        <v>9618.5</v>
      </c>
      <c r="E151" s="389">
        <f>'Rate Class Customer Model'!C8</f>
        <v>1060.5</v>
      </c>
      <c r="F151" s="389">
        <f>'Rate Class Customer Model'!D8</f>
        <v>132</v>
      </c>
      <c r="G151" s="389">
        <f>'Rate Class Customer Model'!E8</f>
        <v>2642.5</v>
      </c>
      <c r="H151" s="389">
        <f>'Rate Class Customer Model'!F8</f>
        <v>176.5</v>
      </c>
      <c r="I151" s="389">
        <f>'Rate Class Customer Model'!G8</f>
        <v>154</v>
      </c>
      <c r="J151" s="389">
        <f t="shared" si="29"/>
        <v>13784</v>
      </c>
      <c r="L151" s="293"/>
      <c r="M151" s="293"/>
      <c r="N151" s="293"/>
    </row>
    <row r="152" spans="1:14" x14ac:dyDescent="0.25">
      <c r="A152" s="294">
        <f t="shared" si="28"/>
        <v>2009</v>
      </c>
      <c r="B152" s="356"/>
      <c r="C152" s="330"/>
      <c r="D152" s="389">
        <f>'Rate Class Customer Model'!B9</f>
        <v>9732</v>
      </c>
      <c r="E152" s="389">
        <f>'Rate Class Customer Model'!C9</f>
        <v>1106</v>
      </c>
      <c r="F152" s="389">
        <f>'Rate Class Customer Model'!D9</f>
        <v>130.5</v>
      </c>
      <c r="G152" s="389">
        <f>'Rate Class Customer Model'!E9</f>
        <v>2684</v>
      </c>
      <c r="H152" s="389">
        <f>'Rate Class Customer Model'!F9</f>
        <v>172</v>
      </c>
      <c r="I152" s="389">
        <f>'Rate Class Customer Model'!G9</f>
        <v>154</v>
      </c>
      <c r="J152" s="389">
        <f t="shared" si="29"/>
        <v>13978.5</v>
      </c>
      <c r="L152" s="293"/>
      <c r="M152" s="293"/>
      <c r="N152" s="293"/>
    </row>
    <row r="153" spans="1:14" x14ac:dyDescent="0.25">
      <c r="A153" s="294">
        <f t="shared" si="28"/>
        <v>2010</v>
      </c>
      <c r="B153" s="356"/>
      <c r="C153" s="330"/>
      <c r="D153" s="389">
        <f>'Rate Class Customer Model'!B10</f>
        <v>9888.5</v>
      </c>
      <c r="E153" s="389">
        <f>'Rate Class Customer Model'!C10</f>
        <v>1155.5</v>
      </c>
      <c r="F153" s="389">
        <f>'Rate Class Customer Model'!D10</f>
        <v>129.5</v>
      </c>
      <c r="G153" s="389">
        <f>'Rate Class Customer Model'!E10</f>
        <v>2698</v>
      </c>
      <c r="H153" s="389">
        <f>'Rate Class Customer Model'!F10</f>
        <v>166</v>
      </c>
      <c r="I153" s="389">
        <f>'Rate Class Customer Model'!G10</f>
        <v>156</v>
      </c>
      <c r="J153" s="389">
        <f t="shared" si="29"/>
        <v>14193.5</v>
      </c>
      <c r="L153" s="293"/>
      <c r="M153" s="293"/>
      <c r="N153" s="293"/>
    </row>
    <row r="154" spans="1:14" x14ac:dyDescent="0.25">
      <c r="A154" s="294">
        <f t="shared" si="28"/>
        <v>2011</v>
      </c>
      <c r="B154" s="357"/>
      <c r="C154" s="330"/>
      <c r="D154" s="389">
        <f>'Rate Class Customer Model'!B11</f>
        <v>9995</v>
      </c>
      <c r="E154" s="389">
        <f>'Rate Class Customer Model'!C11</f>
        <v>1126.5</v>
      </c>
      <c r="F154" s="389">
        <f>'Rate Class Customer Model'!D11</f>
        <v>130.5</v>
      </c>
      <c r="G154" s="389">
        <f>'Rate Class Customer Model'!E11</f>
        <v>2783.5</v>
      </c>
      <c r="H154" s="389">
        <f>'Rate Class Customer Model'!F11</f>
        <v>161.5</v>
      </c>
      <c r="I154" s="389">
        <f>'Rate Class Customer Model'!G11</f>
        <v>157.5</v>
      </c>
      <c r="J154" s="389">
        <f t="shared" si="29"/>
        <v>14354.5</v>
      </c>
      <c r="L154" s="293"/>
      <c r="M154" s="293"/>
      <c r="N154" s="293"/>
    </row>
    <row r="155" spans="1:14" x14ac:dyDescent="0.25">
      <c r="A155" s="294">
        <f t="shared" si="28"/>
        <v>2012</v>
      </c>
      <c r="B155" s="357"/>
      <c r="D155" s="389">
        <f>'Rate Class Customer Model'!B12</f>
        <v>10085</v>
      </c>
      <c r="E155" s="389">
        <f>'Rate Class Customer Model'!C12</f>
        <v>1108</v>
      </c>
      <c r="F155" s="389">
        <f>'Rate Class Customer Model'!D12</f>
        <v>127</v>
      </c>
      <c r="G155" s="389">
        <f>'Rate Class Customer Model'!E12</f>
        <v>2810</v>
      </c>
      <c r="H155" s="389">
        <f>'Rate Class Customer Model'!F12</f>
        <v>157</v>
      </c>
      <c r="I155" s="389">
        <f>'Rate Class Customer Model'!G12</f>
        <v>130.5</v>
      </c>
      <c r="J155" s="389">
        <f t="shared" si="29"/>
        <v>14417.5</v>
      </c>
    </row>
    <row r="157" spans="1:14" x14ac:dyDescent="0.25">
      <c r="A157" s="561" t="s">
        <v>162</v>
      </c>
      <c r="B157" s="562"/>
      <c r="C157" s="562"/>
      <c r="D157" s="562"/>
      <c r="E157" s="562"/>
      <c r="F157" s="562"/>
      <c r="G157" s="562"/>
      <c r="H157" s="562"/>
      <c r="I157" s="562"/>
      <c r="J157" s="339"/>
      <c r="K157" s="340"/>
    </row>
    <row r="158" spans="1:14" x14ac:dyDescent="0.25">
      <c r="A158" s="743" t="s">
        <v>102</v>
      </c>
      <c r="B158" s="743"/>
      <c r="C158" s="326"/>
      <c r="D158" s="327" t="str">
        <f t="shared" ref="D158:I158" si="30">D144</f>
        <v xml:space="preserve">Residential </v>
      </c>
      <c r="E158" s="327" t="str">
        <f t="shared" si="30"/>
        <v>GS&lt;50</v>
      </c>
      <c r="F158" s="327" t="str">
        <f t="shared" si="30"/>
        <v>GS&gt;50</v>
      </c>
      <c r="G158" s="327" t="str">
        <f t="shared" si="30"/>
        <v xml:space="preserve">Streetlights </v>
      </c>
      <c r="H158" s="327" t="str">
        <f t="shared" si="30"/>
        <v>Sentinels</v>
      </c>
      <c r="I158" s="327" t="str">
        <f t="shared" si="30"/>
        <v>USL</v>
      </c>
    </row>
    <row r="159" spans="1:14" x14ac:dyDescent="0.25">
      <c r="A159" s="762" t="s">
        <v>125</v>
      </c>
      <c r="B159" s="763"/>
      <c r="C159" s="763"/>
      <c r="D159" s="763"/>
      <c r="E159" s="763"/>
      <c r="F159" s="763"/>
      <c r="G159" s="763"/>
      <c r="H159" s="763"/>
      <c r="I159" s="763"/>
    </row>
    <row r="160" spans="1:14" x14ac:dyDescent="0.25">
      <c r="A160" s="294">
        <f t="shared" ref="A160:A169" si="31">A146</f>
        <v>2003</v>
      </c>
      <c r="B160" s="356"/>
      <c r="C160" s="330"/>
      <c r="D160" s="390"/>
      <c r="E160" s="390"/>
      <c r="F160" s="390"/>
      <c r="G160" s="390"/>
      <c r="H160" s="390"/>
      <c r="I160" s="390"/>
      <c r="J160" s="391"/>
      <c r="K160" s="392"/>
      <c r="L160" s="392"/>
    </row>
    <row r="161" spans="1:12" x14ac:dyDescent="0.25">
      <c r="A161" s="294">
        <f t="shared" si="31"/>
        <v>2004</v>
      </c>
      <c r="B161" s="356"/>
      <c r="C161" s="330"/>
      <c r="D161" s="390">
        <f t="shared" ref="D161:H168" si="32">D147/D146-1</f>
        <v>2.2650868007715541E-2</v>
      </c>
      <c r="E161" s="390">
        <f t="shared" si="32"/>
        <v>1.1322696860524895E-2</v>
      </c>
      <c r="F161" s="390">
        <f t="shared" si="32"/>
        <v>1.7482517482517501E-2</v>
      </c>
      <c r="G161" s="390">
        <f t="shared" si="32"/>
        <v>2.5425386270291339E-2</v>
      </c>
      <c r="H161" s="390">
        <f t="shared" si="32"/>
        <v>2.4390243902439046E-2</v>
      </c>
      <c r="I161" s="390"/>
      <c r="J161" s="391"/>
      <c r="K161" s="392"/>
      <c r="L161" s="392"/>
    </row>
    <row r="162" spans="1:12" x14ac:dyDescent="0.25">
      <c r="A162" s="294">
        <f t="shared" si="31"/>
        <v>2005</v>
      </c>
      <c r="B162" s="356"/>
      <c r="C162" s="330"/>
      <c r="D162" s="390">
        <f t="shared" si="32"/>
        <v>1.5843931881871054E-2</v>
      </c>
      <c r="E162" s="390">
        <f t="shared" si="32"/>
        <v>3.0534351145037331E-3</v>
      </c>
      <c r="F162" s="390">
        <f t="shared" si="32"/>
        <v>-5.1546391752577359E-2</v>
      </c>
      <c r="G162" s="390">
        <f t="shared" si="32"/>
        <v>-1.8691588785046731E-2</v>
      </c>
      <c r="H162" s="390">
        <f t="shared" si="32"/>
        <v>2.9761904761904656E-2</v>
      </c>
      <c r="I162" s="390"/>
      <c r="J162" s="391"/>
      <c r="K162" s="392"/>
      <c r="L162" s="392"/>
    </row>
    <row r="163" spans="1:12" x14ac:dyDescent="0.25">
      <c r="A163" s="294">
        <f t="shared" si="31"/>
        <v>2006</v>
      </c>
      <c r="B163" s="356"/>
      <c r="C163" s="330"/>
      <c r="D163" s="390">
        <f t="shared" si="32"/>
        <v>6.1007957559682247E-3</v>
      </c>
      <c r="E163" s="390">
        <f t="shared" si="32"/>
        <v>8.1177067478437337E-3</v>
      </c>
      <c r="F163" s="390">
        <f t="shared" si="32"/>
        <v>-6.1594202898550776E-2</v>
      </c>
      <c r="G163" s="390">
        <f t="shared" si="32"/>
        <v>-2.5850340136054473E-2</v>
      </c>
      <c r="H163" s="390">
        <f t="shared" si="32"/>
        <v>1.1560693641618602E-2</v>
      </c>
      <c r="I163" s="390"/>
      <c r="J163" s="391"/>
      <c r="K163" s="392"/>
      <c r="L163" s="392"/>
    </row>
    <row r="164" spans="1:12" x14ac:dyDescent="0.25">
      <c r="A164" s="294">
        <f t="shared" si="31"/>
        <v>2007</v>
      </c>
      <c r="B164" s="356"/>
      <c r="C164" s="330"/>
      <c r="D164" s="390">
        <f t="shared" si="32"/>
        <v>6.8020036910096948E-3</v>
      </c>
      <c r="E164" s="390">
        <f t="shared" si="32"/>
        <v>3.6235530951182593E-2</v>
      </c>
      <c r="F164" s="390">
        <f t="shared" si="32"/>
        <v>7.7220077220077066E-3</v>
      </c>
      <c r="G164" s="390">
        <f t="shared" si="32"/>
        <v>4.9880287310455351E-3</v>
      </c>
      <c r="H164" s="390">
        <f t="shared" si="32"/>
        <v>2.0000000000000018E-2</v>
      </c>
      <c r="I164" s="390">
        <f>I150/I149-1</f>
        <v>9.9337748344370258E-3</v>
      </c>
      <c r="J164" s="391"/>
      <c r="K164" s="392"/>
      <c r="L164" s="392"/>
    </row>
    <row r="165" spans="1:12" x14ac:dyDescent="0.25">
      <c r="A165" s="294">
        <f t="shared" si="31"/>
        <v>2008</v>
      </c>
      <c r="B165" s="356"/>
      <c r="C165" s="330"/>
      <c r="D165" s="390">
        <f t="shared" si="32"/>
        <v>7.4892636430292647E-3</v>
      </c>
      <c r="E165" s="390">
        <f t="shared" si="32"/>
        <v>3.0111704711024867E-2</v>
      </c>
      <c r="F165" s="390">
        <f t="shared" si="32"/>
        <v>1.1494252873563315E-2</v>
      </c>
      <c r="G165" s="390">
        <f t="shared" si="32"/>
        <v>4.9235656144530404E-2</v>
      </c>
      <c r="H165" s="390">
        <f t="shared" si="32"/>
        <v>-1.1204481792717047E-2</v>
      </c>
      <c r="I165" s="390">
        <f>I151/I150-1</f>
        <v>9.8360655737705915E-3</v>
      </c>
      <c r="J165" s="391"/>
      <c r="K165" s="392"/>
      <c r="L165" s="392"/>
    </row>
    <row r="166" spans="1:12" x14ac:dyDescent="0.25">
      <c r="A166" s="294">
        <f t="shared" si="31"/>
        <v>2009</v>
      </c>
      <c r="B166" s="356"/>
      <c r="C166" s="330"/>
      <c r="D166" s="390">
        <f t="shared" si="32"/>
        <v>1.1800176742735369E-2</v>
      </c>
      <c r="E166" s="390">
        <f t="shared" si="32"/>
        <v>4.2904290429042868E-2</v>
      </c>
      <c r="F166" s="390">
        <f t="shared" si="32"/>
        <v>-1.1363636363636354E-2</v>
      </c>
      <c r="G166" s="390">
        <f t="shared" si="32"/>
        <v>1.5704824976348064E-2</v>
      </c>
      <c r="H166" s="390">
        <f t="shared" si="32"/>
        <v>-2.5495750708215303E-2</v>
      </c>
      <c r="I166" s="390">
        <f>I152/I151-1</f>
        <v>0</v>
      </c>
      <c r="J166" s="391"/>
      <c r="K166" s="392"/>
      <c r="L166" s="392"/>
    </row>
    <row r="167" spans="1:12" x14ac:dyDescent="0.25">
      <c r="A167" s="294">
        <f t="shared" si="31"/>
        <v>2010</v>
      </c>
      <c r="B167" s="356"/>
      <c r="C167" s="330"/>
      <c r="D167" s="390">
        <f t="shared" si="32"/>
        <v>1.6080969995889927E-2</v>
      </c>
      <c r="E167" s="390">
        <f t="shared" si="32"/>
        <v>4.4755877034358127E-2</v>
      </c>
      <c r="F167" s="390">
        <f t="shared" si="32"/>
        <v>-7.6628352490420992E-3</v>
      </c>
      <c r="G167" s="390">
        <f t="shared" si="32"/>
        <v>5.2160953800297616E-3</v>
      </c>
      <c r="H167" s="390">
        <f t="shared" si="32"/>
        <v>-3.4883720930232509E-2</v>
      </c>
      <c r="I167" s="390">
        <f>I153/I152-1</f>
        <v>1.298701298701288E-2</v>
      </c>
      <c r="J167" s="391"/>
      <c r="K167" s="392"/>
      <c r="L167" s="392"/>
    </row>
    <row r="168" spans="1:12" x14ac:dyDescent="0.25">
      <c r="A168" s="294">
        <f t="shared" si="31"/>
        <v>2011</v>
      </c>
      <c r="B168" s="357"/>
      <c r="C168" s="330"/>
      <c r="D168" s="390">
        <f t="shared" si="32"/>
        <v>1.0770086464074513E-2</v>
      </c>
      <c r="E168" s="390">
        <f t="shared" si="32"/>
        <v>-2.5097360450021644E-2</v>
      </c>
      <c r="F168" s="390">
        <f t="shared" si="32"/>
        <v>7.7220077220077066E-3</v>
      </c>
      <c r="G168" s="390">
        <f t="shared" si="32"/>
        <v>3.1690140845070491E-2</v>
      </c>
      <c r="H168" s="390">
        <f t="shared" si="32"/>
        <v>-2.7108433734939763E-2</v>
      </c>
      <c r="I168" s="390">
        <f>I154/I153-1</f>
        <v>9.6153846153845812E-3</v>
      </c>
      <c r="J168" s="391"/>
      <c r="K168" s="392"/>
      <c r="L168" s="392"/>
    </row>
    <row r="169" spans="1:12" x14ac:dyDescent="0.25">
      <c r="A169" s="294">
        <f t="shared" si="31"/>
        <v>2012</v>
      </c>
      <c r="D169" s="390">
        <f>D155/D154-1</f>
        <v>9.0045022511255901E-3</v>
      </c>
      <c r="E169" s="390">
        <f t="shared" ref="E169:I169" si="33">E155/E154-1</f>
        <v>-1.6422547714158853E-2</v>
      </c>
      <c r="F169" s="390">
        <f t="shared" si="33"/>
        <v>-2.6819923371647514E-2</v>
      </c>
      <c r="G169" s="390">
        <f t="shared" si="33"/>
        <v>9.5203880007184161E-3</v>
      </c>
      <c r="H169" s="390">
        <f t="shared" si="33"/>
        <v>-2.786377708978327E-2</v>
      </c>
      <c r="I169" s="390">
        <f t="shared" si="33"/>
        <v>-0.17142857142857137</v>
      </c>
    </row>
    <row r="170" spans="1:12" x14ac:dyDescent="0.25">
      <c r="A170" s="771" t="s">
        <v>126</v>
      </c>
      <c r="B170" s="771"/>
      <c r="C170" s="292"/>
      <c r="D170" s="393">
        <f>'Rate Class Customer Model'!B29-1</f>
        <v>1.1825071075470373E-2</v>
      </c>
      <c r="E170" s="393">
        <f>'Rate Class Customer Model'!C29-1</f>
        <v>1.4715060262512569E-2</v>
      </c>
      <c r="F170" s="393">
        <f>'Rate Class Customer Model'!D29-1</f>
        <v>-1.3097641039030883E-2</v>
      </c>
      <c r="G170" s="393">
        <f>'Rate Class Customer Model'!E29-1</f>
        <v>1.056041028766419E-2</v>
      </c>
      <c r="H170" s="393">
        <f>'Rate Class Customer Model'!F29-1</f>
        <v>-4.8350093592341992E-3</v>
      </c>
      <c r="I170" s="393">
        <f>'Rate Class Customer Model'!G29-1</f>
        <v>-2.4024473647584088E-2</v>
      </c>
    </row>
    <row r="171" spans="1:12" x14ac:dyDescent="0.25">
      <c r="D171" s="394"/>
      <c r="E171" s="394"/>
      <c r="F171" s="394"/>
      <c r="G171" s="394"/>
      <c r="H171" s="394"/>
      <c r="I171" s="394"/>
      <c r="J171" s="293"/>
      <c r="L171" s="302"/>
    </row>
    <row r="172" spans="1:12" x14ac:dyDescent="0.25">
      <c r="A172" s="561" t="s">
        <v>163</v>
      </c>
      <c r="B172" s="562"/>
      <c r="C172" s="562"/>
      <c r="D172" s="562"/>
      <c r="E172" s="562"/>
      <c r="F172" s="562"/>
      <c r="G172" s="562"/>
      <c r="H172" s="562"/>
      <c r="I172" s="562"/>
      <c r="J172" s="562"/>
      <c r="K172" s="339"/>
      <c r="L172" s="340"/>
    </row>
    <row r="173" spans="1:12" x14ac:dyDescent="0.25">
      <c r="A173" s="764" t="s">
        <v>102</v>
      </c>
      <c r="B173" s="764"/>
      <c r="C173" s="395"/>
      <c r="D173" s="327" t="str">
        <f t="shared" ref="D173:I173" si="34">D158</f>
        <v xml:space="preserve">Residential </v>
      </c>
      <c r="E173" s="327" t="str">
        <f t="shared" si="34"/>
        <v>GS&lt;50</v>
      </c>
      <c r="F173" s="327" t="str">
        <f t="shared" si="34"/>
        <v>GS&gt;50</v>
      </c>
      <c r="G173" s="327" t="str">
        <f t="shared" si="34"/>
        <v xml:space="preserve">Streetlights </v>
      </c>
      <c r="H173" s="327" t="str">
        <f t="shared" si="34"/>
        <v>Sentinels</v>
      </c>
      <c r="I173" s="327" t="str">
        <f t="shared" si="34"/>
        <v>USL</v>
      </c>
      <c r="J173" s="327" t="s">
        <v>9</v>
      </c>
    </row>
    <row r="174" spans="1:12" x14ac:dyDescent="0.25">
      <c r="A174" s="762" t="s">
        <v>127</v>
      </c>
      <c r="B174" s="763"/>
      <c r="C174" s="763"/>
      <c r="D174" s="763"/>
      <c r="E174" s="763"/>
      <c r="F174" s="763"/>
      <c r="G174" s="763"/>
      <c r="H174" s="763"/>
      <c r="I174" s="763"/>
      <c r="J174" s="782"/>
    </row>
    <row r="175" spans="1:12" x14ac:dyDescent="0.25">
      <c r="A175" s="769">
        <v>2013</v>
      </c>
      <c r="B175" s="769"/>
      <c r="C175" s="349"/>
      <c r="D175" s="396">
        <f>D155*(1+D170)</f>
        <v>10204.255841796119</v>
      </c>
      <c r="E175" s="396">
        <f t="shared" ref="E175:H175" si="35">E155*(1+E170)</f>
        <v>1124.3042867708639</v>
      </c>
      <c r="F175" s="396">
        <f>'Rate Class Customer Model'!D13</f>
        <v>124</v>
      </c>
      <c r="G175" s="396">
        <f t="shared" si="35"/>
        <v>2839.6747529083364</v>
      </c>
      <c r="H175" s="396">
        <f t="shared" si="35"/>
        <v>156.24090353060024</v>
      </c>
      <c r="I175" s="396">
        <f>'Rate Class Customer Model'!G13</f>
        <v>104</v>
      </c>
      <c r="J175" s="396">
        <f>SUM(D175:I175)</f>
        <v>14552.475785005921</v>
      </c>
      <c r="K175" s="293"/>
      <c r="L175" s="293"/>
    </row>
    <row r="176" spans="1:12" x14ac:dyDescent="0.25">
      <c r="A176" s="769">
        <v>2014</v>
      </c>
      <c r="B176" s="769"/>
      <c r="C176" s="330"/>
      <c r="D176" s="396">
        <f t="shared" ref="D176" si="36">D175*(1+D170)</f>
        <v>10324.921892397642</v>
      </c>
      <c r="E176" s="396">
        <f t="shared" ref="E176:H176" si="37">E175*(1+E170)</f>
        <v>1140.8484921040983</v>
      </c>
      <c r="F176" s="396">
        <f>'Rate Class Customer Model'!D14</f>
        <v>123</v>
      </c>
      <c r="G176" s="396">
        <f t="shared" si="37"/>
        <v>2869.6628833825698</v>
      </c>
      <c r="H176" s="396">
        <f t="shared" si="37"/>
        <v>155.48547729973458</v>
      </c>
      <c r="I176" s="396">
        <f>'Rate Class Customer Model'!G14</f>
        <v>104</v>
      </c>
      <c r="J176" s="396">
        <f>SUM(D176:I176)</f>
        <v>14717.918745184044</v>
      </c>
      <c r="K176" s="293"/>
      <c r="L176" s="293"/>
    </row>
    <row r="177" spans="1:20" x14ac:dyDescent="0.25">
      <c r="K177" s="293"/>
    </row>
    <row r="178" spans="1:20" x14ac:dyDescent="0.25">
      <c r="A178" s="561" t="s">
        <v>164</v>
      </c>
      <c r="B178" s="562"/>
      <c r="C178" s="562"/>
      <c r="D178" s="562"/>
      <c r="E178" s="562"/>
      <c r="F178" s="562"/>
      <c r="G178" s="562"/>
      <c r="H178" s="562"/>
      <c r="I178" s="566"/>
    </row>
    <row r="179" spans="1:20" ht="45.75" customHeight="1" x14ac:dyDescent="0.25">
      <c r="A179" s="764" t="s">
        <v>102</v>
      </c>
      <c r="B179" s="764"/>
      <c r="C179" s="326"/>
      <c r="D179" s="289" t="str">
        <f t="shared" ref="D179:I179" si="38">D173</f>
        <v xml:space="preserve">Residential </v>
      </c>
      <c r="E179" s="289" t="str">
        <f t="shared" si="38"/>
        <v>GS&lt;50</v>
      </c>
      <c r="F179" s="289" t="str">
        <f t="shared" si="38"/>
        <v>GS&gt;50</v>
      </c>
      <c r="G179" s="289" t="str">
        <f t="shared" si="38"/>
        <v xml:space="preserve">Streetlights </v>
      </c>
      <c r="H179" s="289" t="str">
        <f t="shared" si="38"/>
        <v>Sentinels</v>
      </c>
      <c r="I179" s="289" t="str">
        <f t="shared" si="38"/>
        <v>USL</v>
      </c>
    </row>
    <row r="180" spans="1:20" x14ac:dyDescent="0.25">
      <c r="A180" s="762" t="s">
        <v>128</v>
      </c>
      <c r="B180" s="763"/>
      <c r="C180" s="763"/>
      <c r="D180" s="763"/>
      <c r="E180" s="763"/>
      <c r="F180" s="763"/>
      <c r="G180" s="763"/>
      <c r="H180" s="763"/>
      <c r="I180" s="763"/>
    </row>
    <row r="181" spans="1:20" x14ac:dyDescent="0.25">
      <c r="A181" s="294">
        <f t="shared" ref="A181:A188" si="39">A160</f>
        <v>2003</v>
      </c>
      <c r="B181" s="356"/>
      <c r="C181" s="330"/>
      <c r="D181" s="389">
        <f>D63</f>
        <v>9082.5346927528262</v>
      </c>
      <c r="E181" s="389">
        <f t="shared" ref="E181:I181" si="40">E63</f>
        <v>31350.759650025735</v>
      </c>
      <c r="F181" s="389">
        <f t="shared" si="40"/>
        <v>881597.95804195793</v>
      </c>
      <c r="G181" s="389">
        <f t="shared" si="40"/>
        <v>607.6643849012321</v>
      </c>
      <c r="H181" s="389">
        <f t="shared" si="40"/>
        <v>816.68902439024396</v>
      </c>
      <c r="I181" s="389">
        <f t="shared" si="40"/>
        <v>0</v>
      </c>
    </row>
    <row r="182" spans="1:20" x14ac:dyDescent="0.25">
      <c r="A182" s="294">
        <f t="shared" si="39"/>
        <v>2004</v>
      </c>
      <c r="B182" s="356"/>
      <c r="C182" s="330"/>
      <c r="D182" s="389">
        <f t="shared" ref="D182:I190" si="41">D64</f>
        <v>8905.4453546022851</v>
      </c>
      <c r="E182" s="389">
        <f t="shared" si="41"/>
        <v>31136.999491094146</v>
      </c>
      <c r="F182" s="389">
        <f t="shared" si="41"/>
        <v>874502.74914089346</v>
      </c>
      <c r="G182" s="389">
        <f t="shared" si="41"/>
        <v>646.77360289910359</v>
      </c>
      <c r="H182" s="389">
        <f t="shared" si="41"/>
        <v>797.72619047619048</v>
      </c>
      <c r="I182" s="389">
        <f t="shared" si="41"/>
        <v>0</v>
      </c>
    </row>
    <row r="183" spans="1:20" x14ac:dyDescent="0.25">
      <c r="A183" s="294">
        <f t="shared" si="39"/>
        <v>2005</v>
      </c>
      <c r="B183" s="356"/>
      <c r="C183" s="330"/>
      <c r="D183" s="389">
        <f t="shared" si="41"/>
        <v>9294.1165750663131</v>
      </c>
      <c r="E183" s="389">
        <f t="shared" si="41"/>
        <v>34899.502790461695</v>
      </c>
      <c r="F183" s="389">
        <f t="shared" si="41"/>
        <v>913724.87681159424</v>
      </c>
      <c r="G183" s="389">
        <f t="shared" si="41"/>
        <v>616.92111953352764</v>
      </c>
      <c r="H183" s="389">
        <f t="shared" si="41"/>
        <v>782.50942196531798</v>
      </c>
      <c r="I183" s="389">
        <f t="shared" si="41"/>
        <v>0</v>
      </c>
    </row>
    <row r="184" spans="1:20" x14ac:dyDescent="0.25">
      <c r="A184" s="294">
        <f t="shared" si="39"/>
        <v>2006</v>
      </c>
      <c r="B184" s="356"/>
      <c r="C184" s="330"/>
      <c r="D184" s="389">
        <f t="shared" si="41"/>
        <v>8970.1895808067475</v>
      </c>
      <c r="E184" s="389">
        <f t="shared" si="41"/>
        <v>35428.883301459486</v>
      </c>
      <c r="F184" s="389">
        <f t="shared" si="41"/>
        <v>992597.84409266419</v>
      </c>
      <c r="G184" s="389">
        <f t="shared" si="41"/>
        <v>636.26066640063846</v>
      </c>
      <c r="H184" s="389">
        <f t="shared" si="41"/>
        <v>743.5564571428572</v>
      </c>
      <c r="I184" s="389">
        <f t="shared" si="41"/>
        <v>2471.8690066225163</v>
      </c>
    </row>
    <row r="185" spans="1:20" ht="14.25" customHeight="1" x14ac:dyDescent="0.25">
      <c r="A185" s="294">
        <f t="shared" si="39"/>
        <v>2007</v>
      </c>
      <c r="B185" s="356"/>
      <c r="C185" s="330"/>
      <c r="D185" s="389">
        <f t="shared" si="41"/>
        <v>8999.9338891798452</v>
      </c>
      <c r="E185" s="389">
        <f t="shared" si="41"/>
        <v>35993.407110247688</v>
      </c>
      <c r="F185" s="389">
        <f t="shared" si="41"/>
        <v>1007805.1407250019</v>
      </c>
      <c r="G185" s="389">
        <f t="shared" si="41"/>
        <v>641.42995830851703</v>
      </c>
      <c r="H185" s="389">
        <f t="shared" si="41"/>
        <v>747.76442577030809</v>
      </c>
      <c r="I185" s="389">
        <f t="shared" si="41"/>
        <v>2594.7470163934427</v>
      </c>
    </row>
    <row r="186" spans="1:20" x14ac:dyDescent="0.25">
      <c r="A186" s="294">
        <f t="shared" si="39"/>
        <v>2008</v>
      </c>
      <c r="B186" s="356"/>
      <c r="C186" s="330"/>
      <c r="D186" s="389">
        <f t="shared" si="41"/>
        <v>8884.8663658574624</v>
      </c>
      <c r="E186" s="389">
        <f t="shared" si="41"/>
        <v>35298.417850070713</v>
      </c>
      <c r="F186" s="389">
        <f t="shared" si="41"/>
        <v>943638.2416666667</v>
      </c>
      <c r="G186" s="389">
        <f t="shared" si="41"/>
        <v>656.20142289498574</v>
      </c>
      <c r="H186" s="389">
        <f t="shared" si="41"/>
        <v>775.59002832861177</v>
      </c>
      <c r="I186" s="389">
        <f t="shared" si="41"/>
        <v>2547.2344805194807</v>
      </c>
    </row>
    <row r="187" spans="1:20" x14ac:dyDescent="0.25">
      <c r="A187" s="294">
        <f t="shared" si="39"/>
        <v>2009</v>
      </c>
      <c r="B187" s="356"/>
      <c r="C187" s="330"/>
      <c r="D187" s="389">
        <f t="shared" si="41"/>
        <v>8671.6282429099865</v>
      </c>
      <c r="E187" s="389">
        <f t="shared" si="41"/>
        <v>32067.410352622061</v>
      </c>
      <c r="F187" s="389">
        <f t="shared" si="41"/>
        <v>930966.38680083619</v>
      </c>
      <c r="G187" s="389">
        <f t="shared" si="41"/>
        <v>659.50340163934436</v>
      </c>
      <c r="H187" s="389">
        <f t="shared" si="41"/>
        <v>747.15017441860459</v>
      </c>
      <c r="I187" s="389">
        <f t="shared" si="41"/>
        <v>2423.1853246753249</v>
      </c>
    </row>
    <row r="188" spans="1:20" x14ac:dyDescent="0.25">
      <c r="A188" s="294">
        <f t="shared" si="39"/>
        <v>2010</v>
      </c>
      <c r="B188" s="356"/>
      <c r="C188" s="330"/>
      <c r="D188" s="389">
        <f t="shared" si="41"/>
        <v>8718.3981392526675</v>
      </c>
      <c r="E188" s="389">
        <f t="shared" si="41"/>
        <v>31238.996971008219</v>
      </c>
      <c r="F188" s="389">
        <f t="shared" si="41"/>
        <v>952822.78773140092</v>
      </c>
      <c r="G188" s="389">
        <f t="shared" si="41"/>
        <v>658.82839140103783</v>
      </c>
      <c r="H188" s="389">
        <f t="shared" si="41"/>
        <v>767.74096385542168</v>
      </c>
      <c r="I188" s="389">
        <f t="shared" si="41"/>
        <v>2395.6923076923081</v>
      </c>
    </row>
    <row r="189" spans="1:20" x14ac:dyDescent="0.25">
      <c r="A189" s="294">
        <f t="shared" ref="A189:A190" si="42">A168</f>
        <v>2011</v>
      </c>
      <c r="B189" s="357"/>
      <c r="C189" s="330"/>
      <c r="D189" s="389">
        <f t="shared" si="41"/>
        <v>8594.6511255627811</v>
      </c>
      <c r="E189" s="389">
        <f t="shared" si="41"/>
        <v>31836.337328007099</v>
      </c>
      <c r="F189" s="389">
        <f t="shared" si="41"/>
        <v>932622.5666298056</v>
      </c>
      <c r="G189" s="389">
        <f t="shared" si="41"/>
        <v>640.4620082629782</v>
      </c>
      <c r="H189" s="389">
        <f t="shared" si="41"/>
        <v>613.72755417956648</v>
      </c>
      <c r="I189" s="389">
        <f t="shared" si="41"/>
        <v>2147.1936507936507</v>
      </c>
      <c r="K189" s="347"/>
      <c r="L189" s="347"/>
      <c r="M189" s="347"/>
      <c r="N189" s="347"/>
      <c r="O189" s="347"/>
      <c r="P189" s="347"/>
      <c r="Q189" s="347"/>
      <c r="R189" s="347"/>
      <c r="S189" s="347"/>
      <c r="T189" s="347"/>
    </row>
    <row r="190" spans="1:20" x14ac:dyDescent="0.25">
      <c r="A190" s="294">
        <f t="shared" si="42"/>
        <v>2012</v>
      </c>
      <c r="B190" s="357"/>
      <c r="D190" s="389">
        <f t="shared" si="41"/>
        <v>8495.1554784333166</v>
      </c>
      <c r="E190" s="389">
        <f t="shared" si="41"/>
        <v>32205.277978339353</v>
      </c>
      <c r="F190" s="389">
        <f t="shared" si="41"/>
        <v>948453.14170872909</v>
      </c>
      <c r="G190" s="389">
        <f t="shared" si="41"/>
        <v>641.05716725978641</v>
      </c>
      <c r="H190" s="389">
        <f t="shared" si="41"/>
        <v>793.21019108280257</v>
      </c>
      <c r="I190" s="389">
        <f t="shared" si="41"/>
        <v>3170.8122605363988</v>
      </c>
    </row>
    <row r="191" spans="1:20" x14ac:dyDescent="0.25">
      <c r="M191" s="347"/>
      <c r="N191" s="347"/>
      <c r="O191" s="347"/>
      <c r="P191" s="347"/>
      <c r="Q191" s="347"/>
      <c r="R191" s="347"/>
      <c r="S191" s="347"/>
      <c r="T191" s="347"/>
    </row>
    <row r="192" spans="1:20" x14ac:dyDescent="0.25">
      <c r="A192" s="561" t="s">
        <v>165</v>
      </c>
      <c r="B192" s="562"/>
      <c r="C192" s="562"/>
      <c r="D192" s="562"/>
      <c r="E192" s="562"/>
      <c r="F192" s="562"/>
      <c r="G192" s="562"/>
      <c r="H192" s="562"/>
      <c r="I192" s="566"/>
      <c r="K192" s="347"/>
      <c r="L192" s="347"/>
      <c r="M192" s="347"/>
      <c r="N192" s="347"/>
      <c r="O192" s="347"/>
      <c r="P192" s="347"/>
      <c r="Q192" s="347"/>
      <c r="R192" s="347"/>
    </row>
    <row r="193" spans="1:18" x14ac:dyDescent="0.25">
      <c r="A193" s="764" t="s">
        <v>102</v>
      </c>
      <c r="B193" s="764"/>
      <c r="C193" s="326"/>
      <c r="D193" s="289" t="str">
        <f t="shared" ref="D193:I193" si="43">D179</f>
        <v xml:space="preserve">Residential </v>
      </c>
      <c r="E193" s="289" t="str">
        <f t="shared" si="43"/>
        <v>GS&lt;50</v>
      </c>
      <c r="F193" s="289" t="str">
        <f t="shared" si="43"/>
        <v>GS&gt;50</v>
      </c>
      <c r="G193" s="289" t="str">
        <f t="shared" si="43"/>
        <v xml:space="preserve">Streetlights </v>
      </c>
      <c r="H193" s="289" t="str">
        <f t="shared" si="43"/>
        <v>Sentinels</v>
      </c>
      <c r="I193" s="289" t="str">
        <f t="shared" si="43"/>
        <v>USL</v>
      </c>
    </row>
    <row r="194" spans="1:18" x14ac:dyDescent="0.25">
      <c r="A194" s="762" t="s">
        <v>410</v>
      </c>
      <c r="B194" s="763"/>
      <c r="C194" s="763"/>
      <c r="D194" s="763"/>
      <c r="E194" s="763"/>
      <c r="F194" s="763"/>
      <c r="G194" s="763"/>
      <c r="H194" s="763"/>
      <c r="I194" s="763"/>
    </row>
    <row r="195" spans="1:18" x14ac:dyDescent="0.25">
      <c r="A195" s="770">
        <f t="shared" ref="A195:A202" si="44">A181</f>
        <v>2003</v>
      </c>
      <c r="B195" s="770"/>
      <c r="C195" s="330"/>
      <c r="D195" s="390"/>
      <c r="E195" s="390"/>
      <c r="F195" s="390"/>
      <c r="G195" s="390"/>
      <c r="H195" s="390"/>
      <c r="I195" s="390"/>
      <c r="K195" s="391">
        <f t="shared" ref="K195:K203" si="45">SUM(D195:I195)</f>
        <v>0</v>
      </c>
      <c r="L195" s="392" t="e">
        <f>'Rate Class Energy Model'!#REF!</f>
        <v>#REF!</v>
      </c>
      <c r="M195" s="397" t="e">
        <f t="shared" ref="M195:M205" si="46">K195-L195</f>
        <v>#REF!</v>
      </c>
    </row>
    <row r="196" spans="1:18" x14ac:dyDescent="0.25">
      <c r="A196" s="770">
        <f t="shared" si="44"/>
        <v>2004</v>
      </c>
      <c r="B196" s="770"/>
      <c r="C196" s="330"/>
      <c r="D196" s="390">
        <f t="shared" ref="D196:H203" si="47">D182/D181-1</f>
        <v>-1.9497788243170167E-2</v>
      </c>
      <c r="E196" s="390">
        <f t="shared" si="47"/>
        <v>-6.8183406500459398E-3</v>
      </c>
      <c r="F196" s="390">
        <f t="shared" si="47"/>
        <v>-8.0481231113818108E-3</v>
      </c>
      <c r="G196" s="390">
        <f t="shared" si="47"/>
        <v>6.4359898275473615E-2</v>
      </c>
      <c r="H196" s="390">
        <f t="shared" si="47"/>
        <v>-2.3219160963025676E-2</v>
      </c>
      <c r="I196" s="390"/>
      <c r="K196" s="391">
        <f t="shared" si="45"/>
        <v>6.776485307850022E-3</v>
      </c>
      <c r="L196" s="392">
        <f>'Rate Class Energy Model'!W39</f>
        <v>0</v>
      </c>
      <c r="M196" s="397">
        <f t="shared" si="46"/>
        <v>6.776485307850022E-3</v>
      </c>
    </row>
    <row r="197" spans="1:18" x14ac:dyDescent="0.25">
      <c r="A197" s="770">
        <f t="shared" si="44"/>
        <v>2005</v>
      </c>
      <c r="B197" s="770"/>
      <c r="C197" s="330"/>
      <c r="D197" s="390">
        <f t="shared" si="47"/>
        <v>4.3644220472720541E-2</v>
      </c>
      <c r="E197" s="390">
        <f t="shared" si="47"/>
        <v>0.12083705433607062</v>
      </c>
      <c r="F197" s="390">
        <f t="shared" si="47"/>
        <v>4.4850776866319109E-2</v>
      </c>
      <c r="G197" s="390">
        <f t="shared" si="47"/>
        <v>-4.6156001469084273E-2</v>
      </c>
      <c r="H197" s="390">
        <f t="shared" si="47"/>
        <v>-1.9075177288323752E-2</v>
      </c>
      <c r="I197" s="390"/>
      <c r="K197" s="391">
        <f t="shared" si="45"/>
        <v>0.14410087291770224</v>
      </c>
      <c r="L197" s="392">
        <f>'Rate Class Energy Model'!W40</f>
        <v>0</v>
      </c>
      <c r="M197" s="397">
        <f t="shared" si="46"/>
        <v>0.14410087291770224</v>
      </c>
    </row>
    <row r="198" spans="1:18" x14ac:dyDescent="0.25">
      <c r="A198" s="770">
        <f t="shared" si="44"/>
        <v>2006</v>
      </c>
      <c r="B198" s="770"/>
      <c r="C198" s="330"/>
      <c r="D198" s="390">
        <f t="shared" si="47"/>
        <v>-3.4852908465617616E-2</v>
      </c>
      <c r="E198" s="390">
        <f t="shared" si="47"/>
        <v>1.5168712121092831E-2</v>
      </c>
      <c r="F198" s="390">
        <f t="shared" si="47"/>
        <v>8.6320258190073496E-2</v>
      </c>
      <c r="G198" s="390">
        <f t="shared" si="47"/>
        <v>3.1348492140671036E-2</v>
      </c>
      <c r="H198" s="390">
        <f t="shared" si="47"/>
        <v>-4.9779547349894093E-2</v>
      </c>
      <c r="I198" s="390"/>
      <c r="K198" s="391">
        <f t="shared" si="45"/>
        <v>4.8205006636325654E-2</v>
      </c>
      <c r="L198" s="392">
        <f>'Rate Class Energy Model'!W41</f>
        <v>0</v>
      </c>
      <c r="M198" s="397">
        <f t="shared" si="46"/>
        <v>4.8205006636325654E-2</v>
      </c>
    </row>
    <row r="199" spans="1:18" x14ac:dyDescent="0.25">
      <c r="A199" s="770">
        <f t="shared" si="44"/>
        <v>2007</v>
      </c>
      <c r="B199" s="770"/>
      <c r="C199" s="330"/>
      <c r="D199" s="390">
        <f t="shared" si="47"/>
        <v>3.315906325630058E-3</v>
      </c>
      <c r="E199" s="390">
        <f t="shared" si="47"/>
        <v>1.5933999499356144E-2</v>
      </c>
      <c r="F199" s="390">
        <f t="shared" si="47"/>
        <v>1.5320702863543589E-2</v>
      </c>
      <c r="G199" s="390">
        <f t="shared" si="47"/>
        <v>8.1244876209645156E-3</v>
      </c>
      <c r="H199" s="390">
        <f t="shared" si="47"/>
        <v>5.6592456255710744E-3</v>
      </c>
      <c r="I199" s="390">
        <f>I185/I184-1</f>
        <v>4.9710566960351699E-2</v>
      </c>
      <c r="K199" s="391">
        <f t="shared" si="45"/>
        <v>9.806490889541708E-2</v>
      </c>
      <c r="L199" s="392">
        <f>'Rate Class Energy Model'!W42</f>
        <v>0</v>
      </c>
      <c r="M199" s="397">
        <f t="shared" si="46"/>
        <v>9.806490889541708E-2</v>
      </c>
    </row>
    <row r="200" spans="1:18" x14ac:dyDescent="0.25">
      <c r="A200" s="770">
        <f t="shared" si="44"/>
        <v>2008</v>
      </c>
      <c r="B200" s="770"/>
      <c r="C200" s="330"/>
      <c r="D200" s="390">
        <f t="shared" si="47"/>
        <v>-1.278537428599591E-2</v>
      </c>
      <c r="E200" s="390">
        <f t="shared" si="47"/>
        <v>-1.9308793358967846E-2</v>
      </c>
      <c r="F200" s="390">
        <f t="shared" si="47"/>
        <v>-6.3669946168536495E-2</v>
      </c>
      <c r="G200" s="390">
        <f t="shared" si="47"/>
        <v>2.3028959584958875E-2</v>
      </c>
      <c r="H200" s="390">
        <f t="shared" si="47"/>
        <v>3.7211722835890804E-2</v>
      </c>
      <c r="I200" s="390">
        <f>I186/I185-1</f>
        <v>-1.8311047502427291E-2</v>
      </c>
      <c r="K200" s="391">
        <f t="shared" si="45"/>
        <v>-5.3834478895077864E-2</v>
      </c>
      <c r="L200" s="392">
        <f>'Rate Class Energy Model'!W43</f>
        <v>0</v>
      </c>
      <c r="M200" s="397">
        <f t="shared" si="46"/>
        <v>-5.3834478895077864E-2</v>
      </c>
    </row>
    <row r="201" spans="1:18" x14ac:dyDescent="0.25">
      <c r="A201" s="770">
        <f t="shared" si="44"/>
        <v>2009</v>
      </c>
      <c r="B201" s="770"/>
      <c r="C201" s="330"/>
      <c r="D201" s="390">
        <f t="shared" si="47"/>
        <v>-2.400014971152542E-2</v>
      </c>
      <c r="E201" s="390">
        <f t="shared" si="47"/>
        <v>-9.1534060001564055E-2</v>
      </c>
      <c r="F201" s="390">
        <f t="shared" si="47"/>
        <v>-1.3428721205119176E-2</v>
      </c>
      <c r="G201" s="390">
        <f t="shared" si="47"/>
        <v>5.0319591350338477E-3</v>
      </c>
      <c r="H201" s="390">
        <f t="shared" si="47"/>
        <v>-3.6668668847244956E-2</v>
      </c>
      <c r="I201" s="390">
        <f>I187/I186-1</f>
        <v>-4.8699543286198521E-2</v>
      </c>
      <c r="K201" s="391">
        <f t="shared" si="45"/>
        <v>-0.20929918391661828</v>
      </c>
      <c r="L201" s="392">
        <f>'Rate Class Energy Model'!W44</f>
        <v>0</v>
      </c>
      <c r="M201" s="397">
        <f t="shared" si="46"/>
        <v>-0.20929918391661828</v>
      </c>
    </row>
    <row r="202" spans="1:18" x14ac:dyDescent="0.25">
      <c r="A202" s="770">
        <f t="shared" si="44"/>
        <v>2010</v>
      </c>
      <c r="B202" s="770"/>
      <c r="C202" s="330"/>
      <c r="D202" s="390">
        <f t="shared" si="47"/>
        <v>5.3934388136300804E-3</v>
      </c>
      <c r="E202" s="390">
        <f t="shared" si="47"/>
        <v>-2.5833498012604705E-2</v>
      </c>
      <c r="F202" s="390">
        <f t="shared" si="47"/>
        <v>2.3477110710379057E-2</v>
      </c>
      <c r="G202" s="390">
        <f t="shared" si="47"/>
        <v>-1.0235128986880726E-3</v>
      </c>
      <c r="H202" s="390">
        <f t="shared" si="47"/>
        <v>2.7559104102250709E-2</v>
      </c>
      <c r="I202" s="390">
        <f>I188/I187-1</f>
        <v>-1.1345816889469895E-2</v>
      </c>
      <c r="J202" s="398"/>
      <c r="K202" s="391">
        <f t="shared" si="45"/>
        <v>1.8226825825497173E-2</v>
      </c>
      <c r="L202" s="392">
        <f>'Rate Class Energy Model'!W45</f>
        <v>0</v>
      </c>
      <c r="M202" s="397">
        <f t="shared" si="46"/>
        <v>1.8226825825497173E-2</v>
      </c>
      <c r="N202" s="398"/>
      <c r="O202" s="398"/>
      <c r="P202" s="398"/>
      <c r="Q202" s="398"/>
      <c r="R202" s="398"/>
    </row>
    <row r="203" spans="1:18" x14ac:dyDescent="0.25">
      <c r="A203" s="770">
        <f t="shared" ref="A203:A204" si="48">A189</f>
        <v>2011</v>
      </c>
      <c r="B203" s="770"/>
      <c r="C203" s="330"/>
      <c r="D203" s="390">
        <f t="shared" si="47"/>
        <v>-1.419377868656202E-2</v>
      </c>
      <c r="E203" s="390">
        <f t="shared" si="47"/>
        <v>1.9121624089059264E-2</v>
      </c>
      <c r="F203" s="390">
        <f t="shared" si="47"/>
        <v>-2.1200396717726E-2</v>
      </c>
      <c r="G203" s="390">
        <f t="shared" si="47"/>
        <v>-2.7877340105216808E-2</v>
      </c>
      <c r="H203" s="390">
        <f t="shared" si="47"/>
        <v>-0.20060595555880545</v>
      </c>
      <c r="I203" s="390">
        <f>I189/I188-1</f>
        <v>-0.10372728421790856</v>
      </c>
      <c r="J203" s="398"/>
      <c r="K203" s="391">
        <f t="shared" si="45"/>
        <v>-0.34848313119715957</v>
      </c>
      <c r="L203" s="392">
        <f>'Rate Class Energy Model'!W46</f>
        <v>0</v>
      </c>
      <c r="M203" s="397">
        <f t="shared" si="46"/>
        <v>-0.34848313119715957</v>
      </c>
      <c r="N203" s="398"/>
      <c r="O203" s="398"/>
      <c r="P203" s="398"/>
      <c r="Q203" s="398"/>
      <c r="R203" s="398"/>
    </row>
    <row r="204" spans="1:18" x14ac:dyDescent="0.25">
      <c r="A204" s="770">
        <f t="shared" si="48"/>
        <v>2012</v>
      </c>
      <c r="B204" s="770"/>
      <c r="C204" s="330"/>
      <c r="D204" s="390">
        <f>D190/D189-1</f>
        <v>-1.1576461414883776E-2</v>
      </c>
      <c r="E204" s="390">
        <f t="shared" ref="E204:I204" si="49">E190/E189-1</f>
        <v>1.1588665069448334E-2</v>
      </c>
      <c r="F204" s="390">
        <f t="shared" si="49"/>
        <v>1.6974256945261335E-2</v>
      </c>
      <c r="G204" s="390">
        <f t="shared" si="49"/>
        <v>9.292651072658753E-4</v>
      </c>
      <c r="H204" s="390">
        <f t="shared" si="49"/>
        <v>0.29244676352061338</v>
      </c>
      <c r="I204" s="390">
        <f t="shared" si="49"/>
        <v>0.47672393655057421</v>
      </c>
      <c r="J204" s="398"/>
      <c r="K204" s="391"/>
      <c r="L204" s="392"/>
      <c r="M204" s="397"/>
      <c r="N204" s="398"/>
      <c r="O204" s="398"/>
      <c r="P204" s="398"/>
      <c r="Q204" s="398"/>
      <c r="R204" s="398"/>
    </row>
    <row r="205" spans="1:18" x14ac:dyDescent="0.25">
      <c r="A205" s="771" t="str">
        <f>A170</f>
        <v>Geometric Mean</v>
      </c>
      <c r="B205" s="771"/>
      <c r="C205" s="292"/>
      <c r="D205" s="393">
        <f>'Rate Class Energy Model'!H51-1</f>
        <v>-7.4010593330285923E-3</v>
      </c>
      <c r="E205" s="393">
        <f>'Rate Class Energy Model'!I51-1</f>
        <v>2.9924521886803834E-3</v>
      </c>
      <c r="F205" s="393">
        <f>'Rate Class Energy Model'!J51-1</f>
        <v>8.1548783954059623E-3</v>
      </c>
      <c r="G205" s="393">
        <f>'Rate Class Energy Model'!K51-1</f>
        <v>5.9616901589401028E-3</v>
      </c>
      <c r="H205" s="393">
        <f>'Rate Class Energy Model'!L51-1</f>
        <v>-3.2358806249420669E-3</v>
      </c>
      <c r="I205" s="393">
        <f>'Rate Class Energy Model'!M51-1</f>
        <v>4.2375462255490826E-2</v>
      </c>
      <c r="K205" s="391">
        <f>SUM(D205:I205)</f>
        <v>4.8847543040546615E-2</v>
      </c>
      <c r="L205" s="392">
        <f>'Rate Class Energy Model'!W51</f>
        <v>0</v>
      </c>
      <c r="M205" s="397">
        <f t="shared" si="46"/>
        <v>4.8847543040546615E-2</v>
      </c>
    </row>
    <row r="206" spans="1:18" x14ac:dyDescent="0.25">
      <c r="K206" s="399"/>
    </row>
    <row r="207" spans="1:18" ht="15" customHeight="1" x14ac:dyDescent="0.25">
      <c r="A207" s="561" t="s">
        <v>166</v>
      </c>
      <c r="B207" s="562"/>
      <c r="C207" s="562"/>
      <c r="D207" s="562"/>
      <c r="E207" s="562"/>
      <c r="F207" s="562"/>
      <c r="G207" s="562"/>
      <c r="H207" s="562"/>
      <c r="I207" s="566"/>
    </row>
    <row r="208" spans="1:18" ht="48" customHeight="1" x14ac:dyDescent="0.25">
      <c r="A208" s="764" t="s">
        <v>102</v>
      </c>
      <c r="B208" s="764"/>
      <c r="C208" s="326"/>
      <c r="D208" s="289" t="str">
        <f t="shared" ref="D208:I208" si="50">D193</f>
        <v xml:space="preserve">Residential </v>
      </c>
      <c r="E208" s="289" t="str">
        <f t="shared" si="50"/>
        <v>GS&lt;50</v>
      </c>
      <c r="F208" s="289" t="str">
        <f t="shared" si="50"/>
        <v>GS&gt;50</v>
      </c>
      <c r="G208" s="289" t="str">
        <f t="shared" si="50"/>
        <v xml:space="preserve">Streetlights </v>
      </c>
      <c r="H208" s="289" t="str">
        <f t="shared" si="50"/>
        <v>Sentinels</v>
      </c>
      <c r="I208" s="289" t="str">
        <f t="shared" si="50"/>
        <v>USL</v>
      </c>
    </row>
    <row r="209" spans="1:13" ht="15" customHeight="1" x14ac:dyDescent="0.25">
      <c r="A209" s="337" t="s">
        <v>129</v>
      </c>
      <c r="B209" s="338"/>
      <c r="C209" s="338"/>
      <c r="D209" s="338"/>
      <c r="E209" s="338"/>
      <c r="F209" s="338"/>
      <c r="G209" s="338"/>
      <c r="H209" s="338"/>
      <c r="I209" s="338"/>
    </row>
    <row r="210" spans="1:13" ht="15" customHeight="1" x14ac:dyDescent="0.25">
      <c r="A210" s="769">
        <v>2013</v>
      </c>
      <c r="B210" s="769"/>
      <c r="C210" s="349"/>
      <c r="D210" s="396">
        <f>D190*(1+D205)</f>
        <v>8432.2823286941293</v>
      </c>
      <c r="E210" s="396">
        <f t="shared" ref="E210:I210" si="51">E190*(1+E205)</f>
        <v>32301.650732912694</v>
      </c>
      <c r="F210" s="396">
        <f>F190*(1+F205)</f>
        <v>956187.66174310446</v>
      </c>
      <c r="G210" s="396">
        <f>G190*(1+G205)</f>
        <v>644.87895146515712</v>
      </c>
      <c r="H210" s="396">
        <f t="shared" si="51"/>
        <v>790.64345759397111</v>
      </c>
      <c r="I210" s="396">
        <f t="shared" si="51"/>
        <v>3305.1768958020066</v>
      </c>
    </row>
    <row r="211" spans="1:13" ht="15" customHeight="1" x14ac:dyDescent="0.25">
      <c r="A211" s="769">
        <v>2014</v>
      </c>
      <c r="B211" s="769"/>
      <c r="C211" s="292"/>
      <c r="D211" s="396">
        <f>D210*(1+D205)</f>
        <v>8369.8745068666158</v>
      </c>
      <c r="E211" s="396">
        <f t="shared" ref="E211:I211" si="52">E210*(1+E205)</f>
        <v>32398.311878346387</v>
      </c>
      <c r="F211" s="396">
        <f t="shared" si="52"/>
        <v>963985.25584780704</v>
      </c>
      <c r="G211" s="396">
        <f t="shared" si="52"/>
        <v>648.72351996381451</v>
      </c>
      <c r="H211" s="396">
        <f t="shared" si="52"/>
        <v>788.0850297483056</v>
      </c>
      <c r="I211" s="396">
        <f t="shared" si="52"/>
        <v>3445.235294597785</v>
      </c>
      <c r="J211" s="347"/>
      <c r="K211" s="347"/>
      <c r="L211" s="347"/>
      <c r="M211" s="347"/>
    </row>
    <row r="212" spans="1:13" x14ac:dyDescent="0.25">
      <c r="H212" s="293"/>
      <c r="I212" s="293"/>
      <c r="J212" s="293"/>
    </row>
    <row r="213" spans="1:13" x14ac:dyDescent="0.25">
      <c r="A213" s="561" t="s">
        <v>167</v>
      </c>
      <c r="B213" s="562"/>
      <c r="C213" s="562"/>
      <c r="D213" s="562"/>
      <c r="E213" s="562"/>
      <c r="F213" s="562"/>
      <c r="G213" s="562"/>
      <c r="H213" s="562"/>
      <c r="I213" s="562"/>
      <c r="J213" s="566"/>
    </row>
    <row r="214" spans="1:13" x14ac:dyDescent="0.25">
      <c r="A214" s="744" t="s">
        <v>102</v>
      </c>
      <c r="B214" s="766"/>
      <c r="C214" s="598"/>
      <c r="D214" s="289" t="str">
        <f t="shared" ref="D214:I214" si="53">D208</f>
        <v xml:space="preserve">Residential </v>
      </c>
      <c r="E214" s="289" t="str">
        <f t="shared" si="53"/>
        <v>GS&lt;50</v>
      </c>
      <c r="F214" s="289" t="str">
        <f t="shared" si="53"/>
        <v>GS&gt;50</v>
      </c>
      <c r="G214" s="289" t="str">
        <f t="shared" si="53"/>
        <v xml:space="preserve">Streetlights </v>
      </c>
      <c r="H214" s="289" t="str">
        <f t="shared" si="53"/>
        <v>Sentinels</v>
      </c>
      <c r="I214" s="289" t="str">
        <f t="shared" si="53"/>
        <v>USL</v>
      </c>
      <c r="J214" s="289" t="s">
        <v>9</v>
      </c>
    </row>
    <row r="215" spans="1:13" x14ac:dyDescent="0.25">
      <c r="A215" s="328" t="s">
        <v>140</v>
      </c>
      <c r="B215" s="328"/>
      <c r="C215" s="328"/>
      <c r="D215" s="328"/>
      <c r="E215" s="328"/>
      <c r="F215" s="328"/>
      <c r="G215" s="328"/>
      <c r="H215" s="328"/>
      <c r="I215" s="328"/>
      <c r="J215" s="328"/>
    </row>
    <row r="216" spans="1:13" x14ac:dyDescent="0.25">
      <c r="A216" s="599" t="s">
        <v>130</v>
      </c>
      <c r="B216" s="599"/>
      <c r="C216" s="599"/>
      <c r="D216" s="400">
        <f>D210*D175/1000000</f>
        <v>86.045166212251246</v>
      </c>
      <c r="E216" s="400">
        <f t="shared" ref="D216:I217" si="54">E210*E175/1000000</f>
        <v>36.316884388788964</v>
      </c>
      <c r="F216" s="400">
        <f>F210*F175/1000000</f>
        <v>118.56727005614495</v>
      </c>
      <c r="G216" s="400">
        <f t="shared" si="54"/>
        <v>1.8312464771576069</v>
      </c>
      <c r="H216" s="400">
        <f t="shared" si="54"/>
        <v>0.12353084818503986</v>
      </c>
      <c r="I216" s="400">
        <f t="shared" si="54"/>
        <v>0.3437383971634087</v>
      </c>
      <c r="J216" s="400">
        <f>SUM(D216:I216)</f>
        <v>243.22783637969118</v>
      </c>
    </row>
    <row r="217" spans="1:13" x14ac:dyDescent="0.25">
      <c r="A217" s="599" t="s">
        <v>411</v>
      </c>
      <c r="B217" s="599"/>
      <c r="C217" s="599"/>
      <c r="D217" s="400">
        <f t="shared" si="54"/>
        <v>86.41830053256804</v>
      </c>
      <c r="E217" s="400">
        <f t="shared" si="54"/>
        <v>36.96156525312977</v>
      </c>
      <c r="F217" s="400">
        <f t="shared" si="54"/>
        <v>118.57018646928027</v>
      </c>
      <c r="G217" s="400">
        <f t="shared" si="54"/>
        <v>1.86161780681745</v>
      </c>
      <c r="H217" s="400">
        <f t="shared" si="54"/>
        <v>0.12253577700319083</v>
      </c>
      <c r="I217" s="400">
        <f t="shared" si="54"/>
        <v>0.35830447063816961</v>
      </c>
      <c r="J217" s="400">
        <f>SUM(D217:I217)</f>
        <v>244.29251030943686</v>
      </c>
    </row>
    <row r="218" spans="1:13" x14ac:dyDescent="0.25">
      <c r="A218" s="286"/>
      <c r="B218" s="286"/>
      <c r="C218" s="286"/>
      <c r="D218" s="401"/>
      <c r="E218" s="401"/>
      <c r="F218" s="401"/>
      <c r="G218" s="401"/>
      <c r="H218" s="401"/>
      <c r="I218" s="401"/>
      <c r="J218" s="401"/>
      <c r="K218" s="401"/>
      <c r="L218" s="401"/>
    </row>
    <row r="220" spans="1:13" x14ac:dyDescent="0.25">
      <c r="D220" s="561" t="s">
        <v>168</v>
      </c>
      <c r="E220" s="562"/>
      <c r="F220" s="562"/>
      <c r="G220" s="562"/>
      <c r="H220" s="562"/>
      <c r="I220" s="566"/>
    </row>
    <row r="221" spans="1:13" x14ac:dyDescent="0.25">
      <c r="D221" s="289" t="str">
        <f t="shared" ref="D221:I221" si="55">D214</f>
        <v xml:space="preserve">Residential </v>
      </c>
      <c r="E221" s="289" t="str">
        <f t="shared" si="55"/>
        <v>GS&lt;50</v>
      </c>
      <c r="F221" s="289" t="str">
        <f t="shared" si="55"/>
        <v>GS&gt;50</v>
      </c>
      <c r="G221" s="289" t="str">
        <f t="shared" si="55"/>
        <v xml:space="preserve">Streetlights </v>
      </c>
      <c r="H221" s="289" t="str">
        <f t="shared" si="55"/>
        <v>Sentinels</v>
      </c>
      <c r="I221" s="289" t="str">
        <f t="shared" si="55"/>
        <v>USL</v>
      </c>
    </row>
    <row r="222" spans="1:13" x14ac:dyDescent="0.25">
      <c r="D222" s="762" t="s">
        <v>131</v>
      </c>
      <c r="E222" s="763"/>
      <c r="F222" s="763"/>
      <c r="G222" s="763"/>
      <c r="H222" s="763"/>
      <c r="I222" s="763"/>
    </row>
    <row r="223" spans="1:13" x14ac:dyDescent="0.25">
      <c r="D223" s="402">
        <f>'Rate Class Energy Model'!H62</f>
        <v>0.72</v>
      </c>
      <c r="E223" s="402">
        <f>'Rate Class Energy Model'!I62</f>
        <v>0.72</v>
      </c>
      <c r="F223" s="402">
        <f>'Rate Class Energy Model'!J62</f>
        <v>0.44</v>
      </c>
      <c r="G223" s="402">
        <f>'Rate Class Energy Model'!K62</f>
        <v>0</v>
      </c>
      <c r="H223" s="402">
        <f>'Rate Class Energy Model'!L62</f>
        <v>0</v>
      </c>
      <c r="I223" s="402">
        <f>'Rate Class Energy Model'!M62</f>
        <v>0</v>
      </c>
    </row>
    <row r="224" spans="1:13" x14ac:dyDescent="0.25">
      <c r="D224" s="403"/>
      <c r="E224" s="403"/>
      <c r="F224" s="403"/>
      <c r="G224" s="403"/>
      <c r="H224" s="403"/>
      <c r="I224" s="293"/>
      <c r="J224" s="293"/>
    </row>
    <row r="225" spans="2:12" hidden="1" x14ac:dyDescent="0.25">
      <c r="D225" s="767" t="s">
        <v>169</v>
      </c>
      <c r="E225" s="767"/>
      <c r="F225" s="767"/>
      <c r="G225" s="767"/>
      <c r="H225" s="767"/>
      <c r="I225" s="287" t="s">
        <v>462</v>
      </c>
    </row>
    <row r="226" spans="2:12" ht="39" hidden="1" x14ac:dyDescent="0.25">
      <c r="D226" s="365"/>
      <c r="E226" s="404" t="s">
        <v>412</v>
      </c>
      <c r="F226" s="404" t="s">
        <v>132</v>
      </c>
      <c r="G226" s="404" t="s">
        <v>98</v>
      </c>
      <c r="H226" s="404" t="s">
        <v>99</v>
      </c>
    </row>
    <row r="227" spans="2:12" hidden="1" x14ac:dyDescent="0.25">
      <c r="D227" s="405">
        <v>2006</v>
      </c>
      <c r="E227" s="389">
        <f>'CDM Data'!B3</f>
        <v>890213.87735693587</v>
      </c>
      <c r="F227" s="389">
        <f>'CDM Data'!C3</f>
        <v>797108.65366579581</v>
      </c>
      <c r="G227" s="389">
        <f t="shared" ref="G227:G234" si="56">E227-F227</f>
        <v>93105.223691140069</v>
      </c>
      <c r="H227" s="406">
        <f t="shared" ref="H227:H236" si="57">G227/F227</f>
        <v>0.1168036794770219</v>
      </c>
    </row>
    <row r="228" spans="2:12" hidden="1" x14ac:dyDescent="0.25">
      <c r="D228" s="405">
        <v>2007</v>
      </c>
      <c r="E228" s="389">
        <f>'CDM Data'!B4</f>
        <v>3157921.4358938159</v>
      </c>
      <c r="F228" s="389">
        <f>'CDM Data'!C4</f>
        <v>1393096.129048256</v>
      </c>
      <c r="G228" s="389">
        <f t="shared" si="56"/>
        <v>1764825.30684556</v>
      </c>
      <c r="H228" s="406">
        <f t="shared" si="57"/>
        <v>1.2668367028277254</v>
      </c>
    </row>
    <row r="229" spans="2:12" hidden="1" x14ac:dyDescent="0.25">
      <c r="D229" s="405">
        <v>2008</v>
      </c>
      <c r="E229" s="389">
        <f>'CDM Data'!B5</f>
        <v>2794940.2551867804</v>
      </c>
      <c r="F229" s="389">
        <f>'CDM Data'!C5</f>
        <v>1720478.4509816684</v>
      </c>
      <c r="G229" s="389">
        <f t="shared" si="56"/>
        <v>1074461.8042051119</v>
      </c>
      <c r="H229" s="406">
        <f t="shared" si="57"/>
        <v>0.62451337509751825</v>
      </c>
    </row>
    <row r="230" spans="2:12" hidden="1" x14ac:dyDescent="0.25">
      <c r="D230" s="405">
        <v>2009</v>
      </c>
      <c r="E230" s="389">
        <f>'CDM Data'!B6</f>
        <v>4140869.5265819351</v>
      </c>
      <c r="F230" s="389">
        <f>'CDM Data'!C6</f>
        <v>2687127.2240572851</v>
      </c>
      <c r="G230" s="389">
        <f t="shared" si="56"/>
        <v>1453742.30252465</v>
      </c>
      <c r="H230" s="406">
        <f t="shared" si="57"/>
        <v>0.54100240937965305</v>
      </c>
    </row>
    <row r="231" spans="2:12" hidden="1" x14ac:dyDescent="0.25">
      <c r="D231" s="405">
        <v>2010</v>
      </c>
      <c r="E231" s="389">
        <f>'CDM Data'!B7</f>
        <v>5418273.0163372653</v>
      </c>
      <c r="F231" s="389">
        <f>'CDM Data'!C7</f>
        <v>3367999.0854078466</v>
      </c>
      <c r="G231" s="389">
        <f t="shared" si="56"/>
        <v>2050273.9309294187</v>
      </c>
      <c r="H231" s="406">
        <f t="shared" si="57"/>
        <v>0.60875133244911239</v>
      </c>
    </row>
    <row r="232" spans="2:12" hidden="1" x14ac:dyDescent="0.25">
      <c r="D232" s="405">
        <v>2011</v>
      </c>
      <c r="E232" s="389">
        <f>'CDM Data'!B8</f>
        <v>5120585.2662061835</v>
      </c>
      <c r="F232" s="389">
        <f>'CDM Data'!C8</f>
        <v>3065642.8522753869</v>
      </c>
      <c r="G232" s="389">
        <f t="shared" si="56"/>
        <v>2054942.4139307966</v>
      </c>
      <c r="H232" s="406">
        <f t="shared" si="57"/>
        <v>0.67031370350449448</v>
      </c>
    </row>
    <row r="233" spans="2:12" hidden="1" x14ac:dyDescent="0.25">
      <c r="D233" s="405">
        <v>2012</v>
      </c>
      <c r="E233" s="389">
        <f>'CDM Data'!B9</f>
        <v>4972773.3822379196</v>
      </c>
      <c r="F233" s="389">
        <f>'CDM Data'!C9</f>
        <v>3002780.7271086173</v>
      </c>
      <c r="G233" s="389">
        <f t="shared" si="56"/>
        <v>1969992.6551293023</v>
      </c>
      <c r="H233" s="406">
        <f t="shared" si="57"/>
        <v>0.656056114036076</v>
      </c>
    </row>
    <row r="234" spans="2:12" hidden="1" x14ac:dyDescent="0.25">
      <c r="D234" s="405">
        <v>2013</v>
      </c>
      <c r="E234" s="389">
        <f>'CDM Data'!B10</f>
        <v>4924710.1766429497</v>
      </c>
      <c r="F234" s="389">
        <f>'CDM Data'!C10</f>
        <v>2978413.379797833</v>
      </c>
      <c r="G234" s="389">
        <f t="shared" si="56"/>
        <v>1946296.7968451167</v>
      </c>
      <c r="H234" s="406">
        <f t="shared" si="57"/>
        <v>0.65346765161833453</v>
      </c>
    </row>
    <row r="235" spans="2:12" hidden="1" x14ac:dyDescent="0.25">
      <c r="D235" s="405">
        <v>2014</v>
      </c>
      <c r="E235" s="389">
        <f>'CDM Data'!B11</f>
        <v>4595010.4786552992</v>
      </c>
      <c r="F235" s="389">
        <f>'CDM Data'!C11</f>
        <v>2807718.4816886685</v>
      </c>
      <c r="G235" s="389">
        <f t="shared" ref="G235" si="58">E235-F235</f>
        <v>1787291.9969666307</v>
      </c>
      <c r="H235" s="406">
        <f t="shared" ref="H235" si="59">G235/F235</f>
        <v>0.63656381814023089</v>
      </c>
    </row>
    <row r="236" spans="2:12" hidden="1" x14ac:dyDescent="0.25">
      <c r="D236" s="405" t="s">
        <v>9</v>
      </c>
      <c r="E236" s="389">
        <f>SUM(E227:E235)</f>
        <v>36015297.415099084</v>
      </c>
      <c r="F236" s="389">
        <f>SUM(F227:F235)</f>
        <v>21820364.984031353</v>
      </c>
      <c r="G236" s="389">
        <f>SUM(G227:G235)</f>
        <v>14194932.431067728</v>
      </c>
      <c r="H236" s="406">
        <f t="shared" si="57"/>
        <v>0.65053597597729951</v>
      </c>
    </row>
    <row r="238" spans="2:12" x14ac:dyDescent="0.25">
      <c r="B238" s="768" t="s">
        <v>461</v>
      </c>
      <c r="C238" s="768"/>
      <c r="D238" s="768"/>
      <c r="E238" s="768"/>
      <c r="F238" s="768"/>
      <c r="G238" s="768"/>
      <c r="H238" s="768"/>
      <c r="I238" s="779" t="s">
        <v>458</v>
      </c>
      <c r="J238" s="780"/>
      <c r="K238" s="780"/>
      <c r="L238" s="781"/>
    </row>
    <row r="239" spans="2:12" x14ac:dyDescent="0.25">
      <c r="B239" s="757" t="s">
        <v>133</v>
      </c>
      <c r="C239" s="757"/>
      <c r="D239" s="757"/>
      <c r="E239" s="757"/>
      <c r="F239" s="757"/>
      <c r="G239" s="757"/>
      <c r="H239" s="757"/>
      <c r="I239" s="407"/>
      <c r="J239" s="407"/>
      <c r="K239" s="407"/>
      <c r="L239" s="407"/>
    </row>
    <row r="240" spans="2:12" x14ac:dyDescent="0.25">
      <c r="B240" s="758">
        <f>'CDM Data'!M2</f>
        <v>1</v>
      </c>
      <c r="C240" s="758"/>
      <c r="D240" s="758"/>
      <c r="E240" s="758"/>
      <c r="F240" s="758"/>
      <c r="G240" s="758"/>
      <c r="H240" s="758"/>
      <c r="I240" s="407"/>
      <c r="J240" s="407"/>
      <c r="K240" s="407"/>
      <c r="L240" s="407"/>
    </row>
    <row r="241" spans="1:12" x14ac:dyDescent="0.25">
      <c r="B241" s="329"/>
      <c r="C241" s="329"/>
      <c r="D241" s="569">
        <v>2011</v>
      </c>
      <c r="E241" s="569">
        <v>2012</v>
      </c>
      <c r="F241" s="569">
        <v>2013</v>
      </c>
      <c r="G241" s="569">
        <v>2014</v>
      </c>
      <c r="H241" s="569" t="s">
        <v>9</v>
      </c>
      <c r="I241" s="569" t="s">
        <v>460</v>
      </c>
      <c r="J241" s="569" t="s">
        <v>464</v>
      </c>
      <c r="K241" s="569">
        <v>2013</v>
      </c>
      <c r="L241" s="569">
        <v>2014</v>
      </c>
    </row>
    <row r="242" spans="1:12" x14ac:dyDescent="0.25">
      <c r="B242" s="407" t="s">
        <v>134</v>
      </c>
      <c r="C242" s="329"/>
      <c r="D242" s="408">
        <f>'CDM Data'!O6</f>
        <v>9.8138747884940772E-2</v>
      </c>
      <c r="E242" s="408">
        <f>'CDM Data'!P6</f>
        <v>9.560067681895093E-2</v>
      </c>
      <c r="F242" s="408">
        <f>'CDM Data'!Q6</f>
        <v>9.560067681895093E-2</v>
      </c>
      <c r="G242" s="408">
        <f>'CDM Data'!R6</f>
        <v>9.475465313028765E-2</v>
      </c>
      <c r="H242" s="409">
        <f>'CDM Data'!S6</f>
        <v>0.38409475465313025</v>
      </c>
      <c r="I242" s="407"/>
      <c r="J242" s="407"/>
      <c r="K242" s="407"/>
      <c r="L242" s="407"/>
    </row>
    <row r="243" spans="1:12" x14ac:dyDescent="0.25">
      <c r="B243" s="407" t="s">
        <v>135</v>
      </c>
      <c r="C243" s="329"/>
      <c r="D243" s="409">
        <f>'CDM Data'!O7</f>
        <v>0</v>
      </c>
      <c r="E243" s="409">
        <f>'CDM Data'!P7</f>
        <v>8.4602368866328256E-2</v>
      </c>
      <c r="F243" s="409">
        <f>'CDM Data'!Q7</f>
        <v>7.6142131979695438E-2</v>
      </c>
      <c r="G243" s="409">
        <f>'CDM Data'!R7</f>
        <v>7.6142131979695438E-2</v>
      </c>
      <c r="H243" s="409">
        <f>'CDM Data'!S7</f>
        <v>0.23688663282571915</v>
      </c>
      <c r="I243" s="407"/>
      <c r="J243" s="407"/>
      <c r="K243" s="407"/>
      <c r="L243" s="407"/>
    </row>
    <row r="244" spans="1:12" x14ac:dyDescent="0.25">
      <c r="B244" s="407" t="s">
        <v>136</v>
      </c>
      <c r="C244" s="329"/>
      <c r="D244" s="410"/>
      <c r="E244" s="409"/>
      <c r="F244" s="409">
        <f>'CDM Data'!Q8</f>
        <v>0.12633953750705021</v>
      </c>
      <c r="G244" s="409">
        <f>'CDM Data'!R8</f>
        <v>0.12633953750705021</v>
      </c>
      <c r="H244" s="409">
        <f>'CDM Data'!S8</f>
        <v>0.25267907501410042</v>
      </c>
      <c r="I244" s="407"/>
      <c r="J244" s="407"/>
      <c r="K244" s="407"/>
      <c r="L244" s="407"/>
    </row>
    <row r="245" spans="1:12" x14ac:dyDescent="0.25">
      <c r="B245" s="407" t="s">
        <v>137</v>
      </c>
      <c r="C245" s="329"/>
      <c r="D245" s="410"/>
      <c r="E245" s="410"/>
      <c r="F245" s="409"/>
      <c r="G245" s="409">
        <f>'CDM Data'!R9</f>
        <v>0.12633953750705021</v>
      </c>
      <c r="H245" s="409">
        <f>'CDM Data'!S9</f>
        <v>0.12633953750705021</v>
      </c>
      <c r="I245" s="407"/>
      <c r="J245" s="407"/>
      <c r="K245" s="407"/>
      <c r="L245" s="407"/>
    </row>
    <row r="246" spans="1:12" x14ac:dyDescent="0.25">
      <c r="B246" s="407"/>
      <c r="C246" s="329"/>
      <c r="D246" s="409">
        <f>'CDM Data'!O10</f>
        <v>9.8138747884940772E-2</v>
      </c>
      <c r="E246" s="409">
        <f>'CDM Data'!P10</f>
        <v>0.18020304568527917</v>
      </c>
      <c r="F246" s="409">
        <f>'CDM Data'!Q10</f>
        <v>0.29808234630569658</v>
      </c>
      <c r="G246" s="409">
        <f>'CDM Data'!R10</f>
        <v>0.42357586012408344</v>
      </c>
      <c r="H246" s="409">
        <f>'CDM Data'!S10</f>
        <v>0.99999999999999989</v>
      </c>
      <c r="I246" s="407"/>
      <c r="J246" s="407"/>
      <c r="K246" s="407"/>
      <c r="L246" s="407"/>
    </row>
    <row r="247" spans="1:12" x14ac:dyDescent="0.25">
      <c r="B247" s="757" t="s">
        <v>138</v>
      </c>
      <c r="C247" s="757"/>
      <c r="D247" s="757"/>
      <c r="E247" s="757"/>
      <c r="F247" s="757"/>
      <c r="G247" s="757"/>
      <c r="H247" s="757"/>
      <c r="I247" s="407"/>
      <c r="J247" s="407"/>
      <c r="K247" s="407"/>
      <c r="L247" s="407"/>
    </row>
    <row r="248" spans="1:12" x14ac:dyDescent="0.25">
      <c r="B248" s="407" t="s">
        <v>134</v>
      </c>
      <c r="C248" s="329"/>
      <c r="D248" s="366">
        <f>'CDM Data'!O12</f>
        <v>1160000</v>
      </c>
      <c r="E248" s="366">
        <f>'CDM Data'!P12</f>
        <v>1130000</v>
      </c>
      <c r="F248" s="366">
        <f>'CDM Data'!Q12</f>
        <v>1130000</v>
      </c>
      <c r="G248" s="366">
        <f>'CDM Data'!R12</f>
        <v>1120000</v>
      </c>
      <c r="H248" s="366">
        <f>'CDM Data'!S12</f>
        <v>4540000</v>
      </c>
      <c r="I248" s="407"/>
      <c r="J248" s="407"/>
      <c r="K248" s="407"/>
      <c r="L248" s="407"/>
    </row>
    <row r="249" spans="1:12" x14ac:dyDescent="0.25">
      <c r="B249" s="407" t="s">
        <v>135</v>
      </c>
      <c r="C249" s="329"/>
      <c r="D249" s="366"/>
      <c r="E249" s="366">
        <f>'CDM Data'!P13</f>
        <v>1000000</v>
      </c>
      <c r="F249" s="366">
        <f>'CDM Data'!Q13</f>
        <v>900000</v>
      </c>
      <c r="G249" s="366">
        <f>'CDM Data'!R13</f>
        <v>900000</v>
      </c>
      <c r="H249" s="366">
        <f>'CDM Data'!S13</f>
        <v>2800000</v>
      </c>
      <c r="I249" s="475">
        <f>'CDM Data'!T13</f>
        <v>900000</v>
      </c>
      <c r="J249" s="623">
        <f>'CDM Data'!U13</f>
        <v>0.5</v>
      </c>
      <c r="K249" s="475">
        <f>'CDM Data'!V13</f>
        <v>450000</v>
      </c>
      <c r="L249" s="475">
        <f>'CDM Data'!W13</f>
        <v>450000</v>
      </c>
    </row>
    <row r="250" spans="1:12" x14ac:dyDescent="0.25">
      <c r="B250" s="407" t="s">
        <v>136</v>
      </c>
      <c r="C250" s="329"/>
      <c r="D250" s="366"/>
      <c r="E250" s="366"/>
      <c r="F250" s="366">
        <f>'CDM Data'!Q14</f>
        <v>1493333.3333333335</v>
      </c>
      <c r="G250" s="366">
        <f>'CDM Data'!R14</f>
        <v>1493333.3333333335</v>
      </c>
      <c r="H250" s="366">
        <f>'CDM Data'!S14</f>
        <v>2986666.666666667</v>
      </c>
      <c r="I250" s="475">
        <f>'CDM Data'!T14</f>
        <v>1493333.3333333335</v>
      </c>
      <c r="J250" s="623">
        <f>'CDM Data'!U14</f>
        <v>0</v>
      </c>
      <c r="K250" s="475">
        <f>'CDM Data'!V14</f>
        <v>0</v>
      </c>
      <c r="L250" s="475">
        <f>'CDM Data'!W14</f>
        <v>1493333.3333333335</v>
      </c>
    </row>
    <row r="251" spans="1:12" x14ac:dyDescent="0.25">
      <c r="B251" s="407" t="s">
        <v>137</v>
      </c>
      <c r="C251" s="329"/>
      <c r="D251" s="366"/>
      <c r="E251" s="366"/>
      <c r="F251" s="366"/>
      <c r="G251" s="366">
        <f>'CDM Data'!R15</f>
        <v>1493333.3333333335</v>
      </c>
      <c r="H251" s="366">
        <f>'CDM Data'!S15</f>
        <v>1493333.3333333335</v>
      </c>
      <c r="I251" s="475">
        <f>'CDM Data'!T15</f>
        <v>1493333.3333333335</v>
      </c>
      <c r="J251" s="623">
        <f>'CDM Data'!U15</f>
        <v>0.5</v>
      </c>
      <c r="K251" s="475">
        <f>'CDM Data'!V15</f>
        <v>0</v>
      </c>
      <c r="L251" s="475">
        <f>'CDM Data'!W15</f>
        <v>746666.66666666674</v>
      </c>
    </row>
    <row r="252" spans="1:12" x14ac:dyDescent="0.25">
      <c r="B252" s="329"/>
      <c r="C252" s="329"/>
      <c r="D252" s="366">
        <f>'CDM Data'!O16</f>
        <v>1160000</v>
      </c>
      <c r="E252" s="366">
        <f>'CDM Data'!P16</f>
        <v>2130000</v>
      </c>
      <c r="F252" s="366">
        <f>'CDM Data'!Q16</f>
        <v>3523333.3333333335</v>
      </c>
      <c r="G252" s="366">
        <f>'CDM Data'!R16</f>
        <v>5006666.666666667</v>
      </c>
      <c r="H252" s="366">
        <f>'CDM Data'!S16</f>
        <v>11820000</v>
      </c>
      <c r="I252" s="624" t="str">
        <f>'CDM Data'!T16</f>
        <v xml:space="preserve">Total </v>
      </c>
      <c r="J252" s="625"/>
      <c r="K252" s="625">
        <f>SUM(K249:K251)</f>
        <v>450000</v>
      </c>
      <c r="L252" s="625">
        <f>SUM(L249:L251)</f>
        <v>2690000</v>
      </c>
    </row>
    <row r="253" spans="1:12" ht="17.25" customHeight="1" x14ac:dyDescent="0.25"/>
    <row r="254" spans="1:12" hidden="1" x14ac:dyDescent="0.25">
      <c r="A254" s="329"/>
      <c r="B254" s="561" t="s">
        <v>413</v>
      </c>
      <c r="C254" s="562"/>
      <c r="D254" s="562"/>
      <c r="E254" s="562"/>
      <c r="F254" s="562"/>
      <c r="G254" s="566"/>
    </row>
    <row r="255" spans="1:12" hidden="1" x14ac:dyDescent="0.25">
      <c r="A255" s="411"/>
      <c r="B255" s="411"/>
      <c r="C255" s="326"/>
      <c r="D255" s="289" t="str">
        <f>D214</f>
        <v xml:space="preserve">Residential </v>
      </c>
      <c r="E255" s="289" t="str">
        <f t="shared" ref="E255:F255" si="60">E214</f>
        <v>GS&lt;50</v>
      </c>
      <c r="F255" s="289" t="str">
        <f t="shared" si="60"/>
        <v>GS&gt;50</v>
      </c>
      <c r="G255" s="289" t="str">
        <f>J214</f>
        <v>Total</v>
      </c>
    </row>
    <row r="256" spans="1:12" hidden="1" x14ac:dyDescent="0.25">
      <c r="A256" s="329"/>
      <c r="B256" s="292" t="s">
        <v>138</v>
      </c>
      <c r="C256" s="330"/>
      <c r="D256" s="412">
        <f>'CDM Data'!Q33+'CDM Data'!Q34+'CDM Data'!Q38</f>
        <v>846567.51551875938</v>
      </c>
      <c r="E256" s="412">
        <f>'CDM Data'!R33+'CDM Data'!R34+'CDM Data'!R38</f>
        <v>2490612.8951733713</v>
      </c>
      <c r="F256" s="412">
        <f>'CDM Data'!S33+'CDM Data'!S34+'CDM Data'!S38</f>
        <v>1717233.8712271429</v>
      </c>
      <c r="G256" s="412">
        <f>SUM(D256:F256)</f>
        <v>5054414.2819192735</v>
      </c>
    </row>
    <row r="257" spans="1:10" hidden="1" x14ac:dyDescent="0.25">
      <c r="A257" s="329"/>
      <c r="B257" s="292" t="s">
        <v>139</v>
      </c>
      <c r="C257" s="330"/>
      <c r="D257" s="400">
        <f>'CDM Data'!X38</f>
        <v>165.29765770392461</v>
      </c>
      <c r="E257" s="400">
        <f>'CDM Data'!Y38</f>
        <v>876.4240299509147</v>
      </c>
      <c r="F257" s="400">
        <f>'CDM Data'!Z38</f>
        <v>210.1851323559282</v>
      </c>
      <c r="G257" s="412">
        <f>SUM(D257:F257)</f>
        <v>1251.9068200107677</v>
      </c>
    </row>
    <row r="259" spans="1:10" x14ac:dyDescent="0.25">
      <c r="A259" s="561" t="s">
        <v>463</v>
      </c>
      <c r="B259" s="562"/>
      <c r="C259" s="562"/>
      <c r="D259" s="562"/>
      <c r="E259" s="562"/>
      <c r="F259" s="562"/>
      <c r="G259" s="562"/>
      <c r="H259" s="562"/>
      <c r="I259" s="562"/>
      <c r="J259" s="566"/>
    </row>
    <row r="260" spans="1:10" x14ac:dyDescent="0.25">
      <c r="A260" s="744" t="s">
        <v>102</v>
      </c>
      <c r="B260" s="766"/>
      <c r="C260" s="603"/>
      <c r="D260" s="289" t="str">
        <f t="shared" ref="D260:I260" si="61">D221</f>
        <v xml:space="preserve">Residential </v>
      </c>
      <c r="E260" s="289" t="str">
        <f t="shared" si="61"/>
        <v>GS&lt;50</v>
      </c>
      <c r="F260" s="289" t="str">
        <f t="shared" si="61"/>
        <v>GS&gt;50</v>
      </c>
      <c r="G260" s="289" t="str">
        <f t="shared" si="61"/>
        <v xml:space="preserve">Streetlights </v>
      </c>
      <c r="H260" s="289" t="str">
        <f t="shared" si="61"/>
        <v>Sentinels</v>
      </c>
      <c r="I260" s="289" t="str">
        <f t="shared" si="61"/>
        <v>USL</v>
      </c>
      <c r="J260" s="289" t="str">
        <f>G255</f>
        <v>Total</v>
      </c>
    </row>
    <row r="261" spans="1:10" x14ac:dyDescent="0.25">
      <c r="A261" s="337" t="s">
        <v>140</v>
      </c>
      <c r="B261" s="338"/>
      <c r="C261" s="338"/>
      <c r="D261" s="338"/>
      <c r="E261" s="338"/>
      <c r="F261" s="338"/>
      <c r="G261" s="338"/>
      <c r="H261" s="338"/>
      <c r="I261" s="338"/>
      <c r="J261" s="388"/>
    </row>
    <row r="262" spans="1:10" x14ac:dyDescent="0.25">
      <c r="A262" s="601" t="s">
        <v>428</v>
      </c>
      <c r="B262" s="600"/>
      <c r="C262" s="600"/>
      <c r="D262" s="400">
        <f>D216</f>
        <v>86.045166212251246</v>
      </c>
      <c r="E262" s="400">
        <f t="shared" ref="E262:I262" si="62">E216</f>
        <v>36.316884388788964</v>
      </c>
      <c r="F262" s="400">
        <f t="shared" si="62"/>
        <v>118.56727005614495</v>
      </c>
      <c r="G262" s="400">
        <f t="shared" si="62"/>
        <v>1.8312464771576069</v>
      </c>
      <c r="H262" s="400">
        <f t="shared" si="62"/>
        <v>0.12353084818503986</v>
      </c>
      <c r="I262" s="400">
        <f t="shared" si="62"/>
        <v>0.3437383971634087</v>
      </c>
      <c r="J262" s="400">
        <f>SUM(D262:I262)</f>
        <v>243.22783637969118</v>
      </c>
    </row>
    <row r="263" spans="1:10" x14ac:dyDescent="0.25">
      <c r="A263" s="601" t="s">
        <v>429</v>
      </c>
      <c r="B263" s="600"/>
      <c r="C263" s="600"/>
      <c r="D263" s="400">
        <f>D217</f>
        <v>86.41830053256804</v>
      </c>
      <c r="E263" s="400">
        <f t="shared" ref="E263:I263" si="63">E217</f>
        <v>36.96156525312977</v>
      </c>
      <c r="F263" s="400">
        <f t="shared" si="63"/>
        <v>118.57018646928027</v>
      </c>
      <c r="G263" s="400">
        <f t="shared" si="63"/>
        <v>1.86161780681745</v>
      </c>
      <c r="H263" s="400">
        <f t="shared" si="63"/>
        <v>0.12253577700319083</v>
      </c>
      <c r="I263" s="400">
        <f t="shared" si="63"/>
        <v>0.35830447063816961</v>
      </c>
      <c r="J263" s="400">
        <f>SUM(D263:I263)</f>
        <v>244.29251030943686</v>
      </c>
    </row>
    <row r="264" spans="1:10" x14ac:dyDescent="0.25">
      <c r="A264" s="337" t="s">
        <v>141</v>
      </c>
      <c r="B264" s="338"/>
      <c r="C264" s="338"/>
      <c r="D264" s="338"/>
      <c r="E264" s="338"/>
      <c r="F264" s="338"/>
      <c r="G264" s="338"/>
      <c r="H264" s="338"/>
      <c r="I264" s="338"/>
      <c r="J264" s="388"/>
    </row>
    <row r="265" spans="1:10" x14ac:dyDescent="0.25">
      <c r="A265" s="772">
        <f>A210</f>
        <v>2013</v>
      </c>
      <c r="B265" s="773"/>
      <c r="C265" s="602"/>
      <c r="D265" s="413">
        <f>'Rate Class Energy Model'!H67/1000000</f>
        <v>2.9640950561450192</v>
      </c>
      <c r="E265" s="413">
        <f>'Rate Class Energy Model'!I67/1000000</f>
        <v>1.2510487481175048</v>
      </c>
      <c r="F265" s="413">
        <f>'Rate Class Energy Model'!J67/1000000</f>
        <v>2.4960348791949696</v>
      </c>
      <c r="G265" s="413">
        <f>'Rate Class Energy Model'!K67/1000000</f>
        <v>0</v>
      </c>
      <c r="H265" s="413">
        <f>'Rate Class Energy Model'!L67/1000000</f>
        <v>0</v>
      </c>
      <c r="I265" s="413">
        <f>'Rate Class Energy Model'!M67/1000000</f>
        <v>0</v>
      </c>
      <c r="J265" s="413">
        <f>SUM(D265:I265)</f>
        <v>6.7111786834574936</v>
      </c>
    </row>
    <row r="266" spans="1:10" x14ac:dyDescent="0.25">
      <c r="A266" s="772">
        <f>A211</f>
        <v>2014</v>
      </c>
      <c r="B266" s="773"/>
      <c r="C266" s="600"/>
      <c r="D266" s="413">
        <f>'Rate Class Energy Model'!H68/1000000</f>
        <v>3.6970447665510591</v>
      </c>
      <c r="E266" s="413">
        <f>'Rate Class Energy Model'!I68/1000000</f>
        <v>1.5812456451989685</v>
      </c>
      <c r="F266" s="413">
        <f>'Rate Class Energy Model'!J68/1000000</f>
        <v>3.0998784922943035</v>
      </c>
      <c r="G266" s="413">
        <f>'Rate Class Energy Model'!K68/1000000</f>
        <v>0</v>
      </c>
      <c r="H266" s="413">
        <f>'Rate Class Energy Model'!L68/1000000</f>
        <v>0</v>
      </c>
      <c r="I266" s="413">
        <f>'Rate Class Energy Model'!M68/1000000</f>
        <v>0</v>
      </c>
      <c r="J266" s="413">
        <f>SUM(D266:I266)</f>
        <v>8.3781689040443315</v>
      </c>
    </row>
    <row r="267" spans="1:10" ht="15" customHeight="1" x14ac:dyDescent="0.25">
      <c r="A267" s="337" t="s">
        <v>142</v>
      </c>
      <c r="B267" s="338"/>
      <c r="C267" s="338"/>
      <c r="D267" s="338"/>
      <c r="E267" s="338"/>
      <c r="F267" s="338"/>
      <c r="G267" s="338"/>
      <c r="H267" s="338"/>
      <c r="I267" s="338"/>
      <c r="J267" s="388"/>
    </row>
    <row r="268" spans="1:10" x14ac:dyDescent="0.25">
      <c r="A268" s="772">
        <f>A265</f>
        <v>2013</v>
      </c>
      <c r="B268" s="773"/>
      <c r="C268" s="600"/>
      <c r="D268" s="413">
        <f>-'Rate Class Energy Model'!H71/1000000</f>
        <v>-0.12826682667973727</v>
      </c>
      <c r="E268" s="413">
        <f>-'Rate Class Energy Model'!I71/1000000</f>
        <v>-0.55363519257573546</v>
      </c>
      <c r="F268" s="413">
        <f>-'Rate Class Energy Model'!J71/1000000</f>
        <v>-0.51476464741119399</v>
      </c>
      <c r="G268" s="413">
        <f>'Rate Class Energy Model'!K71/1000000</f>
        <v>0</v>
      </c>
      <c r="H268" s="413">
        <f>'Rate Class Energy Model'!L71/1000000</f>
        <v>0</v>
      </c>
      <c r="I268" s="413">
        <f>'Rate Class Energy Model'!M71/1000000</f>
        <v>0</v>
      </c>
      <c r="J268" s="413">
        <f>SUM(D268:I268)</f>
        <v>-1.1966666666666668</v>
      </c>
    </row>
    <row r="269" spans="1:10" x14ac:dyDescent="0.25">
      <c r="A269" s="772">
        <f>A266</f>
        <v>2014</v>
      </c>
      <c r="B269" s="773"/>
      <c r="C269" s="600"/>
      <c r="D269" s="413">
        <f>-'Rate Class Energy Model'!H72/1000000</f>
        <v>-0.28833239312130354</v>
      </c>
      <c r="E269" s="413">
        <f>-'Rate Class Energy Model'!I72/1000000</f>
        <v>-1.2445225638123081</v>
      </c>
      <c r="F269" s="413">
        <f>-'Rate Class Energy Model'!J72/1000000</f>
        <v>-1.1571450430663888</v>
      </c>
      <c r="G269" s="413">
        <f>'Rate Class Energy Model'!K72/1000000</f>
        <v>0</v>
      </c>
      <c r="H269" s="413">
        <f>'Rate Class Energy Model'!L72/1000000</f>
        <v>0</v>
      </c>
      <c r="I269" s="413">
        <f>'Rate Class Energy Model'!M72/1000000</f>
        <v>0</v>
      </c>
      <c r="J269" s="413">
        <f>SUM(D269:I269)</f>
        <v>-2.6900000000000004</v>
      </c>
    </row>
    <row r="270" spans="1:10" x14ac:dyDescent="0.25">
      <c r="A270" s="337" t="s">
        <v>143</v>
      </c>
      <c r="B270" s="338"/>
      <c r="C270" s="338"/>
      <c r="D270" s="338"/>
      <c r="E270" s="338"/>
      <c r="F270" s="338"/>
      <c r="G270" s="338"/>
      <c r="H270" s="338"/>
      <c r="I270" s="338"/>
      <c r="J270" s="388"/>
    </row>
    <row r="271" spans="1:10" x14ac:dyDescent="0.25">
      <c r="A271" s="601" t="s">
        <v>422</v>
      </c>
      <c r="B271" s="602"/>
      <c r="C271" s="602"/>
      <c r="D271" s="414">
        <f>D262+D265+D268</f>
        <v>88.880994441716524</v>
      </c>
      <c r="E271" s="414">
        <f t="shared" ref="E271:I271" si="64">E262+E265+E268</f>
        <v>37.014297944330735</v>
      </c>
      <c r="F271" s="414">
        <f t="shared" si="64"/>
        <v>120.54854028792872</v>
      </c>
      <c r="G271" s="414">
        <f t="shared" si="64"/>
        <v>1.8312464771576069</v>
      </c>
      <c r="H271" s="414">
        <f t="shared" si="64"/>
        <v>0.12353084818503986</v>
      </c>
      <c r="I271" s="414">
        <f t="shared" si="64"/>
        <v>0.3437383971634087</v>
      </c>
      <c r="J271" s="400">
        <f>SUM(D271:I271)</f>
        <v>248.74234839648202</v>
      </c>
    </row>
    <row r="272" spans="1:10" x14ac:dyDescent="0.25">
      <c r="A272" s="601" t="s">
        <v>423</v>
      </c>
      <c r="B272" s="600"/>
      <c r="C272" s="600"/>
      <c r="D272" s="414">
        <f>D263+D266+D269</f>
        <v>89.82701290599779</v>
      </c>
      <c r="E272" s="414">
        <f t="shared" ref="E272:I272" si="65">E263+E266+E269</f>
        <v>37.298288334516428</v>
      </c>
      <c r="F272" s="414">
        <f t="shared" si="65"/>
        <v>120.51291991850819</v>
      </c>
      <c r="G272" s="414">
        <f t="shared" si="65"/>
        <v>1.86161780681745</v>
      </c>
      <c r="H272" s="414">
        <f t="shared" si="65"/>
        <v>0.12253577700319083</v>
      </c>
      <c r="I272" s="414">
        <f t="shared" si="65"/>
        <v>0.35830447063816961</v>
      </c>
      <c r="J272" s="400">
        <f>SUM(D272:I272)</f>
        <v>249.98067921348121</v>
      </c>
    </row>
    <row r="274" spans="1:10" x14ac:dyDescent="0.25">
      <c r="A274" s="561" t="s">
        <v>465</v>
      </c>
      <c r="B274" s="562"/>
      <c r="C274" s="562"/>
      <c r="D274" s="562"/>
      <c r="E274" s="562"/>
      <c r="F274" s="562"/>
      <c r="G274" s="566"/>
    </row>
    <row r="275" spans="1:10" x14ac:dyDescent="0.25">
      <c r="A275" s="764" t="s">
        <v>102</v>
      </c>
      <c r="B275" s="764"/>
      <c r="C275" s="326"/>
      <c r="D275" s="289" t="str">
        <f>F260</f>
        <v>GS&gt;50</v>
      </c>
      <c r="E275" s="289" t="str">
        <f>G260</f>
        <v xml:space="preserve">Streetlights </v>
      </c>
      <c r="F275" s="289" t="str">
        <f>H260</f>
        <v>Sentinels</v>
      </c>
      <c r="G275" s="289" t="str">
        <f>J260</f>
        <v>Total</v>
      </c>
    </row>
    <row r="276" spans="1:10" x14ac:dyDescent="0.25">
      <c r="A276" s="337" t="s">
        <v>144</v>
      </c>
      <c r="B276" s="338"/>
      <c r="C276" s="338"/>
      <c r="D276" s="338"/>
      <c r="E276" s="338"/>
      <c r="F276" s="338"/>
      <c r="G276" s="388"/>
    </row>
    <row r="277" spans="1:10" x14ac:dyDescent="0.25">
      <c r="A277" s="770">
        <f t="shared" ref="A277:A286" si="66">A195</f>
        <v>2003</v>
      </c>
      <c r="B277" s="770"/>
      <c r="C277" s="292"/>
      <c r="D277" s="389">
        <f>'Rate Class Load Model'!B3</f>
        <v>303516</v>
      </c>
      <c r="E277" s="389">
        <f>'Rate Class Load Model'!C3</f>
        <v>4595</v>
      </c>
      <c r="F277" s="389">
        <f>'Rate Class Load Model'!D3</f>
        <v>374</v>
      </c>
      <c r="G277" s="389">
        <f t="shared" ref="G277:G286" si="67">SUM(D277:F277)</f>
        <v>308485</v>
      </c>
      <c r="I277" s="347"/>
      <c r="J277" s="347"/>
    </row>
    <row r="278" spans="1:10" x14ac:dyDescent="0.25">
      <c r="A278" s="770">
        <f t="shared" si="66"/>
        <v>2004</v>
      </c>
      <c r="B278" s="770"/>
      <c r="C278" s="330"/>
      <c r="D278" s="389">
        <f>'Rate Class Load Model'!B4</f>
        <v>301177.71999999997</v>
      </c>
      <c r="E278" s="389">
        <f>'Rate Class Load Model'!C4</f>
        <v>4701</v>
      </c>
      <c r="F278" s="389">
        <f>'Rate Class Load Model'!D4</f>
        <v>372</v>
      </c>
      <c r="G278" s="389">
        <f t="shared" si="67"/>
        <v>306250.71999999997</v>
      </c>
      <c r="I278" s="347"/>
      <c r="J278" s="347"/>
    </row>
    <row r="279" spans="1:10" x14ac:dyDescent="0.25">
      <c r="A279" s="770">
        <f t="shared" si="66"/>
        <v>2005</v>
      </c>
      <c r="B279" s="770"/>
      <c r="C279" s="330"/>
      <c r="D279" s="389">
        <f>'Rate Class Load Model'!B5</f>
        <v>297873.01</v>
      </c>
      <c r="E279" s="389">
        <f>'Rate Class Load Model'!C5</f>
        <v>4431.21</v>
      </c>
      <c r="F279" s="389">
        <f>'Rate Class Load Model'!D5</f>
        <v>363.54</v>
      </c>
      <c r="G279" s="389">
        <f t="shared" si="67"/>
        <v>302667.76</v>
      </c>
      <c r="I279" s="347"/>
      <c r="J279" s="347"/>
    </row>
    <row r="280" spans="1:10" x14ac:dyDescent="0.25">
      <c r="A280" s="770">
        <f t="shared" si="66"/>
        <v>2006</v>
      </c>
      <c r="B280" s="770"/>
      <c r="C280" s="330"/>
      <c r="D280" s="389">
        <f>'Rate Class Load Model'!B6</f>
        <v>304913.78000000003</v>
      </c>
      <c r="E280" s="389">
        <f>'Rate Class Load Model'!C6</f>
        <v>4452.3599999999997</v>
      </c>
      <c r="F280" s="389">
        <f>'Rate Class Load Model'!D6</f>
        <v>370.18</v>
      </c>
      <c r="G280" s="389">
        <f t="shared" si="67"/>
        <v>309736.32000000001</v>
      </c>
      <c r="I280" s="347"/>
      <c r="J280" s="347"/>
    </row>
    <row r="281" spans="1:10" ht="14.85" customHeight="1" x14ac:dyDescent="0.25">
      <c r="A281" s="770">
        <f t="shared" si="66"/>
        <v>2007</v>
      </c>
      <c r="B281" s="770"/>
      <c r="C281" s="330"/>
      <c r="D281" s="389">
        <f>'Rate Class Load Model'!B7</f>
        <v>313686.49999999994</v>
      </c>
      <c r="E281" s="389">
        <f>'Rate Class Load Model'!C7</f>
        <v>4445.4399999999996</v>
      </c>
      <c r="F281" s="389">
        <f>'Rate Class Load Model'!D7</f>
        <v>373.39</v>
      </c>
      <c r="G281" s="389">
        <f t="shared" si="67"/>
        <v>318505.32999999996</v>
      </c>
      <c r="I281" s="347"/>
      <c r="J281" s="347"/>
    </row>
    <row r="282" spans="1:10" x14ac:dyDescent="0.25">
      <c r="A282" s="770">
        <f t="shared" si="66"/>
        <v>2008</v>
      </c>
      <c r="B282" s="770"/>
      <c r="C282" s="330"/>
      <c r="D282" s="389">
        <f>'Rate Class Load Model'!B8</f>
        <v>297641.89</v>
      </c>
      <c r="E282" s="389">
        <f>'Rate Class Load Model'!C8</f>
        <v>4841.55</v>
      </c>
      <c r="F282" s="389">
        <f>'Rate Class Load Model'!D8</f>
        <v>378.71</v>
      </c>
      <c r="G282" s="389">
        <f t="shared" si="67"/>
        <v>302862.15000000002</v>
      </c>
      <c r="I282" s="347"/>
      <c r="J282" s="347"/>
    </row>
    <row r="283" spans="1:10" x14ac:dyDescent="0.25">
      <c r="A283" s="770">
        <f t="shared" si="66"/>
        <v>2009</v>
      </c>
      <c r="B283" s="770"/>
      <c r="C283" s="330"/>
      <c r="D283" s="389">
        <f>'Rate Class Load Model'!B9</f>
        <v>306994.46000000002</v>
      </c>
      <c r="E283" s="389">
        <f>'Rate Class Load Model'!C9</f>
        <v>5111.5600000000004</v>
      </c>
      <c r="F283" s="389">
        <f>'Rate Class Load Model'!D9</f>
        <v>361.94000000000005</v>
      </c>
      <c r="G283" s="389">
        <f t="shared" si="67"/>
        <v>312467.96000000002</v>
      </c>
      <c r="I283" s="347"/>
      <c r="J283" s="347"/>
    </row>
    <row r="284" spans="1:10" x14ac:dyDescent="0.25">
      <c r="A284" s="770">
        <f t="shared" si="66"/>
        <v>2010</v>
      </c>
      <c r="B284" s="770"/>
      <c r="C284" s="330"/>
      <c r="D284" s="389">
        <f>'Rate Class Load Model'!B10</f>
        <v>298436.81999999995</v>
      </c>
      <c r="E284" s="389">
        <f>'Rate Class Load Model'!C10</f>
        <v>4952.9000000000005</v>
      </c>
      <c r="F284" s="389">
        <f>'Rate Class Load Model'!D10</f>
        <v>351.69999999999993</v>
      </c>
      <c r="G284" s="389">
        <f t="shared" si="67"/>
        <v>303741.42</v>
      </c>
      <c r="I284" s="347"/>
      <c r="J284" s="347"/>
    </row>
    <row r="285" spans="1:10" x14ac:dyDescent="0.25">
      <c r="A285" s="770">
        <f t="shared" si="66"/>
        <v>2011</v>
      </c>
      <c r="B285" s="770"/>
      <c r="C285" s="330"/>
      <c r="D285" s="389">
        <f>'Rate Class Load Model'!B11</f>
        <v>298210.00000000006</v>
      </c>
      <c r="E285" s="389">
        <f>'Rate Class Load Model'!C11</f>
        <v>4553.3</v>
      </c>
      <c r="F285" s="389">
        <f>'Rate Class Load Model'!D11</f>
        <v>274.29999999999995</v>
      </c>
      <c r="G285" s="389">
        <f t="shared" si="67"/>
        <v>303037.60000000003</v>
      </c>
      <c r="I285" s="347"/>
      <c r="J285" s="347"/>
    </row>
    <row r="286" spans="1:10" x14ac:dyDescent="0.25">
      <c r="A286" s="770">
        <f t="shared" si="66"/>
        <v>2012</v>
      </c>
      <c r="B286" s="770"/>
      <c r="C286" s="330"/>
      <c r="D286" s="389">
        <f>'Rate Class Load Model'!B12</f>
        <v>295003.59999999998</v>
      </c>
      <c r="E286" s="389">
        <f>'Rate Class Load Model'!C12</f>
        <v>5416.0000000000009</v>
      </c>
      <c r="F286" s="389">
        <f>'Rate Class Load Model'!D12</f>
        <v>329.80000000000007</v>
      </c>
      <c r="G286" s="389">
        <f t="shared" si="67"/>
        <v>300749.39999999997</v>
      </c>
      <c r="I286" s="347"/>
      <c r="J286" s="347"/>
    </row>
    <row r="288" spans="1:10" ht="15" customHeight="1" x14ac:dyDescent="0.25">
      <c r="A288" s="561" t="s">
        <v>466</v>
      </c>
      <c r="B288" s="567"/>
      <c r="C288" s="567"/>
      <c r="D288" s="567"/>
      <c r="E288" s="567"/>
      <c r="F288" s="568"/>
    </row>
    <row r="289" spans="1:15" x14ac:dyDescent="0.25">
      <c r="A289" s="764" t="s">
        <v>102</v>
      </c>
      <c r="B289" s="764"/>
      <c r="C289" s="326"/>
      <c r="D289" s="289" t="str">
        <f>D275</f>
        <v>GS&gt;50</v>
      </c>
      <c r="E289" s="289" t="str">
        <f>E275</f>
        <v xml:space="preserve">Streetlights </v>
      </c>
      <c r="F289" s="289" t="str">
        <f>F275</f>
        <v>Sentinels</v>
      </c>
    </row>
    <row r="290" spans="1:15" ht="15" customHeight="1" x14ac:dyDescent="0.25">
      <c r="A290" s="337" t="s">
        <v>145</v>
      </c>
      <c r="B290" s="338"/>
      <c r="C290" s="305"/>
      <c r="D290" s="305"/>
      <c r="E290" s="305"/>
      <c r="F290" s="305"/>
    </row>
    <row r="291" spans="1:15" x14ac:dyDescent="0.25">
      <c r="A291" s="770">
        <f t="shared" ref="A291:A300" si="68">A277</f>
        <v>2003</v>
      </c>
      <c r="B291" s="770"/>
      <c r="C291" s="328"/>
      <c r="D291" s="415">
        <f>'Rate Class Load Model'!B17</f>
        <v>2.4075481245482812E-3</v>
      </c>
      <c r="E291" s="415">
        <f>'Rate Class Load Model'!C17</f>
        <v>2.9578485658779499E-3</v>
      </c>
      <c r="F291" s="415">
        <f>'Rate Class Load Model'!D17</f>
        <v>2.792357600961646E-3</v>
      </c>
    </row>
    <row r="292" spans="1:15" x14ac:dyDescent="0.25">
      <c r="A292" s="770">
        <f t="shared" si="68"/>
        <v>2004</v>
      </c>
      <c r="B292" s="770"/>
      <c r="C292" s="330"/>
      <c r="D292" s="415">
        <f>'Rate Class Load Model'!B18</f>
        <v>2.3670022394660802E-3</v>
      </c>
      <c r="E292" s="415">
        <f>'Rate Class Load Model'!C18</f>
        <v>2.7726056418189851E-3</v>
      </c>
      <c r="F292" s="415">
        <f>'Rate Class Load Model'!D18</f>
        <v>2.7757465415093495E-3</v>
      </c>
    </row>
    <row r="293" spans="1:15" x14ac:dyDescent="0.25">
      <c r="A293" s="770">
        <f t="shared" si="68"/>
        <v>2005</v>
      </c>
      <c r="B293" s="770"/>
      <c r="C293" s="330"/>
      <c r="D293" s="415">
        <f>'Rate Class Load Model'!B19</f>
        <v>2.3623085320778029E-3</v>
      </c>
      <c r="E293" s="415">
        <f>'Rate Class Load Model'!C19</f>
        <v>2.7921407740868951E-3</v>
      </c>
      <c r="F293" s="415">
        <f>'Rate Class Load Model'!D19</f>
        <v>2.6854466211528008E-3</v>
      </c>
    </row>
    <row r="294" spans="1:15" x14ac:dyDescent="0.25">
      <c r="A294" s="770">
        <f t="shared" si="68"/>
        <v>2006</v>
      </c>
      <c r="B294" s="770"/>
      <c r="C294" s="330"/>
      <c r="D294" s="415">
        <f>'Rate Class Load Model'!B20</f>
        <v>2.3721052566448601E-3</v>
      </c>
      <c r="E294" s="415">
        <f>'Rate Class Load Model'!C20</f>
        <v>2.7923774985610726E-3</v>
      </c>
      <c r="F294" s="415">
        <f>'Rate Class Load Model'!D20</f>
        <v>2.8448603537685061E-3</v>
      </c>
    </row>
    <row r="295" spans="1:15" x14ac:dyDescent="0.25">
      <c r="A295" s="770">
        <f t="shared" si="68"/>
        <v>2007</v>
      </c>
      <c r="B295" s="770"/>
      <c r="C295" s="330"/>
      <c r="D295" s="415">
        <f>'Rate Class Load Model'!B21</f>
        <v>2.3851118358251757E-3</v>
      </c>
      <c r="E295" s="415">
        <f>'Rate Class Load Model'!C21</f>
        <v>2.7518423989827913E-3</v>
      </c>
      <c r="F295" s="415">
        <f>'Rate Class Load Model'!D21</f>
        <v>2.797432795945637E-3</v>
      </c>
    </row>
    <row r="296" spans="1:15" ht="14.85" customHeight="1" x14ac:dyDescent="0.25">
      <c r="A296" s="770">
        <f t="shared" si="68"/>
        <v>2008</v>
      </c>
      <c r="B296" s="770"/>
      <c r="C296" s="330"/>
      <c r="D296" s="415">
        <f>'Rate Class Load Model'!B22</f>
        <v>2.3895415673783355E-3</v>
      </c>
      <c r="E296" s="415">
        <f>'Rate Class Load Model'!C22</f>
        <v>2.7921082864777445E-3</v>
      </c>
      <c r="F296" s="415">
        <f>'Rate Class Load Model'!D22</f>
        <v>2.7664947253170464E-3</v>
      </c>
    </row>
    <row r="297" spans="1:15" x14ac:dyDescent="0.25">
      <c r="A297" s="770">
        <f t="shared" si="68"/>
        <v>2009</v>
      </c>
      <c r="B297" s="770"/>
      <c r="C297" s="330"/>
      <c r="D297" s="415">
        <f>'Rate Class Load Model'!B23</f>
        <v>2.52688819134769E-3</v>
      </c>
      <c r="E297" s="415">
        <f>'Rate Class Load Model'!C23</f>
        <v>2.8877122256436537E-3</v>
      </c>
      <c r="F297" s="415">
        <f>'Rate Class Load Model'!D23</f>
        <v>2.8164382444518061E-3</v>
      </c>
    </row>
    <row r="298" spans="1:15" x14ac:dyDescent="0.25">
      <c r="A298" s="770">
        <f t="shared" si="68"/>
        <v>2010</v>
      </c>
      <c r="B298" s="770"/>
      <c r="C298" s="330"/>
      <c r="D298" s="415">
        <f>'Rate Class Load Model'!B24</f>
        <v>2.4186359292039431E-3</v>
      </c>
      <c r="E298" s="415">
        <f>'Rate Class Load Model'!C24</f>
        <v>2.7864118470744899E-3</v>
      </c>
      <c r="F298" s="415">
        <f>'Rate Class Load Model'!D24</f>
        <v>2.7596217976381962E-3</v>
      </c>
    </row>
    <row r="299" spans="1:15" x14ac:dyDescent="0.25">
      <c r="A299" s="770">
        <f t="shared" si="68"/>
        <v>2011</v>
      </c>
      <c r="B299" s="770"/>
      <c r="C299" s="330"/>
      <c r="D299" s="415">
        <f>'Rate Class Load Model'!B25</f>
        <v>2.4502238969775197E-3</v>
      </c>
      <c r="E299" s="415">
        <f>'Rate Class Load Model'!C25</f>
        <v>2.554122170204507E-3</v>
      </c>
      <c r="F299" s="415">
        <f>'Rate Class Load Model'!D25</f>
        <v>2.7674364639769158E-3</v>
      </c>
    </row>
    <row r="300" spans="1:15" x14ac:dyDescent="0.25">
      <c r="A300" s="770">
        <f t="shared" si="68"/>
        <v>2012</v>
      </c>
      <c r="B300" s="770"/>
      <c r="D300" s="415">
        <f>'Rate Class Load Model'!B26</f>
        <v>2.4491067507469311E-3</v>
      </c>
      <c r="E300" s="415">
        <f>'Rate Class Load Model'!C26</f>
        <v>3.0065994636173272E-3</v>
      </c>
      <c r="F300" s="415">
        <f>'Rate Class Load Model'!D26</f>
        <v>2.6482727608524584E-3</v>
      </c>
    </row>
    <row r="301" spans="1:15" x14ac:dyDescent="0.25">
      <c r="A301" s="771" t="s">
        <v>424</v>
      </c>
      <c r="B301" s="771"/>
      <c r="C301" s="292"/>
      <c r="D301" s="416">
        <f>AVERAGE(D291:D300)</f>
        <v>2.4128472324216619E-3</v>
      </c>
      <c r="E301" s="416">
        <f t="shared" ref="E301:F301" si="69">AVERAGE(E291:E300)</f>
        <v>2.8093768872345416E-3</v>
      </c>
      <c r="F301" s="416">
        <f t="shared" si="69"/>
        <v>2.7654107905574362E-3</v>
      </c>
    </row>
    <row r="302" spans="1:15" x14ac:dyDescent="0.25">
      <c r="K302" s="417"/>
      <c r="L302" s="417"/>
      <c r="M302" s="417"/>
      <c r="N302" s="417"/>
      <c r="O302" s="417"/>
    </row>
    <row r="303" spans="1:15" x14ac:dyDescent="0.25">
      <c r="A303" s="561" t="s">
        <v>467</v>
      </c>
      <c r="B303" s="562"/>
      <c r="C303" s="562"/>
      <c r="D303" s="562"/>
      <c r="E303" s="562"/>
      <c r="F303" s="562"/>
      <c r="G303" s="566"/>
    </row>
    <row r="304" spans="1:15" x14ac:dyDescent="0.25">
      <c r="A304" s="743" t="s">
        <v>102</v>
      </c>
      <c r="B304" s="743"/>
      <c r="C304" s="326"/>
      <c r="D304" s="289" t="str">
        <f>D275</f>
        <v>GS&gt;50</v>
      </c>
      <c r="E304" s="289" t="str">
        <f>E275</f>
        <v xml:space="preserve">Streetlights </v>
      </c>
      <c r="F304" s="289" t="str">
        <f>F275</f>
        <v>Sentinels</v>
      </c>
      <c r="G304" s="289" t="str">
        <f>G275</f>
        <v>Total</v>
      </c>
    </row>
    <row r="305" spans="1:17" x14ac:dyDescent="0.25">
      <c r="A305" s="337" t="s">
        <v>146</v>
      </c>
      <c r="B305" s="338"/>
      <c r="C305" s="338"/>
      <c r="D305" s="338"/>
      <c r="E305" s="338"/>
      <c r="F305" s="338"/>
      <c r="G305" s="388"/>
    </row>
    <row r="306" spans="1:17" x14ac:dyDescent="0.25">
      <c r="A306" s="292" t="s">
        <v>422</v>
      </c>
      <c r="B306" s="330"/>
      <c r="C306" s="330"/>
      <c r="D306" s="396">
        <f>D301*F271*1000000</f>
        <v>290865.21180619998</v>
      </c>
      <c r="E306" s="396">
        <f>E301*G271*1000000</f>
        <v>5144.6615277562578</v>
      </c>
      <c r="F306" s="396">
        <f>F301*H271*1000000</f>
        <v>341.6135405376217</v>
      </c>
      <c r="G306" s="396">
        <f>SUM(D306:F306)</f>
        <v>296351.48687449383</v>
      </c>
      <c r="H306" s="347"/>
      <c r="I306" s="347"/>
      <c r="K306" s="347"/>
      <c r="L306" s="347"/>
      <c r="M306" s="347"/>
      <c r="N306" s="347"/>
      <c r="O306" s="347"/>
      <c r="P306" s="347"/>
      <c r="Q306" s="347"/>
    </row>
    <row r="307" spans="1:17" x14ac:dyDescent="0.25">
      <c r="A307" s="292" t="s">
        <v>423</v>
      </c>
      <c r="B307" s="330"/>
      <c r="C307" s="330"/>
      <c r="D307" s="396">
        <f>D301*F272*1000000</f>
        <v>290779.26529642585</v>
      </c>
      <c r="E307" s="396">
        <f>E301*G272*1000000</f>
        <v>5229.9860393372019</v>
      </c>
      <c r="F307" s="396">
        <f>F301*H272*1000000</f>
        <v>338.86175995396366</v>
      </c>
      <c r="G307" s="396">
        <f>SUM(D307:F307)</f>
        <v>296348.11309571698</v>
      </c>
      <c r="H307" s="347"/>
      <c r="I307" s="347"/>
      <c r="K307" s="347"/>
      <c r="L307" s="347"/>
      <c r="M307" s="347"/>
      <c r="N307" s="347"/>
      <c r="O307" s="347"/>
      <c r="P307" s="347"/>
      <c r="Q307" s="347"/>
    </row>
    <row r="308" spans="1:17" x14ac:dyDescent="0.25">
      <c r="A308" s="286"/>
      <c r="B308" s="376"/>
      <c r="C308" s="376"/>
      <c r="D308" s="418"/>
      <c r="E308" s="418"/>
      <c r="F308" s="418"/>
      <c r="G308" s="418"/>
    </row>
    <row r="309" spans="1:17" x14ac:dyDescent="0.25">
      <c r="A309" s="767" t="s">
        <v>468</v>
      </c>
      <c r="B309" s="767"/>
      <c r="C309" s="767"/>
      <c r="D309" s="767"/>
      <c r="E309" s="767"/>
      <c r="F309" s="767"/>
      <c r="G309" s="767"/>
      <c r="H309" s="767"/>
      <c r="I309" s="767"/>
      <c r="J309" s="286"/>
    </row>
    <row r="310" spans="1:17" ht="45" x14ac:dyDescent="0.25">
      <c r="A310" s="775"/>
      <c r="B310" s="775"/>
      <c r="C310" s="570"/>
      <c r="D310" s="728" t="s">
        <v>358</v>
      </c>
      <c r="E310" s="571" t="s">
        <v>147</v>
      </c>
      <c r="F310" s="571" t="s">
        <v>418</v>
      </c>
      <c r="G310" s="571" t="s">
        <v>419</v>
      </c>
      <c r="H310" s="572" t="s">
        <v>420</v>
      </c>
      <c r="I310" s="572" t="s">
        <v>421</v>
      </c>
    </row>
    <row r="311" spans="1:17" ht="5.25" customHeight="1" x14ac:dyDescent="0.25">
      <c r="A311" s="761"/>
      <c r="B311" s="761"/>
      <c r="C311" s="330"/>
      <c r="D311" s="345"/>
      <c r="E311" s="345"/>
      <c r="F311" s="345"/>
      <c r="G311" s="345"/>
      <c r="H311" s="345"/>
      <c r="I311" s="329"/>
      <c r="J311" s="419"/>
    </row>
    <row r="312" spans="1:17" x14ac:dyDescent="0.25">
      <c r="A312" s="771" t="s">
        <v>148</v>
      </c>
      <c r="B312" s="771"/>
      <c r="C312" s="771"/>
      <c r="D312" s="771"/>
      <c r="E312" s="771"/>
      <c r="F312" s="771"/>
      <c r="G312" s="771"/>
      <c r="H312" s="771"/>
      <c r="I312" s="771"/>
      <c r="J312" s="286"/>
    </row>
    <row r="313" spans="1:17" x14ac:dyDescent="0.25">
      <c r="A313" s="330" t="s">
        <v>57</v>
      </c>
      <c r="B313" s="330"/>
      <c r="C313" s="330"/>
      <c r="D313" s="345"/>
      <c r="E313" s="345">
        <f>Summary!I4</f>
        <v>261176261.29999998</v>
      </c>
      <c r="F313" s="345">
        <f>Summary!J4</f>
        <v>257783039.52000001</v>
      </c>
      <c r="G313" s="345">
        <f>Summary!K4</f>
        <v>255279338.42063153</v>
      </c>
      <c r="H313" s="345"/>
      <c r="I313" s="329"/>
      <c r="J313" s="420"/>
    </row>
    <row r="314" spans="1:17" x14ac:dyDescent="0.25">
      <c r="A314" s="330" t="s">
        <v>58</v>
      </c>
      <c r="B314" s="330"/>
      <c r="C314" s="330"/>
      <c r="D314" s="345"/>
      <c r="E314" s="345">
        <f>Summary!I5</f>
        <v>257813626.74921685</v>
      </c>
      <c r="F314" s="345">
        <f>Summary!J5</f>
        <v>259501516.17453444</v>
      </c>
      <c r="G314" s="345">
        <f>Summary!K5</f>
        <v>258825832.80264035</v>
      </c>
      <c r="H314" s="345">
        <f>Summary!L5</f>
        <v>261780933.65539229</v>
      </c>
      <c r="I314" s="345">
        <f>Summary!M5</f>
        <v>264642021.95537755</v>
      </c>
      <c r="J314" s="420"/>
    </row>
    <row r="315" spans="1:17" x14ac:dyDescent="0.25">
      <c r="A315" s="329" t="s">
        <v>149</v>
      </c>
      <c r="B315" s="329"/>
      <c r="C315" s="349"/>
      <c r="D315" s="421"/>
      <c r="E315" s="422">
        <f>E314/E313-1</f>
        <v>-1.287496242593289E-2</v>
      </c>
      <c r="F315" s="422">
        <f>F314/F313-1</f>
        <v>6.6663681898324612E-3</v>
      </c>
      <c r="G315" s="422">
        <f>G314/G313-1</f>
        <v>1.3892602526903941E-2</v>
      </c>
      <c r="H315" s="329"/>
      <c r="I315" s="329"/>
      <c r="J315" s="419"/>
    </row>
    <row r="316" spans="1:17" ht="12.75" customHeight="1" x14ac:dyDescent="0.25">
      <c r="A316" s="761"/>
      <c r="B316" s="761"/>
      <c r="C316" s="330"/>
      <c r="D316" s="372"/>
      <c r="E316" s="422"/>
      <c r="F316" s="423"/>
      <c r="G316" s="423"/>
      <c r="H316" s="423"/>
      <c r="I316" s="329"/>
      <c r="J316" s="419"/>
    </row>
    <row r="317" spans="1:17" x14ac:dyDescent="0.25">
      <c r="A317" s="771" t="s">
        <v>150</v>
      </c>
      <c r="B317" s="771"/>
      <c r="C317" s="771"/>
      <c r="D317" s="771"/>
      <c r="E317" s="771"/>
      <c r="F317" s="771"/>
      <c r="G317" s="771"/>
      <c r="H317" s="771"/>
      <c r="I317" s="771"/>
      <c r="J317" s="286"/>
    </row>
    <row r="318" spans="1:17" x14ac:dyDescent="0.25">
      <c r="A318" s="424" t="s">
        <v>151</v>
      </c>
      <c r="B318" s="330"/>
      <c r="C318" s="330"/>
      <c r="D318" s="552"/>
      <c r="E318" s="345"/>
      <c r="F318" s="425"/>
      <c r="G318" s="425"/>
      <c r="H318" s="425"/>
      <c r="I318" s="329"/>
      <c r="J318" s="419"/>
    </row>
    <row r="319" spans="1:17" x14ac:dyDescent="0.25">
      <c r="A319" s="330" t="s">
        <v>47</v>
      </c>
      <c r="B319" s="330"/>
      <c r="C319" s="330"/>
      <c r="D319" s="552">
        <f>D42</f>
        <v>10044.5</v>
      </c>
      <c r="E319" s="345">
        <f>Summary!I12</f>
        <v>9888.5</v>
      </c>
      <c r="F319" s="345">
        <f>Summary!J12</f>
        <v>9995</v>
      </c>
      <c r="G319" s="345">
        <f>Summary!K12</f>
        <v>10085</v>
      </c>
      <c r="H319" s="345">
        <f>Summary!L12</f>
        <v>10204.255841796119</v>
      </c>
      <c r="I319" s="345">
        <f>Summary!M12</f>
        <v>10324.921892397642</v>
      </c>
      <c r="J319" s="420"/>
    </row>
    <row r="320" spans="1:17" x14ac:dyDescent="0.25">
      <c r="A320" s="770" t="s">
        <v>48</v>
      </c>
      <c r="B320" s="770"/>
      <c r="C320" s="330"/>
      <c r="D320" s="552">
        <f>D25*1000000</f>
        <v>85739255.741245419</v>
      </c>
      <c r="E320" s="345">
        <f>Summary!I13</f>
        <v>86211880</v>
      </c>
      <c r="F320" s="345">
        <f>Summary!J13</f>
        <v>85903538</v>
      </c>
      <c r="G320" s="345">
        <f>Summary!K13</f>
        <v>85673643</v>
      </c>
      <c r="H320" s="345">
        <f>Summary!L13</f>
        <v>88880994.441716522</v>
      </c>
      <c r="I320" s="345">
        <f>Summary!M13</f>
        <v>89827012.905997798</v>
      </c>
      <c r="J320" s="420"/>
    </row>
    <row r="321" spans="1:10" x14ac:dyDescent="0.25">
      <c r="A321" s="761"/>
      <c r="B321" s="761"/>
      <c r="C321" s="330"/>
      <c r="D321" s="552"/>
      <c r="E321" s="345"/>
      <c r="F321" s="425"/>
      <c r="G321" s="425"/>
      <c r="H321" s="425"/>
      <c r="I321" s="329"/>
      <c r="J321" s="419"/>
    </row>
    <row r="322" spans="1:10" x14ac:dyDescent="0.25">
      <c r="A322" s="774" t="str">
        <f>E260</f>
        <v>GS&lt;50</v>
      </c>
      <c r="B322" s="774"/>
      <c r="C322" s="330"/>
      <c r="D322" s="552"/>
      <c r="E322" s="345"/>
      <c r="F322" s="425"/>
      <c r="G322" s="425"/>
      <c r="H322" s="425"/>
      <c r="I322" s="329"/>
      <c r="J322" s="419"/>
    </row>
    <row r="323" spans="1:10" x14ac:dyDescent="0.25">
      <c r="A323" s="330" t="s">
        <v>47</v>
      </c>
      <c r="B323" s="330"/>
      <c r="C323" s="330"/>
      <c r="D323" s="552">
        <f>E42</f>
        <v>1080.5</v>
      </c>
      <c r="E323" s="345">
        <f>Summary!I16</f>
        <v>1155.5</v>
      </c>
      <c r="F323" s="345">
        <f>Summary!J16</f>
        <v>1126.5</v>
      </c>
      <c r="G323" s="345">
        <f>Summary!K16</f>
        <v>1108</v>
      </c>
      <c r="H323" s="345">
        <f>Summary!L16</f>
        <v>1124.3042867708639</v>
      </c>
      <c r="I323" s="345">
        <f>Summary!M16</f>
        <v>1140.8484921040983</v>
      </c>
      <c r="J323" s="420"/>
    </row>
    <row r="324" spans="1:10" x14ac:dyDescent="0.25">
      <c r="A324" s="770" t="s">
        <v>48</v>
      </c>
      <c r="B324" s="770"/>
      <c r="C324" s="330"/>
      <c r="D324" s="552">
        <f>E25*1000000</f>
        <v>38644866.570349239</v>
      </c>
      <c r="E324" s="345">
        <f>Summary!I17</f>
        <v>36096661</v>
      </c>
      <c r="F324" s="345">
        <f>Summary!J17</f>
        <v>35863634</v>
      </c>
      <c r="G324" s="345">
        <f>Summary!K17</f>
        <v>35683448</v>
      </c>
      <c r="H324" s="345">
        <f>Summary!L17</f>
        <v>37014297.944330722</v>
      </c>
      <c r="I324" s="345">
        <f>Summary!M17</f>
        <v>37298288.334516436</v>
      </c>
      <c r="J324" s="420"/>
    </row>
    <row r="325" spans="1:10" x14ac:dyDescent="0.25">
      <c r="A325" s="761"/>
      <c r="B325" s="761"/>
      <c r="C325" s="330"/>
      <c r="D325" s="552"/>
      <c r="E325" s="345"/>
      <c r="F325" s="425"/>
      <c r="G325" s="425"/>
      <c r="H325" s="425"/>
      <c r="I325" s="329"/>
      <c r="J325" s="419"/>
    </row>
    <row r="326" spans="1:10" x14ac:dyDescent="0.25">
      <c r="A326" s="774" t="s">
        <v>153</v>
      </c>
      <c r="B326" s="774"/>
      <c r="C326" s="330"/>
      <c r="D326" s="552"/>
      <c r="E326" s="345"/>
      <c r="F326" s="425"/>
      <c r="G326" s="425"/>
      <c r="H326" s="425"/>
      <c r="I326" s="329"/>
      <c r="J326" s="419"/>
    </row>
    <row r="327" spans="1:10" x14ac:dyDescent="0.25">
      <c r="A327" s="330" t="s">
        <v>47</v>
      </c>
      <c r="B327" s="330"/>
      <c r="C327" s="330"/>
      <c r="D327" s="552">
        <f>F42</f>
        <v>133</v>
      </c>
      <c r="E327" s="345">
        <f>Summary!I20</f>
        <v>129.5</v>
      </c>
      <c r="F327" s="345">
        <f>Summary!J20</f>
        <v>130.5</v>
      </c>
      <c r="G327" s="345">
        <f>Summary!K20</f>
        <v>127</v>
      </c>
      <c r="H327" s="345">
        <f>Summary!L20</f>
        <v>124</v>
      </c>
      <c r="I327" s="345">
        <f>Summary!M20</f>
        <v>123</v>
      </c>
      <c r="J327" s="420"/>
    </row>
    <row r="328" spans="1:10" x14ac:dyDescent="0.25">
      <c r="A328" s="770" t="s">
        <v>48</v>
      </c>
      <c r="B328" s="770"/>
      <c r="C328" s="330"/>
      <c r="D328" s="552">
        <f>F25*1000000</f>
        <v>123337329.21796031</v>
      </c>
      <c r="E328" s="345">
        <f>Summary!I21</f>
        <v>123390551.01121642</v>
      </c>
      <c r="F328" s="345">
        <f>Summary!J21</f>
        <v>121707244.94518963</v>
      </c>
      <c r="G328" s="345">
        <f>Summary!K21</f>
        <v>120453548.99700859</v>
      </c>
      <c r="H328" s="345">
        <f>Summary!L21</f>
        <v>120548540.28792873</v>
      </c>
      <c r="I328" s="345">
        <f>Summary!M21</f>
        <v>120512919.91850819</v>
      </c>
      <c r="J328" s="420"/>
    </row>
    <row r="329" spans="1:10" x14ac:dyDescent="0.25">
      <c r="A329" s="770" t="s">
        <v>49</v>
      </c>
      <c r="B329" s="770"/>
      <c r="C329" s="330"/>
      <c r="D329" s="552">
        <f>[10]Summary!$L$23+[10]Summary!$L$29</f>
        <v>293887.33015155786</v>
      </c>
      <c r="E329" s="345">
        <f>Summary!I22</f>
        <v>298436.81999999995</v>
      </c>
      <c r="F329" s="345">
        <f>Summary!J22</f>
        <v>298210.00000000006</v>
      </c>
      <c r="G329" s="345">
        <f>Summary!K22</f>
        <v>295003.59999999998</v>
      </c>
      <c r="H329" s="345">
        <f>Summary!L22</f>
        <v>290865.21180620004</v>
      </c>
      <c r="I329" s="345">
        <f>Summary!M22</f>
        <v>290779.26529642585</v>
      </c>
      <c r="J329" s="420"/>
    </row>
    <row r="330" spans="1:10" x14ac:dyDescent="0.25">
      <c r="A330" s="761"/>
      <c r="B330" s="761"/>
      <c r="C330" s="330"/>
      <c r="D330" s="552"/>
      <c r="E330" s="345"/>
      <c r="F330" s="345"/>
      <c r="G330" s="345"/>
      <c r="H330" s="345"/>
      <c r="I330" s="329"/>
      <c r="J330" s="419"/>
    </row>
    <row r="331" spans="1:10" x14ac:dyDescent="0.25">
      <c r="A331" s="774" t="str">
        <f>Summary!A24</f>
        <v xml:space="preserve">Streetlights </v>
      </c>
      <c r="B331" s="774"/>
      <c r="C331" s="330"/>
      <c r="D331" s="552"/>
      <c r="E331" s="345"/>
      <c r="F331" s="345"/>
      <c r="G331" s="345"/>
      <c r="H331" s="345"/>
      <c r="I331" s="329"/>
      <c r="J331" s="419"/>
    </row>
    <row r="332" spans="1:10" x14ac:dyDescent="0.25">
      <c r="A332" s="330" t="s">
        <v>68</v>
      </c>
      <c r="B332" s="330"/>
      <c r="C332" s="330"/>
      <c r="D332" s="552">
        <f>G42</f>
        <v>2723.9401053067331</v>
      </c>
      <c r="E332" s="345">
        <f>Summary!I25</f>
        <v>2698</v>
      </c>
      <c r="F332" s="345">
        <f>Summary!J25</f>
        <v>2783.5</v>
      </c>
      <c r="G332" s="345">
        <f>Summary!K25</f>
        <v>2810</v>
      </c>
      <c r="H332" s="345">
        <f>Summary!L25</f>
        <v>2839.6747529083364</v>
      </c>
      <c r="I332" s="345">
        <f>Summary!M25</f>
        <v>2869.6628833825698</v>
      </c>
      <c r="J332" s="419"/>
    </row>
    <row r="333" spans="1:10" x14ac:dyDescent="0.25">
      <c r="A333" s="770" t="s">
        <v>48</v>
      </c>
      <c r="B333" s="770"/>
      <c r="C333" s="330"/>
      <c r="D333" s="552">
        <f>G25*1000000</f>
        <v>1787016.6594117379</v>
      </c>
      <c r="E333" s="345">
        <f>Summary!I26</f>
        <v>1777519</v>
      </c>
      <c r="F333" s="345">
        <f>Summary!J26</f>
        <v>1782726</v>
      </c>
      <c r="G333" s="345">
        <f>Summary!K26</f>
        <v>1801370.64</v>
      </c>
      <c r="H333" s="345">
        <f>Summary!L26</f>
        <v>1831246.477157607</v>
      </c>
      <c r="I333" s="345">
        <f>Summary!M26</f>
        <v>1861617.8068174501</v>
      </c>
      <c r="J333" s="419"/>
    </row>
    <row r="334" spans="1:10" x14ac:dyDescent="0.25">
      <c r="A334" s="770" t="s">
        <v>49</v>
      </c>
      <c r="B334" s="770"/>
      <c r="C334" s="330"/>
      <c r="D334" s="552">
        <f>[10]Summary!$L$35</f>
        <v>5061.4345676645189</v>
      </c>
      <c r="E334" s="345">
        <f>Summary!I27</f>
        <v>4952.9000000000005</v>
      </c>
      <c r="F334" s="345">
        <f>Summary!J27</f>
        <v>4553.3</v>
      </c>
      <c r="G334" s="345">
        <f>Summary!K27</f>
        <v>5416.0000000000009</v>
      </c>
      <c r="H334" s="345">
        <f>Summary!L27</f>
        <v>4418.5179942916502</v>
      </c>
      <c r="I334" s="345">
        <f>Summary!M27</f>
        <v>5229.9860393372019</v>
      </c>
      <c r="J334" s="419"/>
    </row>
    <row r="335" spans="1:10" x14ac:dyDescent="0.25">
      <c r="A335" s="777"/>
      <c r="B335" s="778"/>
      <c r="C335" s="330"/>
      <c r="D335" s="552"/>
      <c r="E335" s="345"/>
      <c r="F335" s="345"/>
      <c r="G335" s="345"/>
      <c r="H335" s="345"/>
      <c r="I335" s="345"/>
      <c r="J335" s="419"/>
    </row>
    <row r="336" spans="1:10" x14ac:dyDescent="0.25">
      <c r="A336" s="774" t="s">
        <v>154</v>
      </c>
      <c r="B336" s="774"/>
      <c r="C336" s="330"/>
      <c r="D336" s="552"/>
      <c r="E336" s="345"/>
      <c r="F336" s="345"/>
      <c r="G336" s="345"/>
      <c r="H336" s="345"/>
      <c r="I336" s="329"/>
      <c r="J336" s="419"/>
    </row>
    <row r="337" spans="1:10" x14ac:dyDescent="0.25">
      <c r="A337" s="330" t="s">
        <v>68</v>
      </c>
      <c r="B337" s="330"/>
      <c r="C337" s="330"/>
      <c r="D337" s="552">
        <f>H42</f>
        <v>170.06936572349571</v>
      </c>
      <c r="E337" s="345">
        <f>Summary!I30</f>
        <v>166</v>
      </c>
      <c r="F337" s="345">
        <f>Summary!J30</f>
        <v>161.5</v>
      </c>
      <c r="G337" s="345">
        <f>Summary!K30</f>
        <v>157</v>
      </c>
      <c r="H337" s="345">
        <f>Summary!L30</f>
        <v>156.24090353060024</v>
      </c>
      <c r="I337" s="345">
        <f>Summary!M30</f>
        <v>155.48547729973458</v>
      </c>
      <c r="J337" s="420"/>
    </row>
    <row r="338" spans="1:10" x14ac:dyDescent="0.25">
      <c r="A338" s="770" t="s">
        <v>48</v>
      </c>
      <c r="B338" s="770"/>
      <c r="C338" s="330"/>
      <c r="D338" s="552">
        <f>H25*1000000</f>
        <v>129053.09086034459</v>
      </c>
      <c r="E338" s="345">
        <f>Summary!I31</f>
        <v>127445</v>
      </c>
      <c r="F338" s="345">
        <f>Summary!J31</f>
        <v>99117</v>
      </c>
      <c r="G338" s="345">
        <f>Summary!K31</f>
        <v>124534</v>
      </c>
      <c r="H338" s="345">
        <f>Summary!L31</f>
        <v>123530.84818503985</v>
      </c>
      <c r="I338" s="345">
        <f>Summary!M31</f>
        <v>122535.77700319083</v>
      </c>
      <c r="J338" s="420"/>
    </row>
    <row r="339" spans="1:10" x14ac:dyDescent="0.25">
      <c r="A339" s="770" t="s">
        <v>49</v>
      </c>
      <c r="B339" s="770"/>
      <c r="C339" s="330"/>
      <c r="D339" s="552">
        <f>[10]Summary!$L$41</f>
        <v>356.92940245875667</v>
      </c>
      <c r="E339" s="345">
        <f>Summary!I32</f>
        <v>351.69999999999993</v>
      </c>
      <c r="F339" s="345">
        <f>Summary!J32</f>
        <v>274.29999999999995</v>
      </c>
      <c r="G339" s="345">
        <f>Summary!K32</f>
        <v>329.80000000000007</v>
      </c>
      <c r="H339" s="345">
        <f>Summary!L32</f>
        <v>298.06106516197389</v>
      </c>
      <c r="I339" s="345">
        <f>Summary!M32</f>
        <v>338.86175995396366</v>
      </c>
      <c r="J339" s="420"/>
    </row>
    <row r="340" spans="1:10" x14ac:dyDescent="0.25">
      <c r="A340" s="761"/>
      <c r="B340" s="761"/>
      <c r="C340" s="330"/>
      <c r="D340" s="552"/>
      <c r="E340" s="345"/>
      <c r="F340" s="345"/>
      <c r="G340" s="345"/>
      <c r="H340" s="345"/>
      <c r="I340" s="329"/>
      <c r="J340" s="419"/>
    </row>
    <row r="341" spans="1:10" x14ac:dyDescent="0.25">
      <c r="A341" s="774" t="s">
        <v>155</v>
      </c>
      <c r="B341" s="774"/>
      <c r="C341" s="330"/>
      <c r="D341" s="552"/>
      <c r="E341" s="345"/>
      <c r="F341" s="345"/>
      <c r="G341" s="345"/>
      <c r="H341" s="345"/>
      <c r="I341" s="329"/>
      <c r="J341" s="419"/>
    </row>
    <row r="342" spans="1:10" x14ac:dyDescent="0.25">
      <c r="A342" s="330" t="s">
        <v>68</v>
      </c>
      <c r="B342" s="330"/>
      <c r="C342" s="330"/>
      <c r="D342" s="552">
        <f>I42</f>
        <v>151</v>
      </c>
      <c r="E342" s="345">
        <f>Summary!I35</f>
        <v>156</v>
      </c>
      <c r="F342" s="345">
        <f>Summary!J35</f>
        <v>157.5</v>
      </c>
      <c r="G342" s="345">
        <f>Summary!K35</f>
        <v>130.5</v>
      </c>
      <c r="H342" s="345">
        <f>Summary!L35</f>
        <v>104</v>
      </c>
      <c r="I342" s="345">
        <f>Summary!M35</f>
        <v>104</v>
      </c>
      <c r="J342" s="420"/>
    </row>
    <row r="343" spans="1:10" x14ac:dyDescent="0.25">
      <c r="A343" s="770" t="s">
        <v>48</v>
      </c>
      <c r="B343" s="770"/>
      <c r="C343" s="330"/>
      <c r="D343" s="552">
        <f>I25*1000000</f>
        <v>374473.48200116301</v>
      </c>
      <c r="E343" s="345">
        <f>Summary!I36</f>
        <v>373728</v>
      </c>
      <c r="F343" s="345">
        <f>Summary!J36</f>
        <v>338183</v>
      </c>
      <c r="G343" s="345">
        <f>Summary!K36</f>
        <v>413791</v>
      </c>
      <c r="H343" s="345">
        <f>Summary!L36</f>
        <v>343738.39716340863</v>
      </c>
      <c r="I343" s="345">
        <f>Summary!M36</f>
        <v>358304.47063816962</v>
      </c>
      <c r="J343" s="420"/>
    </row>
    <row r="344" spans="1:10" x14ac:dyDescent="0.25">
      <c r="A344" s="761"/>
      <c r="B344" s="761"/>
      <c r="C344" s="330"/>
      <c r="D344" s="552"/>
      <c r="E344" s="345"/>
      <c r="F344" s="345"/>
      <c r="G344" s="345"/>
      <c r="H344" s="345"/>
      <c r="I344" s="345"/>
      <c r="J344" s="420"/>
    </row>
    <row r="345" spans="1:10" x14ac:dyDescent="0.25">
      <c r="A345" s="774" t="s">
        <v>69</v>
      </c>
      <c r="B345" s="774"/>
      <c r="C345" s="330"/>
      <c r="D345" s="552"/>
      <c r="E345" s="345"/>
      <c r="F345" s="345"/>
      <c r="G345" s="345"/>
      <c r="H345" s="345"/>
      <c r="I345" s="345"/>
      <c r="J345" s="420"/>
    </row>
    <row r="346" spans="1:10" x14ac:dyDescent="0.25">
      <c r="A346" s="329" t="s">
        <v>56</v>
      </c>
      <c r="B346" s="330"/>
      <c r="C346" s="330"/>
      <c r="D346" s="727">
        <f>D319+D323+D327+D332+D337+D342</f>
        <v>14303.009471030229</v>
      </c>
      <c r="E346" s="426">
        <f t="shared" ref="E346:I346" si="70">E319+E323+E327+E332+E337+E342</f>
        <v>14193.5</v>
      </c>
      <c r="F346" s="426">
        <f t="shared" si="70"/>
        <v>14354.5</v>
      </c>
      <c r="G346" s="426">
        <f t="shared" si="70"/>
        <v>14417.5</v>
      </c>
      <c r="H346" s="426">
        <f t="shared" si="70"/>
        <v>14552.475785005921</v>
      </c>
      <c r="I346" s="426">
        <f t="shared" si="70"/>
        <v>14717.918745184044</v>
      </c>
      <c r="J346" s="427"/>
    </row>
    <row r="347" spans="1:10" x14ac:dyDescent="0.25">
      <c r="A347" s="776" t="s">
        <v>48</v>
      </c>
      <c r="B347" s="776"/>
      <c r="C347" s="330"/>
      <c r="D347" s="727">
        <f>D320+D324+D328+D333+D338+D343</f>
        <v>250011994.76182818</v>
      </c>
      <c r="E347" s="426">
        <f t="shared" ref="D347:I348" si="71">E320+E324+E328+E333+E338+E343</f>
        <v>247977784.0112164</v>
      </c>
      <c r="F347" s="426">
        <f t="shared" si="71"/>
        <v>245694442.94518963</v>
      </c>
      <c r="G347" s="426">
        <f t="shared" si="71"/>
        <v>244150335.63700858</v>
      </c>
      <c r="H347" s="426">
        <f t="shared" si="71"/>
        <v>248742348.39648202</v>
      </c>
      <c r="I347" s="426">
        <f t="shared" si="71"/>
        <v>249980679.21348122</v>
      </c>
      <c r="J347" s="427"/>
    </row>
    <row r="348" spans="1:10" x14ac:dyDescent="0.25">
      <c r="A348" s="776" t="s">
        <v>55</v>
      </c>
      <c r="B348" s="776"/>
      <c r="C348" s="330"/>
      <c r="D348" s="727">
        <f t="shared" si="71"/>
        <v>299305.69412168115</v>
      </c>
      <c r="E348" s="426">
        <f t="shared" si="71"/>
        <v>303741.42</v>
      </c>
      <c r="F348" s="426">
        <f t="shared" si="71"/>
        <v>303037.60000000003</v>
      </c>
      <c r="G348" s="426">
        <f t="shared" si="71"/>
        <v>300749.39999999997</v>
      </c>
      <c r="H348" s="426">
        <f t="shared" si="71"/>
        <v>295581.79086565366</v>
      </c>
      <c r="I348" s="426">
        <f t="shared" si="71"/>
        <v>296348.11309571698</v>
      </c>
      <c r="J348" s="427"/>
    </row>
    <row r="349" spans="1:10" x14ac:dyDescent="0.25">
      <c r="A349" s="428"/>
      <c r="B349" s="356"/>
      <c r="C349" s="295"/>
      <c r="D349" s="345"/>
      <c r="E349" s="345"/>
      <c r="F349" s="345"/>
      <c r="G349" s="345"/>
      <c r="H349" s="345"/>
      <c r="I349" s="329"/>
      <c r="J349" s="419"/>
    </row>
    <row r="350" spans="1:10" s="293" customFormat="1" ht="12.75" x14ac:dyDescent="0.2">
      <c r="E350" s="429"/>
      <c r="F350" s="429"/>
      <c r="G350" s="429"/>
      <c r="H350" s="429"/>
      <c r="I350" s="429"/>
      <c r="J350" s="429"/>
    </row>
    <row r="351" spans="1:10" s="293" customFormat="1" ht="12.75" x14ac:dyDescent="0.2">
      <c r="D351" s="430">
        <f>G6</f>
        <v>14303.009471030229</v>
      </c>
      <c r="E351" s="429">
        <f>Summary!I44</f>
        <v>14193.5</v>
      </c>
      <c r="F351" s="429">
        <f>Summary!J44</f>
        <v>14354.5</v>
      </c>
      <c r="G351" s="429">
        <f>Summary!K44</f>
        <v>14417.5</v>
      </c>
      <c r="H351" s="429">
        <f>Summary!L44</f>
        <v>14552.475785005921</v>
      </c>
      <c r="I351" s="429">
        <f>Summary!M44</f>
        <v>14717.918745184044</v>
      </c>
      <c r="J351" s="429"/>
    </row>
    <row r="352" spans="1:10" s="293" customFormat="1" ht="12.75" x14ac:dyDescent="0.2">
      <c r="B352" s="429"/>
      <c r="D352" s="293">
        <f>D6*1000000</f>
        <v>250011994.76182818</v>
      </c>
      <c r="E352" s="429">
        <f>Summary!I45</f>
        <v>247977784.0112164</v>
      </c>
      <c r="F352" s="429">
        <f>Summary!J45</f>
        <v>245694442.94518963</v>
      </c>
      <c r="G352" s="429">
        <f>Summary!K45</f>
        <v>244150335.63700858</v>
      </c>
      <c r="H352" s="429">
        <f>Summary!L45</f>
        <v>248742348.39648202</v>
      </c>
      <c r="I352" s="429">
        <f>Summary!M45</f>
        <v>249980679.21348122</v>
      </c>
      <c r="J352" s="429"/>
    </row>
    <row r="353" spans="4:10" s="293" customFormat="1" ht="12.75" x14ac:dyDescent="0.2">
      <c r="D353" s="429">
        <f>[10]Summary!$L$52</f>
        <v>299305.69412168115</v>
      </c>
      <c r="E353" s="429">
        <f>Summary!I46</f>
        <v>303741.42</v>
      </c>
      <c r="F353" s="429">
        <f>Summary!J46</f>
        <v>303037.60000000003</v>
      </c>
      <c r="G353" s="429">
        <f>Summary!K46</f>
        <v>300749.39999999997</v>
      </c>
      <c r="H353" s="429">
        <f>Summary!L46</f>
        <v>295581.79086565366</v>
      </c>
      <c r="I353" s="429">
        <f>Summary!M46</f>
        <v>296348.11309571698</v>
      </c>
    </row>
    <row r="354" spans="4:10" s="293" customFormat="1" ht="12.75" x14ac:dyDescent="0.2">
      <c r="E354" s="429"/>
      <c r="F354" s="429"/>
      <c r="G354" s="429"/>
      <c r="H354" s="429"/>
      <c r="I354" s="429"/>
      <c r="J354" s="429"/>
    </row>
    <row r="355" spans="4:10" s="293" customFormat="1" ht="12.75" x14ac:dyDescent="0.2">
      <c r="D355" s="429">
        <f t="shared" ref="D355:I355" si="72">D346-D351</f>
        <v>0</v>
      </c>
      <c r="E355" s="429">
        <f t="shared" si="72"/>
        <v>0</v>
      </c>
      <c r="F355" s="429">
        <f t="shared" si="72"/>
        <v>0</v>
      </c>
      <c r="G355" s="429">
        <f t="shared" si="72"/>
        <v>0</v>
      </c>
      <c r="H355" s="429">
        <f t="shared" si="72"/>
        <v>0</v>
      </c>
      <c r="I355" s="429">
        <f t="shared" si="72"/>
        <v>0</v>
      </c>
      <c r="J355" s="429"/>
    </row>
    <row r="356" spans="4:10" s="293" customFormat="1" ht="12.75" x14ac:dyDescent="0.2">
      <c r="D356" s="429">
        <f>D347-D352</f>
        <v>0</v>
      </c>
      <c r="E356" s="429">
        <f t="shared" ref="E356:I357" si="73">E347-E352</f>
        <v>0</v>
      </c>
      <c r="F356" s="429">
        <f t="shared" si="73"/>
        <v>0</v>
      </c>
      <c r="G356" s="429">
        <f t="shared" si="73"/>
        <v>0</v>
      </c>
      <c r="H356" s="429">
        <f t="shared" si="73"/>
        <v>0</v>
      </c>
      <c r="I356" s="429">
        <f t="shared" si="73"/>
        <v>0</v>
      </c>
      <c r="J356" s="429"/>
    </row>
    <row r="357" spans="4:10" s="293" customFormat="1" ht="12.75" x14ac:dyDescent="0.2">
      <c r="D357" s="429">
        <f>D348-D353</f>
        <v>0</v>
      </c>
      <c r="E357" s="429">
        <f t="shared" si="73"/>
        <v>0</v>
      </c>
      <c r="F357" s="429">
        <f t="shared" si="73"/>
        <v>0</v>
      </c>
      <c r="G357" s="429">
        <f t="shared" si="73"/>
        <v>0</v>
      </c>
      <c r="H357" s="429">
        <f t="shared" si="73"/>
        <v>0</v>
      </c>
      <c r="I357" s="429">
        <f t="shared" si="73"/>
        <v>0</v>
      </c>
    </row>
    <row r="358" spans="4:10" s="293" customFormat="1" ht="12.75" x14ac:dyDescent="0.2"/>
    <row r="359" spans="4:10" s="293" customFormat="1" ht="12.75" x14ac:dyDescent="0.2"/>
    <row r="360" spans="4:10" s="293" customFormat="1" ht="12.75" x14ac:dyDescent="0.2"/>
    <row r="361" spans="4:10" s="293" customFormat="1" ht="12.75" x14ac:dyDescent="0.2"/>
    <row r="362" spans="4:10" s="293" customFormat="1" ht="12.75" x14ac:dyDescent="0.2"/>
    <row r="363" spans="4:10" s="293" customFormat="1" ht="12.75" x14ac:dyDescent="0.2"/>
    <row r="364" spans="4:10" s="293" customFormat="1" ht="12.75" x14ac:dyDescent="0.2"/>
    <row r="365" spans="4:10" s="293" customFormat="1" ht="12.75" x14ac:dyDescent="0.2"/>
    <row r="366" spans="4:10" s="293" customFormat="1" ht="12.75" x14ac:dyDescent="0.2"/>
    <row r="367" spans="4:10" s="293" customFormat="1" ht="12.75" x14ac:dyDescent="0.2"/>
    <row r="368" spans="4:10" s="293" customFormat="1" ht="12.75" x14ac:dyDescent="0.2"/>
    <row r="369" s="293" customFormat="1" ht="12.75" x14ac:dyDescent="0.2"/>
    <row r="370" s="293" customFormat="1" ht="12.75" x14ac:dyDescent="0.2"/>
    <row r="371" s="293" customFormat="1" ht="12.75" x14ac:dyDescent="0.2"/>
    <row r="372" s="293" customFormat="1" ht="12.75" x14ac:dyDescent="0.2"/>
    <row r="373" s="293" customFormat="1" ht="12.75" x14ac:dyDescent="0.2"/>
    <row r="374" s="293" customFormat="1" ht="12.75" x14ac:dyDescent="0.2"/>
    <row r="375" s="293" customFormat="1" ht="12.75" x14ac:dyDescent="0.2"/>
    <row r="376" s="293" customFormat="1" ht="12.75" x14ac:dyDescent="0.2"/>
    <row r="377" s="293" customFormat="1" ht="12.75" x14ac:dyDescent="0.2"/>
    <row r="378" s="293" customFormat="1" ht="12.75" x14ac:dyDescent="0.2"/>
    <row r="379" s="293" customFormat="1" ht="12.75" x14ac:dyDescent="0.2"/>
    <row r="380" s="293" customFormat="1" ht="12.75" x14ac:dyDescent="0.2"/>
    <row r="381" s="293" customFormat="1" ht="12.75" x14ac:dyDescent="0.2"/>
    <row r="382" s="293" customFormat="1" ht="12.75" x14ac:dyDescent="0.2"/>
    <row r="383" s="293" customFormat="1" ht="12.75" x14ac:dyDescent="0.2"/>
    <row r="384" s="293" customFormat="1" ht="12.75" x14ac:dyDescent="0.2"/>
    <row r="385" s="293" customFormat="1" ht="12.75" x14ac:dyDescent="0.2"/>
    <row r="386" s="293" customFormat="1" ht="12.75" x14ac:dyDescent="0.2"/>
    <row r="387" s="293" customFormat="1" ht="12.75" x14ac:dyDescent="0.2"/>
    <row r="388" s="293" customFormat="1" ht="12.75" x14ac:dyDescent="0.2"/>
    <row r="389" s="293" customFormat="1" ht="12.75" x14ac:dyDescent="0.2"/>
    <row r="390" s="293" customFormat="1" ht="12.75" x14ac:dyDescent="0.2"/>
    <row r="391" s="293" customFormat="1" ht="12.75" x14ac:dyDescent="0.2"/>
    <row r="392" s="293" customFormat="1" ht="12.75" x14ac:dyDescent="0.2"/>
    <row r="393" s="293" customFormat="1" ht="12.75" x14ac:dyDescent="0.2"/>
    <row r="394" s="293" customFormat="1" ht="12.75" x14ac:dyDescent="0.2"/>
    <row r="395" s="293" customFormat="1" ht="12.75" x14ac:dyDescent="0.2"/>
    <row r="396" s="293" customFormat="1" ht="12.75" x14ac:dyDescent="0.2"/>
    <row r="397" s="293" customFormat="1" ht="12.75" x14ac:dyDescent="0.2"/>
    <row r="398" s="293" customFormat="1" ht="12.75" x14ac:dyDescent="0.2"/>
    <row r="399" s="293" customFormat="1" ht="12.75" x14ac:dyDescent="0.2"/>
    <row r="400" s="293" customFormat="1" ht="12.75" x14ac:dyDescent="0.2"/>
    <row r="401" s="293" customFormat="1" ht="12.75" x14ac:dyDescent="0.2"/>
    <row r="402" s="293" customFormat="1" ht="12.75" x14ac:dyDescent="0.2"/>
    <row r="403" s="293" customFormat="1" ht="12.75" x14ac:dyDescent="0.2"/>
    <row r="404" s="293" customFormat="1" ht="12.75" x14ac:dyDescent="0.2"/>
    <row r="405" s="293" customFormat="1" ht="12.75" x14ac:dyDescent="0.2"/>
    <row r="406" s="293" customFormat="1" ht="12.75" x14ac:dyDescent="0.2"/>
    <row r="407" s="293" customFormat="1" ht="12.75" x14ac:dyDescent="0.2"/>
    <row r="408" s="293" customFormat="1" ht="12.75" x14ac:dyDescent="0.2"/>
    <row r="409" s="293" customFormat="1" ht="12.75" x14ac:dyDescent="0.2"/>
    <row r="410" s="293" customFormat="1" ht="12.75" x14ac:dyDescent="0.2"/>
    <row r="411" s="293" customFormat="1" ht="12.75" x14ac:dyDescent="0.2"/>
    <row r="412" s="293" customFormat="1" ht="12.75" x14ac:dyDescent="0.2"/>
    <row r="413" s="293" customFormat="1" ht="12.75" x14ac:dyDescent="0.2"/>
    <row r="414" s="293" customFormat="1" ht="12.75" x14ac:dyDescent="0.2"/>
    <row r="415" s="293" customFormat="1" ht="12.75" x14ac:dyDescent="0.2"/>
    <row r="416" s="293" customFormat="1" ht="12.75" x14ac:dyDescent="0.2"/>
    <row r="417" s="293" customFormat="1" ht="12.75" x14ac:dyDescent="0.2"/>
    <row r="418" s="293" customFormat="1" ht="12.75" x14ac:dyDescent="0.2"/>
    <row r="419" s="293" customFormat="1" ht="12.75" x14ac:dyDescent="0.2"/>
    <row r="420" s="293" customFormat="1" ht="12.75" x14ac:dyDescent="0.2"/>
    <row r="421" s="293" customFormat="1" ht="12.75" x14ac:dyDescent="0.2"/>
    <row r="422" s="293" customFormat="1" ht="12.75" x14ac:dyDescent="0.2"/>
    <row r="423" s="293" customFormat="1" ht="12.75" x14ac:dyDescent="0.2"/>
    <row r="424" s="293" customFormat="1" ht="12.75" x14ac:dyDescent="0.2"/>
    <row r="425" s="293" customFormat="1" ht="12.75" x14ac:dyDescent="0.2"/>
    <row r="426" s="293" customFormat="1" ht="12.75" x14ac:dyDescent="0.2"/>
    <row r="427" s="293" customFormat="1" ht="12.75" x14ac:dyDescent="0.2"/>
    <row r="428" s="293" customFormat="1" ht="12.75" x14ac:dyDescent="0.2"/>
    <row r="429" s="293" customFormat="1" ht="12.75" x14ac:dyDescent="0.2"/>
    <row r="430" s="293" customFormat="1" ht="12.75" x14ac:dyDescent="0.2"/>
    <row r="431" s="293" customFormat="1" ht="12.75" x14ac:dyDescent="0.2"/>
    <row r="432" s="293" customFormat="1" ht="12.75" x14ac:dyDescent="0.2"/>
    <row r="433" s="293" customFormat="1" ht="12.75" x14ac:dyDescent="0.2"/>
    <row r="434" s="293" customFormat="1" ht="12.75" x14ac:dyDescent="0.2"/>
    <row r="435" s="293" customFormat="1" ht="12.75" x14ac:dyDescent="0.2"/>
    <row r="436" s="293" customFormat="1" ht="12.75" x14ac:dyDescent="0.2"/>
    <row r="437" s="293" customFormat="1" ht="12.75" x14ac:dyDescent="0.2"/>
    <row r="438" s="293" customFormat="1" ht="12.75" x14ac:dyDescent="0.2"/>
    <row r="439" s="293" customFormat="1" ht="12.75" x14ac:dyDescent="0.2"/>
    <row r="440" s="293" customFormat="1" ht="12.75" x14ac:dyDescent="0.2"/>
    <row r="441" s="293" customFormat="1" ht="12.75" x14ac:dyDescent="0.2"/>
    <row r="442" s="293" customFormat="1" ht="12.75" x14ac:dyDescent="0.2"/>
    <row r="443" s="293" customFormat="1" ht="12.75" x14ac:dyDescent="0.2"/>
    <row r="444" s="293" customFormat="1" ht="12.75" x14ac:dyDescent="0.2"/>
    <row r="445" s="293" customFormat="1" ht="12.75" x14ac:dyDescent="0.2"/>
    <row r="446" s="293" customFormat="1" ht="12.75" x14ac:dyDescent="0.2"/>
    <row r="447" s="293" customFormat="1" ht="12.75" x14ac:dyDescent="0.2"/>
    <row r="448" s="293" customFormat="1" ht="12.75" x14ac:dyDescent="0.2"/>
    <row r="449" s="293" customFormat="1" ht="12.75" x14ac:dyDescent="0.2"/>
    <row r="450" s="293" customFormat="1" ht="12.75" x14ac:dyDescent="0.2"/>
    <row r="451" s="293" customFormat="1" ht="12.75" x14ac:dyDescent="0.2"/>
    <row r="452" s="293" customFormat="1" ht="12.75" x14ac:dyDescent="0.2"/>
    <row r="453" s="293" customFormat="1" ht="12.75" x14ac:dyDescent="0.2"/>
    <row r="454" s="293" customFormat="1" ht="12.75" x14ac:dyDescent="0.2"/>
    <row r="455" s="293" customFormat="1" ht="12.75" x14ac:dyDescent="0.2"/>
    <row r="456" s="293" customFormat="1" ht="12.75" x14ac:dyDescent="0.2"/>
    <row r="457" s="293" customFormat="1" ht="12.75" x14ac:dyDescent="0.2"/>
    <row r="458" s="293" customFormat="1" ht="12.75" x14ac:dyDescent="0.2"/>
    <row r="459" s="293" customFormat="1" ht="12.75" x14ac:dyDescent="0.2"/>
    <row r="460" s="293" customFormat="1" ht="12.75" x14ac:dyDescent="0.2"/>
    <row r="461" s="293" customFormat="1" ht="12.75" x14ac:dyDescent="0.2"/>
    <row r="462" s="293" customFormat="1" ht="12.75" x14ac:dyDescent="0.2"/>
    <row r="463" s="293" customFormat="1" ht="12.75" x14ac:dyDescent="0.2"/>
    <row r="464" s="293" customFormat="1" ht="12.75" x14ac:dyDescent="0.2"/>
    <row r="465" s="293" customFormat="1" ht="12.75" x14ac:dyDescent="0.2"/>
    <row r="466" s="293" customFormat="1" ht="12.75" x14ac:dyDescent="0.2"/>
    <row r="467" s="293" customFormat="1" ht="12.75" x14ac:dyDescent="0.2"/>
    <row r="468" s="293" customFormat="1" ht="12.75" x14ac:dyDescent="0.2"/>
    <row r="469" s="293" customFormat="1" ht="12.75" x14ac:dyDescent="0.2"/>
    <row r="470" s="293" customFormat="1" ht="12.75" x14ac:dyDescent="0.2"/>
    <row r="471" s="293" customFormat="1" ht="12.75" x14ac:dyDescent="0.2"/>
    <row r="472" s="293" customFormat="1" ht="12.75" x14ac:dyDescent="0.2"/>
    <row r="473" s="293" customFormat="1" ht="12.75" x14ac:dyDescent="0.2"/>
    <row r="474" s="293" customFormat="1" ht="12.75" x14ac:dyDescent="0.2"/>
    <row r="475" s="293" customFormat="1" ht="12.75" x14ac:dyDescent="0.2"/>
    <row r="476" s="293" customFormat="1" ht="12.75" x14ac:dyDescent="0.2"/>
    <row r="477" s="293" customFormat="1" ht="12.75" x14ac:dyDescent="0.2"/>
    <row r="478" s="293" customFormat="1" ht="12.75" x14ac:dyDescent="0.2"/>
    <row r="479" s="293" customFormat="1" ht="12.75" x14ac:dyDescent="0.2"/>
    <row r="480" s="293" customFormat="1" ht="12.75" x14ac:dyDescent="0.2"/>
    <row r="481" s="293" customFormat="1" ht="12.75" x14ac:dyDescent="0.2"/>
    <row r="482" s="293" customFormat="1" ht="12.75" x14ac:dyDescent="0.2"/>
    <row r="483" s="293" customFormat="1" ht="12.75" x14ac:dyDescent="0.2"/>
    <row r="484" s="293" customFormat="1" ht="12.75" x14ac:dyDescent="0.2"/>
    <row r="485" s="293" customFormat="1" ht="12.75" x14ac:dyDescent="0.2"/>
    <row r="486" s="293" customFormat="1" ht="12.75" x14ac:dyDescent="0.2"/>
    <row r="487" s="293" customFormat="1" ht="12.75" x14ac:dyDescent="0.2"/>
    <row r="488" s="293" customFormat="1" ht="12.75" x14ac:dyDescent="0.2"/>
    <row r="489" s="293" customFormat="1" ht="12.75" x14ac:dyDescent="0.2"/>
    <row r="490" s="293" customFormat="1" ht="12.75" x14ac:dyDescent="0.2"/>
    <row r="491" s="293" customFormat="1" ht="12.75" x14ac:dyDescent="0.2"/>
    <row r="492" s="293" customFormat="1" ht="12.75" x14ac:dyDescent="0.2"/>
    <row r="493" s="293" customFormat="1" ht="12.75" x14ac:dyDescent="0.2"/>
    <row r="494" s="293" customFormat="1" ht="12.75" x14ac:dyDescent="0.2"/>
    <row r="495" s="293" customFormat="1" ht="12.75" x14ac:dyDescent="0.2"/>
    <row r="496" s="293" customFormat="1" ht="12.75" x14ac:dyDescent="0.2"/>
    <row r="497" s="293" customFormat="1" ht="12.75" x14ac:dyDescent="0.2"/>
    <row r="498" s="293" customFormat="1" ht="12.75" x14ac:dyDescent="0.2"/>
    <row r="499" s="293" customFormat="1" ht="12.75" x14ac:dyDescent="0.2"/>
    <row r="500" s="293" customFormat="1" ht="12.75" x14ac:dyDescent="0.2"/>
    <row r="501" s="293" customFormat="1" ht="12.75" x14ac:dyDescent="0.2"/>
    <row r="502" s="293" customFormat="1" ht="12.75" x14ac:dyDescent="0.2"/>
    <row r="503" s="293" customFormat="1" ht="12.75" x14ac:dyDescent="0.2"/>
    <row r="504" s="293" customFormat="1" ht="12.75" x14ac:dyDescent="0.2"/>
    <row r="505" s="293" customFormat="1" ht="12.75" x14ac:dyDescent="0.2"/>
    <row r="506" s="293" customFormat="1" ht="12.75" x14ac:dyDescent="0.2"/>
    <row r="507" s="293" customFormat="1" ht="12.75" x14ac:dyDescent="0.2"/>
    <row r="508" s="293" customFormat="1" ht="12.75" x14ac:dyDescent="0.2"/>
    <row r="509" s="293" customFormat="1" ht="12.75" x14ac:dyDescent="0.2"/>
    <row r="510" s="293" customFormat="1" ht="12.75" x14ac:dyDescent="0.2"/>
    <row r="511" s="293" customFormat="1" ht="12.75" x14ac:dyDescent="0.2"/>
    <row r="512" s="293" customFormat="1" ht="12.75" x14ac:dyDescent="0.2"/>
    <row r="513" s="293" customFormat="1" ht="12.75" x14ac:dyDescent="0.2"/>
    <row r="514" s="293" customFormat="1" ht="12.75" x14ac:dyDescent="0.2"/>
    <row r="515" s="293" customFormat="1" ht="12.75" x14ac:dyDescent="0.2"/>
    <row r="516" s="293" customFormat="1" ht="12.75" x14ac:dyDescent="0.2"/>
    <row r="517" s="293" customFormat="1" ht="12.75" x14ac:dyDescent="0.2"/>
    <row r="518" s="293" customFormat="1" ht="12.75" x14ac:dyDescent="0.2"/>
    <row r="519" s="293" customFormat="1" ht="12.75" x14ac:dyDescent="0.2"/>
    <row r="520" s="293" customFormat="1" ht="12.75" x14ac:dyDescent="0.2"/>
    <row r="521" s="293" customFormat="1" ht="12.75" x14ac:dyDescent="0.2"/>
    <row r="522" s="293" customFormat="1" ht="12.75" x14ac:dyDescent="0.2"/>
    <row r="523" s="293" customFormat="1" ht="12.75" x14ac:dyDescent="0.2"/>
    <row r="524" s="293" customFormat="1" ht="12.75" x14ac:dyDescent="0.2"/>
    <row r="525" s="293" customFormat="1" ht="12.75" x14ac:dyDescent="0.2"/>
    <row r="526" s="293" customFormat="1" ht="12.75" x14ac:dyDescent="0.2"/>
    <row r="527" s="293" customFormat="1" ht="12.75" x14ac:dyDescent="0.2"/>
    <row r="528" s="293" customFormat="1" ht="12.75" x14ac:dyDescent="0.2"/>
    <row r="529" s="293" customFormat="1" ht="12.75" x14ac:dyDescent="0.2"/>
    <row r="530" s="293" customFormat="1" ht="12.75" x14ac:dyDescent="0.2"/>
    <row r="531" s="293" customFormat="1" ht="12.75" x14ac:dyDescent="0.2"/>
    <row r="532" s="293" customFormat="1" ht="12.75" x14ac:dyDescent="0.2"/>
    <row r="533" s="293" customFormat="1" ht="12.75" x14ac:dyDescent="0.2"/>
    <row r="534" s="293" customFormat="1" ht="12.75" x14ac:dyDescent="0.2"/>
    <row r="535" s="293" customFormat="1" ht="12.75" x14ac:dyDescent="0.2"/>
    <row r="536" s="293" customFormat="1" ht="12.75" x14ac:dyDescent="0.2"/>
    <row r="537" s="293" customFormat="1" ht="12.75" x14ac:dyDescent="0.2"/>
    <row r="538" s="293" customFormat="1" ht="12.75" x14ac:dyDescent="0.2"/>
    <row r="539" s="293" customFormat="1" ht="12.75" x14ac:dyDescent="0.2"/>
    <row r="540" s="293" customFormat="1" ht="12.75" x14ac:dyDescent="0.2"/>
    <row r="541" s="293" customFormat="1" ht="12.75" x14ac:dyDescent="0.2"/>
    <row r="542" s="293" customFormat="1" ht="12.75" x14ac:dyDescent="0.2"/>
    <row r="543" s="293" customFormat="1" ht="12.75" x14ac:dyDescent="0.2"/>
    <row r="544" s="293" customFormat="1" ht="12.75" x14ac:dyDescent="0.2"/>
    <row r="545" s="293" customFormat="1" ht="12.75" x14ac:dyDescent="0.2"/>
    <row r="546" s="293" customFormat="1" ht="12.75" x14ac:dyDescent="0.2"/>
    <row r="547" s="293" customFormat="1" ht="12.75" x14ac:dyDescent="0.2"/>
    <row r="548" s="293" customFormat="1" ht="12.75" x14ac:dyDescent="0.2"/>
    <row r="549" s="293" customFormat="1" ht="12.75" x14ac:dyDescent="0.2"/>
    <row r="550" s="293" customFormat="1" ht="12.75" x14ac:dyDescent="0.2"/>
    <row r="551" s="293" customFormat="1" ht="12.75" x14ac:dyDescent="0.2"/>
    <row r="552" s="293" customFormat="1" ht="12.75" x14ac:dyDescent="0.2"/>
    <row r="553" s="293" customFormat="1" ht="12.75" x14ac:dyDescent="0.2"/>
    <row r="554" s="293" customFormat="1" ht="12.75" x14ac:dyDescent="0.2"/>
    <row r="555" s="293" customFormat="1" ht="12.75" x14ac:dyDescent="0.2"/>
    <row r="556" s="293" customFormat="1" ht="12.75" x14ac:dyDescent="0.2"/>
    <row r="557" s="293" customFormat="1" ht="12.75" x14ac:dyDescent="0.2"/>
    <row r="558" s="293" customFormat="1" ht="12.75" x14ac:dyDescent="0.2"/>
    <row r="559" s="293" customFormat="1" ht="12.75" x14ac:dyDescent="0.2"/>
    <row r="560" s="293" customFormat="1" ht="12.75" x14ac:dyDescent="0.2"/>
    <row r="561" s="293" customFormat="1" ht="12.75" x14ac:dyDescent="0.2"/>
    <row r="562" s="293" customFormat="1" ht="12.75" x14ac:dyDescent="0.2"/>
    <row r="563" s="293" customFormat="1" ht="12.75" x14ac:dyDescent="0.2"/>
    <row r="564" s="293" customFormat="1" ht="12.75" x14ac:dyDescent="0.2"/>
    <row r="565" s="293" customFormat="1" ht="12.75" x14ac:dyDescent="0.2"/>
    <row r="566" s="293" customFormat="1" ht="12.75" x14ac:dyDescent="0.2"/>
    <row r="567" s="293" customFormat="1" ht="12.75" x14ac:dyDescent="0.2"/>
    <row r="568" s="293" customFormat="1" ht="12.75" x14ac:dyDescent="0.2"/>
    <row r="569" s="293" customFormat="1" ht="12.75" x14ac:dyDescent="0.2"/>
    <row r="570" s="293" customFormat="1" ht="12.75" x14ac:dyDescent="0.2"/>
    <row r="571" s="293" customFormat="1" ht="12.75" x14ac:dyDescent="0.2"/>
    <row r="572" s="293" customFormat="1" ht="12.75" x14ac:dyDescent="0.2"/>
    <row r="573" s="293" customFormat="1" ht="12.75" x14ac:dyDescent="0.2"/>
    <row r="574" s="293" customFormat="1" ht="12.75" x14ac:dyDescent="0.2"/>
    <row r="575" s="293" customFormat="1" ht="12.75" x14ac:dyDescent="0.2"/>
    <row r="576" s="293" customFormat="1" ht="12.75" x14ac:dyDescent="0.2"/>
    <row r="577" s="293" customFormat="1" ht="12.75" x14ac:dyDescent="0.2"/>
    <row r="578" s="293" customFormat="1" ht="12.75" x14ac:dyDescent="0.2"/>
    <row r="579" s="293" customFormat="1" ht="12.75" x14ac:dyDescent="0.2"/>
    <row r="580" s="293" customFormat="1" ht="12.75" x14ac:dyDescent="0.2"/>
    <row r="581" s="293" customFormat="1" ht="12.75" x14ac:dyDescent="0.2"/>
    <row r="582" s="293" customFormat="1" ht="12.75" x14ac:dyDescent="0.2"/>
    <row r="583" s="293" customFormat="1" ht="12.75" x14ac:dyDescent="0.2"/>
    <row r="584" s="293" customFormat="1" ht="12.75" x14ac:dyDescent="0.2"/>
    <row r="585" s="293" customFormat="1" ht="12.75" x14ac:dyDescent="0.2"/>
    <row r="586" s="293" customFormat="1" ht="12.75" x14ac:dyDescent="0.2"/>
    <row r="587" s="293" customFormat="1" ht="12.75" x14ac:dyDescent="0.2"/>
    <row r="588" s="293" customFormat="1" ht="12.75" x14ac:dyDescent="0.2"/>
    <row r="589" s="293" customFormat="1" ht="12.75" x14ac:dyDescent="0.2"/>
    <row r="590" s="293" customFormat="1" ht="12.75" x14ac:dyDescent="0.2"/>
    <row r="591" s="293" customFormat="1" ht="12.75" x14ac:dyDescent="0.2"/>
    <row r="592" s="293" customFormat="1" ht="12.75" x14ac:dyDescent="0.2"/>
    <row r="593" s="293" customFormat="1" ht="12.75" x14ac:dyDescent="0.2"/>
    <row r="594" s="293" customFormat="1" ht="12.75" x14ac:dyDescent="0.2"/>
    <row r="595" s="293" customFormat="1" ht="12.75" x14ac:dyDescent="0.2"/>
    <row r="596" s="293" customFormat="1" ht="12.75" x14ac:dyDescent="0.2"/>
    <row r="597" s="293" customFormat="1" ht="12.75" x14ac:dyDescent="0.2"/>
    <row r="598" s="293" customFormat="1" ht="12.75" x14ac:dyDescent="0.2"/>
    <row r="599" s="293" customFormat="1" ht="12.75" x14ac:dyDescent="0.2"/>
    <row r="600" s="293" customFormat="1" ht="12.75" x14ac:dyDescent="0.2"/>
    <row r="601" s="293" customFormat="1" ht="12.75" x14ac:dyDescent="0.2"/>
    <row r="602" s="293" customFormat="1" ht="12.75" x14ac:dyDescent="0.2"/>
    <row r="603" s="293" customFormat="1" ht="12.75" x14ac:dyDescent="0.2"/>
    <row r="604" s="293" customFormat="1" ht="12.75" x14ac:dyDescent="0.2"/>
    <row r="605" s="293" customFormat="1" ht="12.75" x14ac:dyDescent="0.2"/>
    <row r="606" s="293" customFormat="1" ht="12.75" x14ac:dyDescent="0.2"/>
    <row r="607" s="293" customFormat="1" ht="12.75" x14ac:dyDescent="0.2"/>
    <row r="608" s="293" customFormat="1" ht="12.75" x14ac:dyDescent="0.2"/>
    <row r="609" s="293" customFormat="1" ht="12.75" x14ac:dyDescent="0.2"/>
    <row r="610" s="293" customFormat="1" ht="12.75" x14ac:dyDescent="0.2"/>
    <row r="611" s="293" customFormat="1" ht="12.75" x14ac:dyDescent="0.2"/>
    <row r="612" s="293" customFormat="1" ht="12.75" x14ac:dyDescent="0.2"/>
    <row r="613" s="293" customFormat="1" ht="12.75" x14ac:dyDescent="0.2"/>
    <row r="614" s="293" customFormat="1" ht="12.75" x14ac:dyDescent="0.2"/>
    <row r="615" s="293" customFormat="1" ht="12.75" x14ac:dyDescent="0.2"/>
    <row r="616" s="293" customFormat="1" ht="12.75" x14ac:dyDescent="0.2"/>
    <row r="617" s="293" customFormat="1" ht="12.75" x14ac:dyDescent="0.2"/>
    <row r="618" s="293" customFormat="1" ht="12.75" x14ac:dyDescent="0.2"/>
    <row r="619" s="293" customFormat="1" ht="12.75" x14ac:dyDescent="0.2"/>
    <row r="620" s="293" customFormat="1" ht="12.75" x14ac:dyDescent="0.2"/>
    <row r="621" s="293" customFormat="1" ht="12.75" x14ac:dyDescent="0.2"/>
    <row r="622" s="293" customFormat="1" ht="12.75" x14ac:dyDescent="0.2"/>
    <row r="623" s="293" customFormat="1" ht="12.75" x14ac:dyDescent="0.2"/>
    <row r="624" s="293" customFormat="1" ht="12.75" x14ac:dyDescent="0.2"/>
    <row r="625" s="293" customFormat="1" ht="12.75" x14ac:dyDescent="0.2"/>
    <row r="626" s="293" customFormat="1" ht="12.75" x14ac:dyDescent="0.2"/>
    <row r="627" s="293" customFormat="1" ht="12.75" x14ac:dyDescent="0.2"/>
    <row r="628" s="293" customFormat="1" ht="12.75" x14ac:dyDescent="0.2"/>
    <row r="629" s="293" customFormat="1" ht="12.75" x14ac:dyDescent="0.2"/>
    <row r="630" s="293" customFormat="1" ht="12.75" x14ac:dyDescent="0.2"/>
    <row r="631" s="293" customFormat="1" ht="12.75" x14ac:dyDescent="0.2"/>
    <row r="632" s="293" customFormat="1" ht="12.75" x14ac:dyDescent="0.2"/>
    <row r="633" s="293" customFormat="1" ht="12.75" x14ac:dyDescent="0.2"/>
    <row r="634" s="293" customFormat="1" ht="12.75" x14ac:dyDescent="0.2"/>
    <row r="635" s="293" customFormat="1" ht="12.75" x14ac:dyDescent="0.2"/>
    <row r="636" s="293" customFormat="1" ht="12.75" x14ac:dyDescent="0.2"/>
    <row r="637" s="293" customFormat="1" ht="12.75" x14ac:dyDescent="0.2"/>
    <row r="638" s="293" customFormat="1" ht="12.75" x14ac:dyDescent="0.2"/>
    <row r="639" s="293" customFormat="1" ht="12.75" x14ac:dyDescent="0.2"/>
    <row r="640" s="293" customFormat="1" ht="12.75" x14ac:dyDescent="0.2"/>
    <row r="641" s="293" customFormat="1" ht="12.75" x14ac:dyDescent="0.2"/>
    <row r="642" s="293" customFormat="1" ht="12.75" x14ac:dyDescent="0.2"/>
    <row r="643" s="293" customFormat="1" ht="12.75" x14ac:dyDescent="0.2"/>
    <row r="644" s="293" customFormat="1" ht="12.75" x14ac:dyDescent="0.2"/>
    <row r="645" s="293" customFormat="1" ht="12.75" x14ac:dyDescent="0.2"/>
    <row r="646" s="293" customFormat="1" ht="12.75" x14ac:dyDescent="0.2"/>
    <row r="647" s="293" customFormat="1" ht="12.75" x14ac:dyDescent="0.2"/>
    <row r="648" s="293" customFormat="1" ht="12.75" x14ac:dyDescent="0.2"/>
    <row r="649" s="293" customFormat="1" ht="12.75" x14ac:dyDescent="0.2"/>
    <row r="650" s="293" customFormat="1" ht="12.75" x14ac:dyDescent="0.2"/>
    <row r="651" s="293" customFormat="1" ht="12.75" x14ac:dyDescent="0.2"/>
    <row r="652" s="293" customFormat="1" ht="12.75" x14ac:dyDescent="0.2"/>
    <row r="653" s="293" customFormat="1" ht="12.75" x14ac:dyDescent="0.2"/>
    <row r="654" s="293" customFormat="1" ht="12.75" x14ac:dyDescent="0.2"/>
    <row r="655" s="293" customFormat="1" ht="12.75" x14ac:dyDescent="0.2"/>
    <row r="656" s="293" customFormat="1" ht="12.75" x14ac:dyDescent="0.2"/>
    <row r="657" s="293" customFormat="1" ht="12.75" x14ac:dyDescent="0.2"/>
    <row r="658" s="293" customFormat="1" ht="12.75" x14ac:dyDescent="0.2"/>
    <row r="659" s="293" customFormat="1" ht="12.75" x14ac:dyDescent="0.2"/>
    <row r="660" s="293" customFormat="1" ht="12.75" x14ac:dyDescent="0.2"/>
    <row r="661" s="293" customFormat="1" ht="12.75" x14ac:dyDescent="0.2"/>
    <row r="662" s="293" customFormat="1" ht="12.75" x14ac:dyDescent="0.2"/>
    <row r="663" s="293" customFormat="1" ht="12.75" x14ac:dyDescent="0.2"/>
    <row r="664" s="293" customFormat="1" ht="12.75" x14ac:dyDescent="0.2"/>
    <row r="665" s="293" customFormat="1" ht="12.75" x14ac:dyDescent="0.2"/>
    <row r="666" s="293" customFormat="1" ht="12.75" x14ac:dyDescent="0.2"/>
    <row r="667" s="293" customFormat="1" ht="12.75" x14ac:dyDescent="0.2"/>
    <row r="668" s="293" customFormat="1" ht="12.75" x14ac:dyDescent="0.2"/>
    <row r="669" s="293" customFormat="1" ht="12.75" x14ac:dyDescent="0.2"/>
    <row r="670" s="293" customFormat="1" ht="12.75" x14ac:dyDescent="0.2"/>
    <row r="671" s="293" customFormat="1" ht="12.75" x14ac:dyDescent="0.2"/>
    <row r="672" s="293" customFormat="1" ht="12.75" x14ac:dyDescent="0.2"/>
    <row r="673" s="293" customFormat="1" ht="12.75" x14ac:dyDescent="0.2"/>
    <row r="674" s="293" customFormat="1" ht="12.75" x14ac:dyDescent="0.2"/>
    <row r="675" s="293" customFormat="1" ht="12.75" x14ac:dyDescent="0.2"/>
    <row r="676" s="293" customFormat="1" ht="12.75" x14ac:dyDescent="0.2"/>
    <row r="677" s="293" customFormat="1" ht="12.75" x14ac:dyDescent="0.2"/>
    <row r="678" s="293" customFormat="1" ht="12.75" x14ac:dyDescent="0.2"/>
    <row r="679" s="293" customFormat="1" ht="12.75" x14ac:dyDescent="0.2"/>
    <row r="680" s="293" customFormat="1" ht="12.75" x14ac:dyDescent="0.2"/>
    <row r="681" s="293" customFormat="1" ht="12.75" x14ac:dyDescent="0.2"/>
    <row r="682" s="293" customFormat="1" ht="12.75" x14ac:dyDescent="0.2"/>
    <row r="683" s="293" customFormat="1" ht="12.75" x14ac:dyDescent="0.2"/>
    <row r="684" s="293" customFormat="1" ht="12.75" x14ac:dyDescent="0.2"/>
    <row r="685" s="293" customFormat="1" ht="12.75" x14ac:dyDescent="0.2"/>
    <row r="686" s="293" customFormat="1" ht="12.75" x14ac:dyDescent="0.2"/>
    <row r="687" s="293" customFormat="1" ht="12.75" x14ac:dyDescent="0.2"/>
    <row r="688" s="293" customFormat="1" ht="12.75" x14ac:dyDescent="0.2"/>
    <row r="689" s="293" customFormat="1" ht="12.75" x14ac:dyDescent="0.2"/>
    <row r="690" s="293" customFormat="1" ht="12.75" x14ac:dyDescent="0.2"/>
    <row r="691" s="293" customFormat="1" ht="12.75" x14ac:dyDescent="0.2"/>
    <row r="692" s="293" customFormat="1" ht="12.75" x14ac:dyDescent="0.2"/>
    <row r="693" s="293" customFormat="1" ht="12.75" x14ac:dyDescent="0.2"/>
    <row r="694" s="293" customFormat="1" ht="12.75" x14ac:dyDescent="0.2"/>
    <row r="695" s="293" customFormat="1" ht="12.75" x14ac:dyDescent="0.2"/>
    <row r="696" s="293" customFormat="1" ht="12.75" x14ac:dyDescent="0.2"/>
    <row r="697" s="293" customFormat="1" ht="12.75" x14ac:dyDescent="0.2"/>
    <row r="698" s="293" customFormat="1" ht="12.75" x14ac:dyDescent="0.2"/>
    <row r="699" s="293" customFormat="1" ht="12.75" x14ac:dyDescent="0.2"/>
    <row r="700" s="293" customFormat="1" ht="12.75" x14ac:dyDescent="0.2"/>
    <row r="701" s="293" customFormat="1" ht="12.75" x14ac:dyDescent="0.2"/>
    <row r="702" s="293" customFormat="1" ht="12.75" x14ac:dyDescent="0.2"/>
    <row r="703" s="293" customFormat="1" ht="12.75" x14ac:dyDescent="0.2"/>
    <row r="704" s="293" customFormat="1" ht="12.75" x14ac:dyDescent="0.2"/>
    <row r="705" s="293" customFormat="1" ht="12.75" x14ac:dyDescent="0.2"/>
    <row r="706" s="293" customFormat="1" ht="12.75" x14ac:dyDescent="0.2"/>
    <row r="707" s="293" customFormat="1" ht="12.75" x14ac:dyDescent="0.2"/>
    <row r="708" s="293" customFormat="1" ht="12.75" x14ac:dyDescent="0.2"/>
    <row r="709" s="293" customFormat="1" ht="12.75" x14ac:dyDescent="0.2"/>
    <row r="710" s="293" customFormat="1" ht="12.75" x14ac:dyDescent="0.2"/>
    <row r="711" s="293" customFormat="1" ht="12.75" x14ac:dyDescent="0.2"/>
    <row r="712" s="293" customFormat="1" ht="12.75" x14ac:dyDescent="0.2"/>
    <row r="713" s="293" customFormat="1" ht="12.75" x14ac:dyDescent="0.2"/>
    <row r="714" s="293" customFormat="1" ht="12.75" x14ac:dyDescent="0.2"/>
  </sheetData>
  <mergeCells count="130">
    <mergeCell ref="I238:L238"/>
    <mergeCell ref="A59:I59"/>
    <mergeCell ref="A76:I76"/>
    <mergeCell ref="A180:I180"/>
    <mergeCell ref="A174:J174"/>
    <mergeCell ref="A159:I159"/>
    <mergeCell ref="A194:I194"/>
    <mergeCell ref="D222:I222"/>
    <mergeCell ref="A135:B135"/>
    <mergeCell ref="A204:B204"/>
    <mergeCell ref="A136:D136"/>
    <mergeCell ref="A137:D137"/>
    <mergeCell ref="A138:D138"/>
    <mergeCell ref="A139:D139"/>
    <mergeCell ref="A133:B133"/>
    <mergeCell ref="A134:B134"/>
    <mergeCell ref="A193:B193"/>
    <mergeCell ref="A195:B195"/>
    <mergeCell ref="A196:B196"/>
    <mergeCell ref="A197:B197"/>
    <mergeCell ref="A170:B170"/>
    <mergeCell ref="A173:B173"/>
    <mergeCell ref="A175:B175"/>
    <mergeCell ref="A176:B176"/>
    <mergeCell ref="A179:B179"/>
    <mergeCell ref="A286:B286"/>
    <mergeCell ref="A347:B347"/>
    <mergeCell ref="A348:B348"/>
    <mergeCell ref="A339:B339"/>
    <mergeCell ref="A340:B340"/>
    <mergeCell ref="A341:B341"/>
    <mergeCell ref="A336:B336"/>
    <mergeCell ref="A338:B338"/>
    <mergeCell ref="A335:B335"/>
    <mergeCell ref="A317:I317"/>
    <mergeCell ref="A326:B326"/>
    <mergeCell ref="A328:B328"/>
    <mergeCell ref="A329:B329"/>
    <mergeCell ref="A330:B330"/>
    <mergeCell ref="A320:B320"/>
    <mergeCell ref="A321:B321"/>
    <mergeCell ref="A322:B322"/>
    <mergeCell ref="A324:B324"/>
    <mergeCell ref="A325:B325"/>
    <mergeCell ref="A343:B343"/>
    <mergeCell ref="A344:B344"/>
    <mergeCell ref="A345:B345"/>
    <mergeCell ref="A333:B333"/>
    <mergeCell ref="A334:B334"/>
    <mergeCell ref="A331:B331"/>
    <mergeCell ref="A291:B291"/>
    <mergeCell ref="A292:B292"/>
    <mergeCell ref="A316:B316"/>
    <mergeCell ref="A293:B293"/>
    <mergeCell ref="A310:B310"/>
    <mergeCell ref="A311:B311"/>
    <mergeCell ref="A312:I312"/>
    <mergeCell ref="A294:B294"/>
    <mergeCell ref="A295:B295"/>
    <mergeCell ref="A304:B304"/>
    <mergeCell ref="A309:I309"/>
    <mergeCell ref="B240:H240"/>
    <mergeCell ref="B247:H247"/>
    <mergeCell ref="A260:B260"/>
    <mergeCell ref="A265:B265"/>
    <mergeCell ref="A266:B266"/>
    <mergeCell ref="A285:B285"/>
    <mergeCell ref="A300:B300"/>
    <mergeCell ref="A301:B301"/>
    <mergeCell ref="A296:B296"/>
    <mergeCell ref="A297:B297"/>
    <mergeCell ref="A298:B298"/>
    <mergeCell ref="A299:B299"/>
    <mergeCell ref="A268:B268"/>
    <mergeCell ref="A269:B269"/>
    <mergeCell ref="A275:B275"/>
    <mergeCell ref="A289:B289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14:B214"/>
    <mergeCell ref="D225:H225"/>
    <mergeCell ref="B238:H238"/>
    <mergeCell ref="B239:H239"/>
    <mergeCell ref="A208:B208"/>
    <mergeCell ref="A210:B210"/>
    <mergeCell ref="A211:B211"/>
    <mergeCell ref="A198:B198"/>
    <mergeCell ref="A199:B199"/>
    <mergeCell ref="A200:B200"/>
    <mergeCell ref="A201:B201"/>
    <mergeCell ref="A202:B202"/>
    <mergeCell ref="A203:B203"/>
    <mergeCell ref="A205:B205"/>
    <mergeCell ref="A2:I2"/>
    <mergeCell ref="A26:B26"/>
    <mergeCell ref="A43:B43"/>
    <mergeCell ref="A4:I4"/>
    <mergeCell ref="A5:B5"/>
    <mergeCell ref="A7:B7"/>
    <mergeCell ref="A22:B22"/>
    <mergeCell ref="A24:B24"/>
    <mergeCell ref="A58:B58"/>
    <mergeCell ref="D93:H93"/>
    <mergeCell ref="D94:H94"/>
    <mergeCell ref="D95:H95"/>
    <mergeCell ref="D97:H97"/>
    <mergeCell ref="D101:G101"/>
    <mergeCell ref="A107:D107"/>
    <mergeCell ref="E99:H99"/>
    <mergeCell ref="A127:B127"/>
    <mergeCell ref="A128:B128"/>
    <mergeCell ref="A129:B129"/>
    <mergeCell ref="A130:B130"/>
    <mergeCell ref="A131:B131"/>
    <mergeCell ref="A132:B132"/>
    <mergeCell ref="A158:B158"/>
    <mergeCell ref="A108:B108"/>
    <mergeCell ref="A109:B109"/>
    <mergeCell ref="A111:B111"/>
    <mergeCell ref="A123:F123"/>
    <mergeCell ref="A124:B124"/>
    <mergeCell ref="A125:F125"/>
    <mergeCell ref="A126:B126"/>
    <mergeCell ref="A144:B144"/>
  </mergeCells>
  <pageMargins left="0.7" right="0.7" top="0.75" bottom="0.75" header="0.3" footer="0.3"/>
  <pageSetup orientation="landscape" horizontalDpi="200" verticalDpi="20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FF00"/>
  </sheetPr>
  <dimension ref="A1:BF154"/>
  <sheetViews>
    <sheetView topLeftCell="I1" workbookViewId="0">
      <selection activeCell="Y19" sqref="Y19"/>
    </sheetView>
  </sheetViews>
  <sheetFormatPr defaultRowHeight="12.75" x14ac:dyDescent="0.2"/>
  <cols>
    <col min="2" max="4" width="13.7109375" customWidth="1"/>
    <col min="5" max="5" width="12.85546875" bestFit="1" customWidth="1"/>
    <col min="6" max="6" width="13" bestFit="1" customWidth="1"/>
    <col min="7" max="7" width="12.85546875" bestFit="1" customWidth="1"/>
    <col min="9" max="9" width="12.28515625" customWidth="1"/>
    <col min="10" max="10" width="14.28515625" customWidth="1"/>
    <col min="11" max="11" width="12.5703125" customWidth="1"/>
    <col min="12" max="12" width="15.5703125" customWidth="1"/>
    <col min="13" max="13" width="11.5703125" customWidth="1"/>
    <col min="14" max="14" width="19.85546875" customWidth="1"/>
    <col min="15" max="15" width="20" customWidth="1"/>
    <col min="16" max="16" width="12.42578125" customWidth="1"/>
    <col min="17" max="17" width="13.7109375" customWidth="1"/>
    <col min="18" max="18" width="11.42578125" customWidth="1"/>
    <col min="19" max="19" width="13" customWidth="1"/>
    <col min="20" max="20" width="13.42578125" bestFit="1" customWidth="1"/>
    <col min="21" max="21" width="8.5703125" customWidth="1"/>
    <col min="22" max="24" width="11.5703125" bestFit="1" customWidth="1"/>
    <col min="25" max="25" width="13.140625" customWidth="1"/>
    <col min="26" max="27" width="11.5703125" bestFit="1" customWidth="1"/>
    <col min="28" max="28" width="12" customWidth="1"/>
  </cols>
  <sheetData>
    <row r="1" spans="1:25" ht="51" x14ac:dyDescent="0.2">
      <c r="B1" s="178" t="s">
        <v>318</v>
      </c>
      <c r="C1" s="178" t="s">
        <v>319</v>
      </c>
      <c r="D1" s="178" t="s">
        <v>377</v>
      </c>
      <c r="E1" s="46" t="s">
        <v>78</v>
      </c>
      <c r="F1" s="46" t="s">
        <v>79</v>
      </c>
      <c r="G1" s="178" t="s">
        <v>320</v>
      </c>
      <c r="M1" s="72" t="s">
        <v>335</v>
      </c>
      <c r="O1" s="818" t="s">
        <v>368</v>
      </c>
      <c r="P1" s="813"/>
      <c r="Q1" s="813"/>
    </row>
    <row r="2" spans="1:25" x14ac:dyDescent="0.2">
      <c r="A2" s="198">
        <v>2005</v>
      </c>
      <c r="E2" s="47"/>
      <c r="F2" s="48">
        <f>E2</f>
        <v>0</v>
      </c>
      <c r="G2" s="48">
        <f t="shared" ref="G2:G11" si="0">F2/$M$14</f>
        <v>0</v>
      </c>
      <c r="I2" s="819" t="s">
        <v>80</v>
      </c>
      <c r="J2" s="819"/>
      <c r="K2" s="72"/>
      <c r="L2" s="171" t="s">
        <v>81</v>
      </c>
      <c r="M2" s="171">
        <v>1</v>
      </c>
      <c r="O2" s="820">
        <v>11820000</v>
      </c>
      <c r="P2" s="820"/>
      <c r="Q2" s="820"/>
    </row>
    <row r="3" spans="1:25" ht="13.5" thickBot="1" x14ac:dyDescent="0.25">
      <c r="A3" s="198">
        <v>2006</v>
      </c>
      <c r="B3" s="179">
        <f t="shared" ref="B3:B11" si="1">J22*1000</f>
        <v>890213.87735693587</v>
      </c>
      <c r="C3" s="179">
        <f>K22*1000</f>
        <v>797108.65366579581</v>
      </c>
      <c r="D3" s="51">
        <f>B3/C3</f>
        <v>1.116803679477022</v>
      </c>
      <c r="E3" s="48">
        <f>C3</f>
        <v>797108.65366579581</v>
      </c>
      <c r="F3" s="48">
        <f>E3-G26</f>
        <v>797108.65366579581</v>
      </c>
      <c r="G3" s="48">
        <f t="shared" si="0"/>
        <v>10219.341713664049</v>
      </c>
      <c r="I3" s="49">
        <f>F28</f>
        <v>797108.65366579592</v>
      </c>
      <c r="J3" s="49">
        <f t="shared" ref="J3:J11" si="2">E3-I3</f>
        <v>0</v>
      </c>
      <c r="L3" s="171" t="s">
        <v>82</v>
      </c>
      <c r="M3" s="171">
        <v>2</v>
      </c>
    </row>
    <row r="4" spans="1:25" x14ac:dyDescent="0.2">
      <c r="A4" s="198">
        <v>2007</v>
      </c>
      <c r="B4" s="179">
        <f t="shared" si="1"/>
        <v>3157921.4358938159</v>
      </c>
      <c r="C4" s="179">
        <f t="shared" ref="C4:C11" si="3">K23*1000</f>
        <v>1393096.129048256</v>
      </c>
      <c r="D4" s="51">
        <f t="shared" ref="D4:D11" si="4">B4/C4</f>
        <v>2.2668367028277254</v>
      </c>
      <c r="E4" s="48">
        <f>C4</f>
        <v>1393096.129048256</v>
      </c>
      <c r="F4" s="48">
        <f>E4-G28</f>
        <v>-78489.077719367109</v>
      </c>
      <c r="G4" s="48">
        <f t="shared" si="0"/>
        <v>-1006.2702271713732</v>
      </c>
      <c r="I4" s="49">
        <f>F39</f>
        <v>1393096.1290482557</v>
      </c>
      <c r="J4" s="49">
        <f t="shared" si="2"/>
        <v>0</v>
      </c>
      <c r="L4" s="171" t="s">
        <v>83</v>
      </c>
      <c r="M4" s="171">
        <v>3</v>
      </c>
      <c r="O4" s="815" t="s">
        <v>193</v>
      </c>
      <c r="P4" s="816"/>
      <c r="Q4" s="816"/>
      <c r="R4" s="816"/>
      <c r="S4" s="821"/>
      <c r="T4" s="815" t="s">
        <v>458</v>
      </c>
      <c r="U4" s="816"/>
      <c r="V4" s="816"/>
      <c r="W4" s="817"/>
    </row>
    <row r="5" spans="1:25" x14ac:dyDescent="0.2">
      <c r="A5" s="198">
        <v>2008</v>
      </c>
      <c r="B5" s="179">
        <f t="shared" si="1"/>
        <v>2794940.2551867804</v>
      </c>
      <c r="C5" s="179">
        <f t="shared" si="3"/>
        <v>1720478.4509816684</v>
      </c>
      <c r="D5" s="51">
        <f t="shared" si="4"/>
        <v>1.6245133750975183</v>
      </c>
      <c r="E5" s="48">
        <f>C5</f>
        <v>1720478.4509816684</v>
      </c>
      <c r="F5" s="48">
        <f>E5-G39</f>
        <v>393796.1569267239</v>
      </c>
      <c r="G5" s="48">
        <f t="shared" si="0"/>
        <v>5048.6686785477423</v>
      </c>
      <c r="I5" s="49">
        <f>F51</f>
        <v>1720478.4509816687</v>
      </c>
      <c r="J5" s="49">
        <f t="shared" si="2"/>
        <v>0</v>
      </c>
      <c r="L5" s="171" t="s">
        <v>84</v>
      </c>
      <c r="M5" s="171">
        <v>4</v>
      </c>
      <c r="O5" s="172">
        <v>2011</v>
      </c>
      <c r="P5" s="171">
        <v>2012</v>
      </c>
      <c r="Q5" s="171">
        <v>2013</v>
      </c>
      <c r="R5" s="171">
        <v>2014</v>
      </c>
      <c r="S5" s="607" t="s">
        <v>9</v>
      </c>
      <c r="T5" s="613" t="s">
        <v>460</v>
      </c>
      <c r="U5" s="61" t="s">
        <v>459</v>
      </c>
      <c r="V5" s="61">
        <v>2013</v>
      </c>
      <c r="W5" s="614">
        <v>2014</v>
      </c>
    </row>
    <row r="6" spans="1:25" x14ac:dyDescent="0.2">
      <c r="A6" s="198">
        <v>2009</v>
      </c>
      <c r="B6" s="179">
        <f t="shared" si="1"/>
        <v>4140869.5265819351</v>
      </c>
      <c r="C6" s="179">
        <f t="shared" si="3"/>
        <v>2687127.2240572851</v>
      </c>
      <c r="D6" s="51">
        <f t="shared" si="4"/>
        <v>1.541002409379653</v>
      </c>
      <c r="E6" s="48">
        <f>C6</f>
        <v>2687127.2240572851</v>
      </c>
      <c r="F6" s="48">
        <f>E6-G51</f>
        <v>633436.64029146521</v>
      </c>
      <c r="G6" s="48">
        <f t="shared" si="0"/>
        <v>8120.9825678392972</v>
      </c>
      <c r="I6" s="49">
        <f>F63</f>
        <v>2687127.2240572856</v>
      </c>
      <c r="J6" s="49">
        <f t="shared" si="2"/>
        <v>0</v>
      </c>
      <c r="L6" s="171" t="s">
        <v>85</v>
      </c>
      <c r="M6" s="171">
        <v>5</v>
      </c>
      <c r="O6" s="88">
        <f>O12/$O$2</f>
        <v>9.8138747884940772E-2</v>
      </c>
      <c r="P6" s="66">
        <f>P12/$O$2</f>
        <v>9.560067681895093E-2</v>
      </c>
      <c r="Q6" s="66">
        <f>Q12/$O$2</f>
        <v>9.560067681895093E-2</v>
      </c>
      <c r="R6" s="66">
        <f>R12/$O$2</f>
        <v>9.475465313028765E-2</v>
      </c>
      <c r="S6" s="612">
        <f>SUM(O6:R6)</f>
        <v>0.38409475465313025</v>
      </c>
      <c r="T6" s="613"/>
      <c r="U6" s="61"/>
      <c r="V6" s="61"/>
      <c r="W6" s="614"/>
    </row>
    <row r="7" spans="1:25" x14ac:dyDescent="0.2">
      <c r="A7" s="228">
        <v>2010</v>
      </c>
      <c r="B7" s="229">
        <f t="shared" si="1"/>
        <v>5418273.0163372653</v>
      </c>
      <c r="C7" s="229">
        <f t="shared" si="3"/>
        <v>3367999.0854078466</v>
      </c>
      <c r="D7" s="740">
        <f t="shared" si="4"/>
        <v>1.6087513324491125</v>
      </c>
      <c r="E7" s="230">
        <f>C7</f>
        <v>3367999.0854078466</v>
      </c>
      <c r="F7" s="230">
        <f>E7-G63</f>
        <v>144887.01187316794</v>
      </c>
      <c r="G7" s="230">
        <f t="shared" si="0"/>
        <v>1857.5257932457428</v>
      </c>
      <c r="H7" s="224"/>
      <c r="I7" s="231">
        <f>F75</f>
        <v>3367999.085407848</v>
      </c>
      <c r="J7" s="49">
        <f t="shared" si="2"/>
        <v>0</v>
      </c>
      <c r="K7" s="49"/>
      <c r="L7" s="171" t="s">
        <v>86</v>
      </c>
      <c r="M7" s="171">
        <v>6</v>
      </c>
      <c r="O7" s="54"/>
      <c r="P7" s="53">
        <f>P13/$O$2</f>
        <v>8.4602368866328256E-2</v>
      </c>
      <c r="Q7" s="53">
        <f>Q13/$O$2</f>
        <v>7.6142131979695438E-2</v>
      </c>
      <c r="R7" s="53">
        <f>R13/$O$2</f>
        <v>7.6142131979695438E-2</v>
      </c>
      <c r="S7" s="612">
        <f>SUM(O7:R7)</f>
        <v>0.23688663282571915</v>
      </c>
      <c r="T7" s="613"/>
      <c r="U7" s="61"/>
      <c r="V7" s="61"/>
      <c r="W7" s="614"/>
    </row>
    <row r="8" spans="1:25" x14ac:dyDescent="0.2">
      <c r="A8" s="198">
        <v>2011</v>
      </c>
      <c r="B8" s="179">
        <f t="shared" si="1"/>
        <v>5120585.2662061835</v>
      </c>
      <c r="C8" s="179">
        <f t="shared" si="3"/>
        <v>3065642.8522753869</v>
      </c>
      <c r="D8" s="51">
        <f t="shared" si="4"/>
        <v>1.6703137035044946</v>
      </c>
      <c r="E8" s="48">
        <f>C8+O12</f>
        <v>4225642.8522753865</v>
      </c>
      <c r="F8" s="48">
        <f>E8-G75</f>
        <v>735047.06451331824</v>
      </c>
      <c r="G8" s="48">
        <f t="shared" si="0"/>
        <v>9423.6803142733115</v>
      </c>
      <c r="I8" s="49">
        <f>F87</f>
        <v>4225642.8522753883</v>
      </c>
      <c r="J8" s="49">
        <f t="shared" si="2"/>
        <v>0</v>
      </c>
      <c r="L8" s="171" t="s">
        <v>87</v>
      </c>
      <c r="M8" s="171">
        <v>7</v>
      </c>
      <c r="O8" s="55"/>
      <c r="P8" s="53"/>
      <c r="Q8" s="53">
        <f>(100%-S6-S7)/3</f>
        <v>0.12633953750705021</v>
      </c>
      <c r="R8" s="53">
        <f>Q8</f>
        <v>0.12633953750705021</v>
      </c>
      <c r="S8" s="612">
        <f>SUM(O8:R8)</f>
        <v>0.25267907501410042</v>
      </c>
      <c r="T8" s="613"/>
      <c r="U8" s="61"/>
      <c r="V8" s="61"/>
      <c r="W8" s="614"/>
    </row>
    <row r="9" spans="1:25" x14ac:dyDescent="0.2">
      <c r="A9" s="198">
        <v>2012</v>
      </c>
      <c r="B9" s="179">
        <f>J28*1000</f>
        <v>4972773.3822379196</v>
      </c>
      <c r="C9" s="179">
        <f t="shared" si="3"/>
        <v>3002780.7271086173</v>
      </c>
      <c r="D9" s="51">
        <f t="shared" si="4"/>
        <v>1.6560561140360761</v>
      </c>
      <c r="E9" s="48">
        <f>C9+P12+P13</f>
        <v>5132780.7271086173</v>
      </c>
      <c r="F9" s="48">
        <f>E9-G87</f>
        <v>285174.97409118898</v>
      </c>
      <c r="G9" s="48">
        <f t="shared" si="0"/>
        <v>3656.0894114254997</v>
      </c>
      <c r="I9" s="49">
        <f>F99</f>
        <v>5132780.7271086192</v>
      </c>
      <c r="J9" s="49">
        <f t="shared" si="2"/>
        <v>0</v>
      </c>
      <c r="L9" s="171" t="s">
        <v>88</v>
      </c>
      <c r="M9" s="171">
        <v>8</v>
      </c>
      <c r="O9" s="55"/>
      <c r="P9" s="56"/>
      <c r="Q9" s="53"/>
      <c r="R9" s="53">
        <f>R8</f>
        <v>0.12633953750705021</v>
      </c>
      <c r="S9" s="612">
        <f>SUM(O9:R9)</f>
        <v>0.12633953750705021</v>
      </c>
      <c r="T9" s="613"/>
      <c r="U9" s="61"/>
      <c r="V9" s="61"/>
      <c r="W9" s="614"/>
    </row>
    <row r="10" spans="1:25" x14ac:dyDescent="0.2">
      <c r="A10" s="198">
        <v>2013</v>
      </c>
      <c r="B10" s="179">
        <f t="shared" si="1"/>
        <v>4924710.1766429497</v>
      </c>
      <c r="C10" s="179">
        <f>K29*1000</f>
        <v>2978413.379797833</v>
      </c>
      <c r="D10" s="51">
        <f t="shared" si="4"/>
        <v>1.6534676516183344</v>
      </c>
      <c r="E10" s="48">
        <f>C10+Q12+Q13</f>
        <v>5008413.379797833</v>
      </c>
      <c r="F10" s="48">
        <f>E10-G99</f>
        <v>-365669.24846487027</v>
      </c>
      <c r="G10" s="48">
        <f t="shared" si="0"/>
        <v>-4688.067288011157</v>
      </c>
      <c r="I10" s="49">
        <f>F111</f>
        <v>5008413.3797978349</v>
      </c>
      <c r="J10" s="49">
        <f t="shared" si="2"/>
        <v>0</v>
      </c>
      <c r="L10" s="171" t="s">
        <v>89</v>
      </c>
      <c r="M10" s="171">
        <v>9</v>
      </c>
      <c r="O10" s="54">
        <f>SUM(O6:O9)</f>
        <v>9.8138747884940772E-2</v>
      </c>
      <c r="P10" s="53">
        <f>SUM(P6:P9)</f>
        <v>0.18020304568527917</v>
      </c>
      <c r="Q10" s="53">
        <f>SUM(Q6:Q9)</f>
        <v>0.29808234630569658</v>
      </c>
      <c r="R10" s="53">
        <f>SUM(R6:R9)</f>
        <v>0.42357586012408344</v>
      </c>
      <c r="S10" s="612">
        <f>SUM(O10:R10)</f>
        <v>0.99999999999999989</v>
      </c>
      <c r="T10" s="613"/>
      <c r="U10" s="61"/>
      <c r="V10" s="61"/>
      <c r="W10" s="614"/>
    </row>
    <row r="11" spans="1:25" x14ac:dyDescent="0.2">
      <c r="A11" s="198">
        <v>2014</v>
      </c>
      <c r="B11" s="179">
        <f t="shared" si="1"/>
        <v>4595010.4786552992</v>
      </c>
      <c r="C11" s="179">
        <f t="shared" si="3"/>
        <v>2807718.4816886685</v>
      </c>
      <c r="D11" s="51">
        <f t="shared" si="4"/>
        <v>1.6365638181402309</v>
      </c>
      <c r="E11" s="48">
        <f>C11+R12+R13</f>
        <v>4827718.481688669</v>
      </c>
      <c r="F11" s="48">
        <f>E11-G111</f>
        <v>128717.5428995695</v>
      </c>
      <c r="G11" s="48">
        <f t="shared" si="0"/>
        <v>1650.2249089688396</v>
      </c>
      <c r="I11" s="49">
        <f>F123</f>
        <v>4827718.481688669</v>
      </c>
      <c r="J11" s="49">
        <f t="shared" si="2"/>
        <v>0</v>
      </c>
      <c r="L11" s="171" t="s">
        <v>90</v>
      </c>
      <c r="M11" s="171">
        <v>10</v>
      </c>
      <c r="N11" s="72" t="s">
        <v>331</v>
      </c>
      <c r="O11" s="812"/>
      <c r="P11" s="813"/>
      <c r="Q11" s="813"/>
      <c r="R11" s="813"/>
      <c r="S11" s="814"/>
      <c r="T11" s="613"/>
      <c r="U11" s="61"/>
      <c r="V11" s="61"/>
      <c r="W11" s="614"/>
    </row>
    <row r="12" spans="1:25" x14ac:dyDescent="0.2">
      <c r="A12" s="85" t="s">
        <v>9</v>
      </c>
      <c r="B12" s="199">
        <f>SUM(B3:B11)</f>
        <v>36015297.415099084</v>
      </c>
      <c r="C12" s="199">
        <f>SUM(C3:C11)</f>
        <v>21820364.984031353</v>
      </c>
      <c r="D12" s="200">
        <f>B12/C12</f>
        <v>1.6505359759772997</v>
      </c>
      <c r="E12" s="199">
        <f>SUM(E3:E11)</f>
        <v>29160364.984031357</v>
      </c>
      <c r="F12" s="199"/>
      <c r="G12" s="199"/>
      <c r="I12" s="48">
        <f>SUM(I3:I11)</f>
        <v>29160364.984031364</v>
      </c>
      <c r="J12" s="49">
        <f>SUM(J3:J11)</f>
        <v>0</v>
      </c>
      <c r="L12" s="171" t="s">
        <v>91</v>
      </c>
      <c r="M12" s="171">
        <v>11</v>
      </c>
      <c r="N12" s="198">
        <v>2011</v>
      </c>
      <c r="O12" s="215">
        <f>1000000*P24</f>
        <v>1160000</v>
      </c>
      <c r="P12" s="215">
        <f>1000000*Q24</f>
        <v>1130000</v>
      </c>
      <c r="Q12" s="215">
        <f>1000000*R24</f>
        <v>1130000</v>
      </c>
      <c r="R12" s="215">
        <f>1000000*S24</f>
        <v>1120000</v>
      </c>
      <c r="S12" s="608">
        <f>SUM(O12:R12)</f>
        <v>4540000</v>
      </c>
      <c r="T12" s="615"/>
      <c r="U12" s="61"/>
      <c r="V12" s="61"/>
      <c r="W12" s="58">
        <f>R12</f>
        <v>1120000</v>
      </c>
    </row>
    <row r="13" spans="1:25" x14ac:dyDescent="0.2">
      <c r="C13" s="49">
        <f>E12-C12</f>
        <v>7340000.0000000037</v>
      </c>
      <c r="D13" s="51"/>
      <c r="E13" s="48"/>
      <c r="G13" s="48"/>
      <c r="L13" s="171" t="s">
        <v>93</v>
      </c>
      <c r="M13" s="171">
        <v>12</v>
      </c>
      <c r="N13" s="174">
        <v>2012</v>
      </c>
      <c r="O13" s="215"/>
      <c r="P13" s="215">
        <f>1000000*Q25</f>
        <v>1000000</v>
      </c>
      <c r="Q13" s="215">
        <f>1000000*R25</f>
        <v>900000</v>
      </c>
      <c r="R13" s="215">
        <f>1000000*S25</f>
        <v>900000</v>
      </c>
      <c r="S13" s="608">
        <f>SUM(O13:R13)</f>
        <v>2800000</v>
      </c>
      <c r="T13" s="616">
        <f>Q13</f>
        <v>900000</v>
      </c>
      <c r="U13" s="610">
        <v>0.5</v>
      </c>
      <c r="V13" s="611">
        <f>T13*U13</f>
        <v>450000</v>
      </c>
      <c r="W13" s="617">
        <f>T13*U13</f>
        <v>450000</v>
      </c>
    </row>
    <row r="14" spans="1:25" x14ac:dyDescent="0.2">
      <c r="E14" s="199" t="s">
        <v>92</v>
      </c>
      <c r="L14" s="171" t="s">
        <v>9</v>
      </c>
      <c r="M14" s="171">
        <f>SUM(M2:M13)</f>
        <v>78</v>
      </c>
      <c r="N14" s="174">
        <v>2013</v>
      </c>
      <c r="O14" s="57"/>
      <c r="P14" s="173"/>
      <c r="Q14" s="605">
        <f>Q8*O2</f>
        <v>1493333.3333333335</v>
      </c>
      <c r="R14" s="605">
        <f>Q14</f>
        <v>1493333.3333333335</v>
      </c>
      <c r="S14" s="608">
        <f>SUM(O14:R14)</f>
        <v>2986666.666666667</v>
      </c>
      <c r="T14" s="618">
        <f>Q14</f>
        <v>1493333.3333333335</v>
      </c>
      <c r="U14" s="610"/>
      <c r="V14" s="611">
        <f>T14*U14</f>
        <v>0</v>
      </c>
      <c r="W14" s="58">
        <f>T14</f>
        <v>1493333.3333333335</v>
      </c>
    </row>
    <row r="15" spans="1:25" x14ac:dyDescent="0.2">
      <c r="B15" s="232" t="s">
        <v>61</v>
      </c>
      <c r="C15" s="232" t="s">
        <v>388</v>
      </c>
      <c r="E15" s="48" t="s">
        <v>334</v>
      </c>
      <c r="N15" s="174">
        <v>2014</v>
      </c>
      <c r="O15" s="57"/>
      <c r="P15" s="173"/>
      <c r="Q15" s="216"/>
      <c r="R15" s="606">
        <f>Q14</f>
        <v>1493333.3333333335</v>
      </c>
      <c r="S15" s="608">
        <f>SUM(O15:R15)</f>
        <v>1493333.3333333335</v>
      </c>
      <c r="T15" s="618">
        <f>R15</f>
        <v>1493333.3333333335</v>
      </c>
      <c r="U15" s="610">
        <v>0.5</v>
      </c>
      <c r="V15" s="61"/>
      <c r="W15" s="617">
        <f>T15*U15</f>
        <v>746666.66666666674</v>
      </c>
    </row>
    <row r="16" spans="1:25" ht="13.5" thickBot="1" x14ac:dyDescent="0.25">
      <c r="A16" s="3">
        <v>38718</v>
      </c>
      <c r="C16" s="52">
        <f>VLOOKUP(YEAR(A16),$I$22:$M$30,5)/12</f>
        <v>66425.721138816312</v>
      </c>
      <c r="D16" s="52"/>
      <c r="E16" s="48">
        <f>$G$3</f>
        <v>10219.341713664049</v>
      </c>
      <c r="O16" s="59">
        <f>SUM(O12:O15)</f>
        <v>1160000</v>
      </c>
      <c r="P16" s="60">
        <f>SUM(P12:P15)</f>
        <v>2130000</v>
      </c>
      <c r="Q16" s="60">
        <f>SUM(Q12:Q15)</f>
        <v>3523333.3333333335</v>
      </c>
      <c r="R16" s="60">
        <f>SUM(R12:R15)</f>
        <v>5006666.666666667</v>
      </c>
      <c r="S16" s="609">
        <f>SUM(O16:R16)</f>
        <v>11820000</v>
      </c>
      <c r="T16" s="619" t="s">
        <v>16</v>
      </c>
      <c r="U16" s="620"/>
      <c r="V16" s="621">
        <f>SUM(V13:V15)</f>
        <v>450000</v>
      </c>
      <c r="W16" s="622">
        <f>SUM(W12:W15)</f>
        <v>3810000</v>
      </c>
      <c r="X16" s="52"/>
      <c r="Y16" s="263"/>
    </row>
    <row r="17" spans="1:58" x14ac:dyDescent="0.2">
      <c r="A17" s="3">
        <v>38749</v>
      </c>
      <c r="C17" s="52">
        <f t="shared" ref="C17:C80" si="5">VLOOKUP(YEAR(A17),$I$22:$M$30,5)/12</f>
        <v>66425.721138816312</v>
      </c>
      <c r="D17" s="52"/>
      <c r="E17" s="48">
        <f t="shared" ref="E17:E27" si="6">E16+$G$3</f>
        <v>20438.683427328098</v>
      </c>
      <c r="Q17" s="574">
        <f>Q16/1000000</f>
        <v>3.5233333333333334</v>
      </c>
      <c r="R17" s="574">
        <f>R16/1000000</f>
        <v>5.0066666666666668</v>
      </c>
    </row>
    <row r="18" spans="1:58" ht="12.75" customHeight="1" x14ac:dyDescent="0.2">
      <c r="A18" s="3">
        <v>38777</v>
      </c>
      <c r="C18" s="52">
        <f t="shared" si="5"/>
        <v>66425.721138816312</v>
      </c>
      <c r="D18" s="52"/>
      <c r="E18" s="48">
        <f t="shared" si="6"/>
        <v>30658.025140992147</v>
      </c>
      <c r="I18" s="49"/>
      <c r="J18" s="16" t="s">
        <v>330</v>
      </c>
    </row>
    <row r="19" spans="1:58" x14ac:dyDescent="0.2">
      <c r="A19" s="3">
        <v>38808</v>
      </c>
      <c r="C19" s="52">
        <f t="shared" si="5"/>
        <v>66425.721138816312</v>
      </c>
      <c r="D19" s="52"/>
      <c r="E19" s="48">
        <f t="shared" si="6"/>
        <v>40877.366854656197</v>
      </c>
      <c r="I19" s="79"/>
      <c r="J19" s="197" t="s">
        <v>452</v>
      </c>
      <c r="K19" s="166"/>
      <c r="L19" s="212" t="s">
        <v>385</v>
      </c>
      <c r="M19" s="72" t="s">
        <v>387</v>
      </c>
      <c r="X19" s="72" t="s">
        <v>425</v>
      </c>
      <c r="AE19" s="52"/>
      <c r="AF19" s="52"/>
    </row>
    <row r="20" spans="1:58" x14ac:dyDescent="0.2">
      <c r="A20" s="3">
        <v>38838</v>
      </c>
      <c r="C20" s="52">
        <f t="shared" si="5"/>
        <v>66425.721138816312</v>
      </c>
      <c r="D20" s="52"/>
      <c r="E20" s="48">
        <f t="shared" si="6"/>
        <v>51096.708568320246</v>
      </c>
      <c r="I20" s="78"/>
      <c r="J20" s="190" t="s">
        <v>328</v>
      </c>
      <c r="K20" s="191" t="s">
        <v>329</v>
      </c>
      <c r="L20" s="262" t="s">
        <v>386</v>
      </c>
      <c r="M20" s="16" t="s">
        <v>386</v>
      </c>
      <c r="Q20" s="16" t="s">
        <v>330</v>
      </c>
      <c r="AE20" s="52"/>
      <c r="AF20" s="52"/>
    </row>
    <row r="21" spans="1:58" x14ac:dyDescent="0.2">
      <c r="A21" s="3">
        <v>38869</v>
      </c>
      <c r="C21" s="52">
        <f t="shared" si="5"/>
        <v>66425.721138816312</v>
      </c>
      <c r="D21" s="52"/>
      <c r="E21" s="48">
        <f t="shared" si="6"/>
        <v>61316.050281984295</v>
      </c>
      <c r="I21" s="192">
        <v>2005</v>
      </c>
      <c r="J21" s="193"/>
      <c r="K21" s="194"/>
      <c r="L21" s="78"/>
      <c r="O21" s="79"/>
      <c r="P21" s="80" t="s">
        <v>332</v>
      </c>
      <c r="Q21" s="169"/>
      <c r="R21" s="169"/>
      <c r="S21" s="169"/>
      <c r="T21" s="166"/>
      <c r="V21" s="83" t="s">
        <v>151</v>
      </c>
      <c r="Y21" s="83" t="s">
        <v>372</v>
      </c>
      <c r="AB21" s="83" t="s">
        <v>373</v>
      </c>
      <c r="AE21" s="52"/>
      <c r="AF21" s="52"/>
    </row>
    <row r="22" spans="1:58" x14ac:dyDescent="0.2">
      <c r="A22" s="3">
        <v>38899</v>
      </c>
      <c r="C22" s="52">
        <f t="shared" si="5"/>
        <v>66425.721138816312</v>
      </c>
      <c r="D22" s="52"/>
      <c r="E22" s="48">
        <f t="shared" si="6"/>
        <v>71535.391995648344</v>
      </c>
      <c r="I22" s="192">
        <v>2006</v>
      </c>
      <c r="J22" s="583">
        <f t="array" ref="J22:J30">TRANSPOSE('[23]Summary - LDC'!$E$44:$M$44)</f>
        <v>890.21387735693588</v>
      </c>
      <c r="K22" s="584">
        <f t="array" ref="K22:K30">TRANSPOSE('[23]Summary - LDC'!$E$24:$M$24)</f>
        <v>797.10865366579583</v>
      </c>
      <c r="L22" s="78"/>
      <c r="M22" s="217">
        <f>K22*1000+L22</f>
        <v>797108.65366579581</v>
      </c>
      <c r="O22" s="78"/>
      <c r="Q22" s="84" t="s">
        <v>333</v>
      </c>
      <c r="R22" s="193"/>
      <c r="S22" s="193"/>
      <c r="T22" s="194"/>
      <c r="V22" s="52">
        <v>3665</v>
      </c>
      <c r="AE22" s="52"/>
      <c r="AF22" s="52"/>
    </row>
    <row r="23" spans="1:58" x14ac:dyDescent="0.2">
      <c r="A23" s="3">
        <v>38930</v>
      </c>
      <c r="C23" s="52">
        <f t="shared" si="5"/>
        <v>66425.721138816312</v>
      </c>
      <c r="D23" s="52"/>
      <c r="E23" s="48">
        <f t="shared" si="6"/>
        <v>81754.733709312393</v>
      </c>
      <c r="I23" s="192">
        <v>2007</v>
      </c>
      <c r="J23" s="583">
        <v>3157.9214358938161</v>
      </c>
      <c r="K23" s="584">
        <v>1393.096129048256</v>
      </c>
      <c r="L23" s="78"/>
      <c r="M23" s="217">
        <f t="shared" ref="M23:M30" si="7">K23*1000+L23</f>
        <v>1393096.129048256</v>
      </c>
      <c r="O23" s="204" t="s">
        <v>331</v>
      </c>
      <c r="P23" s="201">
        <v>2011</v>
      </c>
      <c r="Q23" s="201">
        <v>2012</v>
      </c>
      <c r="R23" s="201">
        <v>2013</v>
      </c>
      <c r="S23" s="201">
        <v>2014</v>
      </c>
      <c r="T23" s="205" t="s">
        <v>9</v>
      </c>
      <c r="V23" s="52">
        <v>1181</v>
      </c>
    </row>
    <row r="24" spans="1:58" x14ac:dyDescent="0.2">
      <c r="A24" s="3">
        <v>38961</v>
      </c>
      <c r="C24" s="52">
        <f t="shared" si="5"/>
        <v>66425.721138816312</v>
      </c>
      <c r="D24" s="52"/>
      <c r="E24" s="48">
        <f t="shared" si="6"/>
        <v>91974.075422976442</v>
      </c>
      <c r="I24" s="192">
        <v>2008</v>
      </c>
      <c r="J24" s="583">
        <v>2794.9402551867802</v>
      </c>
      <c r="K24" s="584">
        <v>1720.4784509816684</v>
      </c>
      <c r="L24" s="78"/>
      <c r="M24" s="217">
        <f t="shared" si="7"/>
        <v>1720478.4509816684</v>
      </c>
      <c r="O24" s="206">
        <v>2011</v>
      </c>
      <c r="P24" s="213">
        <v>1.1599999999999999</v>
      </c>
      <c r="Q24" s="213">
        <v>1.1299999999999999</v>
      </c>
      <c r="R24" s="213">
        <v>1.1299999999999999</v>
      </c>
      <c r="S24" s="213">
        <v>1.1200000000000001</v>
      </c>
      <c r="T24" s="214">
        <f>SUM(P24:S24)</f>
        <v>4.54</v>
      </c>
      <c r="V24" s="35">
        <v>46608</v>
      </c>
      <c r="W24" s="52">
        <v>271600</v>
      </c>
      <c r="X24" s="52">
        <v>1339</v>
      </c>
      <c r="Y24" s="35">
        <f>W24-X24</f>
        <v>270261</v>
      </c>
      <c r="Z24" s="52">
        <v>14053</v>
      </c>
      <c r="AA24" s="52">
        <v>14053</v>
      </c>
      <c r="AB24" s="52">
        <f>Z24-AA24</f>
        <v>0</v>
      </c>
    </row>
    <row r="25" spans="1:58" x14ac:dyDescent="0.2">
      <c r="A25" s="3">
        <v>38991</v>
      </c>
      <c r="C25" s="52">
        <f t="shared" si="5"/>
        <v>66425.721138816312</v>
      </c>
      <c r="D25" s="52"/>
      <c r="E25" s="48">
        <f t="shared" si="6"/>
        <v>102193.41713664049</v>
      </c>
      <c r="I25" s="192">
        <v>2009</v>
      </c>
      <c r="J25" s="583">
        <v>4140.8695265819351</v>
      </c>
      <c r="K25" s="584">
        <v>2687.1272240572853</v>
      </c>
      <c r="L25" s="78"/>
      <c r="M25" s="217">
        <f t="shared" si="7"/>
        <v>2687127.2240572851</v>
      </c>
      <c r="O25" s="206">
        <v>2012</v>
      </c>
      <c r="P25" s="213"/>
      <c r="Q25" s="213">
        <v>1</v>
      </c>
      <c r="R25" s="213">
        <v>0.9</v>
      </c>
      <c r="S25" s="213">
        <v>0.9</v>
      </c>
      <c r="T25" s="214">
        <f>SUM(P25:S25)</f>
        <v>2.8</v>
      </c>
      <c r="V25" s="35">
        <v>61429</v>
      </c>
      <c r="W25" s="52">
        <v>278959</v>
      </c>
      <c r="X25" s="52">
        <v>1339</v>
      </c>
      <c r="Y25" s="35">
        <f t="shared" ref="Y25:Y27" si="8">W25-X25</f>
        <v>277620</v>
      </c>
      <c r="Z25" s="52">
        <v>60944</v>
      </c>
      <c r="AA25" s="52">
        <v>60944</v>
      </c>
      <c r="AB25" s="52">
        <f t="shared" ref="AB25:AB27" si="9">Z25-AA25</f>
        <v>0</v>
      </c>
    </row>
    <row r="26" spans="1:58" x14ac:dyDescent="0.2">
      <c r="A26" s="3">
        <v>39022</v>
      </c>
      <c r="C26" s="52">
        <f t="shared" si="5"/>
        <v>66425.721138816312</v>
      </c>
      <c r="D26" s="52"/>
      <c r="E26" s="48">
        <f t="shared" si="6"/>
        <v>112412.75885030454</v>
      </c>
      <c r="I26" s="192">
        <v>2010</v>
      </c>
      <c r="J26" s="583">
        <v>5418.2730163372653</v>
      </c>
      <c r="K26" s="584">
        <v>3367.9990854078465</v>
      </c>
      <c r="L26" s="78"/>
      <c r="M26" s="217">
        <f t="shared" si="7"/>
        <v>3367999.0854078466</v>
      </c>
      <c r="O26" s="206">
        <v>2013</v>
      </c>
      <c r="P26" s="207"/>
      <c r="Q26" s="207"/>
      <c r="R26" s="207">
        <f>Q17-SUM(R24:R25)</f>
        <v>1.4933333333333336</v>
      </c>
      <c r="S26" s="207">
        <v>1.5</v>
      </c>
      <c r="T26" s="208"/>
      <c r="V26" s="35">
        <v>40418</v>
      </c>
      <c r="W26" s="52">
        <v>90107</v>
      </c>
      <c r="X26" s="52">
        <v>1339</v>
      </c>
      <c r="Y26" s="35">
        <f t="shared" si="8"/>
        <v>88768</v>
      </c>
      <c r="Z26" s="52">
        <v>60993</v>
      </c>
      <c r="AA26" s="52">
        <v>60993</v>
      </c>
      <c r="AB26" s="52">
        <f t="shared" si="9"/>
        <v>0</v>
      </c>
      <c r="BF26" t="s">
        <v>101</v>
      </c>
    </row>
    <row r="27" spans="1:58" x14ac:dyDescent="0.2">
      <c r="A27" s="3">
        <v>39052</v>
      </c>
      <c r="C27" s="52">
        <f t="shared" si="5"/>
        <v>66425.721138816312</v>
      </c>
      <c r="D27" s="52"/>
      <c r="E27" s="48">
        <f t="shared" si="6"/>
        <v>122632.10056396859</v>
      </c>
      <c r="F27" s="4" t="s">
        <v>80</v>
      </c>
      <c r="I27" s="192">
        <v>2011</v>
      </c>
      <c r="J27" s="583">
        <v>5120.5852662061834</v>
      </c>
      <c r="K27" s="584">
        <v>3065.6428522753868</v>
      </c>
      <c r="L27" s="260">
        <f>O16</f>
        <v>1160000</v>
      </c>
      <c r="M27" s="217">
        <f t="shared" si="7"/>
        <v>4225642.8522753865</v>
      </c>
      <c r="O27" s="206">
        <v>2014</v>
      </c>
      <c r="P27" s="207"/>
      <c r="Q27" s="207"/>
      <c r="R27" s="207"/>
      <c r="S27" s="207">
        <f>R17-SUM(S24:S26)</f>
        <v>1.4866666666666668</v>
      </c>
      <c r="T27" s="208"/>
      <c r="V27" s="35">
        <v>69642</v>
      </c>
      <c r="W27" s="52">
        <v>56204</v>
      </c>
      <c r="X27" s="52">
        <v>1339</v>
      </c>
      <c r="Y27" s="35">
        <f t="shared" si="8"/>
        <v>54865</v>
      </c>
      <c r="Z27" s="52">
        <v>60993</v>
      </c>
      <c r="AA27" s="52">
        <v>60993</v>
      </c>
      <c r="AB27" s="52">
        <f t="shared" si="9"/>
        <v>0</v>
      </c>
    </row>
    <row r="28" spans="1:58" x14ac:dyDescent="0.2">
      <c r="A28" s="3">
        <v>39083</v>
      </c>
      <c r="C28" s="52">
        <f t="shared" si="5"/>
        <v>116091.34408735466</v>
      </c>
      <c r="D28" s="52"/>
      <c r="E28" s="48">
        <f t="shared" ref="E28:E39" si="10">E27+$G$4</f>
        <v>121625.83033679721</v>
      </c>
      <c r="F28" s="48">
        <f>SUM(E16:E27)</f>
        <v>797108.65366579592</v>
      </c>
      <c r="G28" s="48">
        <f>E27*12</f>
        <v>1471585.2067676231</v>
      </c>
      <c r="I28" s="192">
        <v>2012</v>
      </c>
      <c r="J28" s="583">
        <v>4972.7733822379196</v>
      </c>
      <c r="K28" s="584">
        <v>3002.7807271086172</v>
      </c>
      <c r="L28" s="260">
        <f>P16</f>
        <v>2130000</v>
      </c>
      <c r="M28" s="217">
        <f t="shared" si="7"/>
        <v>5132780.7271086173</v>
      </c>
      <c r="O28" s="209" t="s">
        <v>16</v>
      </c>
      <c r="P28" s="210">
        <f>SUM(P24:P27)</f>
        <v>1.1599999999999999</v>
      </c>
      <c r="Q28" s="210">
        <f t="shared" ref="Q28:T28" si="11">SUM(Q24:Q27)</f>
        <v>2.13</v>
      </c>
      <c r="R28" s="210">
        <f t="shared" si="11"/>
        <v>3.5233333333333334</v>
      </c>
      <c r="S28" s="210">
        <f t="shared" si="11"/>
        <v>5.0066666666666668</v>
      </c>
      <c r="T28" s="211">
        <f t="shared" si="11"/>
        <v>7.34</v>
      </c>
    </row>
    <row r="29" spans="1:58" x14ac:dyDescent="0.2">
      <c r="A29" s="3">
        <v>39114</v>
      </c>
      <c r="C29" s="52">
        <f t="shared" si="5"/>
        <v>116091.34408735466</v>
      </c>
      <c r="D29" s="52"/>
      <c r="E29" s="48">
        <f t="shared" si="10"/>
        <v>120619.56010962583</v>
      </c>
      <c r="I29" s="192">
        <v>2013</v>
      </c>
      <c r="J29" s="583">
        <v>4924.7101766429496</v>
      </c>
      <c r="K29" s="584">
        <v>2978.4133797978329</v>
      </c>
      <c r="L29" s="260">
        <f>Q16-Q14</f>
        <v>2030000</v>
      </c>
      <c r="M29" s="217">
        <f t="shared" si="7"/>
        <v>5008413.379797833</v>
      </c>
    </row>
    <row r="30" spans="1:58" x14ac:dyDescent="0.2">
      <c r="A30" s="3">
        <v>39142</v>
      </c>
      <c r="C30" s="52">
        <f t="shared" si="5"/>
        <v>116091.34408735466</v>
      </c>
      <c r="D30" s="52"/>
      <c r="E30" s="48">
        <f t="shared" si="10"/>
        <v>119613.28988245445</v>
      </c>
      <c r="I30" s="192">
        <v>2014</v>
      </c>
      <c r="J30" s="583">
        <v>4595.0104786552993</v>
      </c>
      <c r="K30" s="584">
        <v>2807.7184816886684</v>
      </c>
      <c r="L30" s="260">
        <f>R16-R14-R15</f>
        <v>2020000</v>
      </c>
      <c r="M30" s="217">
        <f t="shared" si="7"/>
        <v>4827718.481688669</v>
      </c>
    </row>
    <row r="31" spans="1:58" x14ac:dyDescent="0.2">
      <c r="A31" s="3">
        <v>39173</v>
      </c>
      <c r="C31" s="52">
        <f t="shared" si="5"/>
        <v>116091.34408735466</v>
      </c>
      <c r="D31" s="52"/>
      <c r="E31" s="48">
        <f t="shared" si="10"/>
        <v>118607.01965528307</v>
      </c>
      <c r="I31" s="81" t="s">
        <v>9</v>
      </c>
      <c r="J31" s="195">
        <f>SUM(J22:J30)</f>
        <v>36015.297415099085</v>
      </c>
      <c r="K31" s="196">
        <f>SUM(K22:K30)</f>
        <v>21820.364984031359</v>
      </c>
      <c r="L31" s="261">
        <f>SUM(L22:L30)</f>
        <v>7340000</v>
      </c>
      <c r="M31" s="217">
        <f>K31*1000+L31</f>
        <v>29160364.984031361</v>
      </c>
      <c r="Q31" s="16" t="s">
        <v>414</v>
      </c>
      <c r="X31" s="16" t="s">
        <v>415</v>
      </c>
    </row>
    <row r="32" spans="1:58" x14ac:dyDescent="0.2">
      <c r="A32" s="3">
        <v>39203</v>
      </c>
      <c r="C32" s="52">
        <f t="shared" si="5"/>
        <v>116091.34408735466</v>
      </c>
      <c r="D32" s="52"/>
      <c r="E32" s="48">
        <f t="shared" si="10"/>
        <v>117600.7494281117</v>
      </c>
      <c r="I32" s="72" t="s">
        <v>472</v>
      </c>
      <c r="J32" s="72" t="s">
        <v>473</v>
      </c>
      <c r="K32" s="72" t="s">
        <v>474</v>
      </c>
      <c r="M32" s="263">
        <f>K31*1000+L31</f>
        <v>29160364.984031361</v>
      </c>
      <c r="O32" s="168"/>
      <c r="P32" s="167"/>
      <c r="Q32" s="83" t="s">
        <v>151</v>
      </c>
      <c r="R32" s="83" t="s">
        <v>372</v>
      </c>
      <c r="S32" s="83" t="s">
        <v>373</v>
      </c>
      <c r="T32" s="82" t="s">
        <v>9</v>
      </c>
      <c r="V32" s="168"/>
      <c r="W32" s="167"/>
      <c r="X32" s="278" t="s">
        <v>151</v>
      </c>
      <c r="Y32" s="279" t="s">
        <v>372</v>
      </c>
      <c r="Z32" s="280" t="s">
        <v>373</v>
      </c>
      <c r="AA32" s="281" t="s">
        <v>9</v>
      </c>
    </row>
    <row r="33" spans="1:28" x14ac:dyDescent="0.2">
      <c r="A33" s="3">
        <v>39234</v>
      </c>
      <c r="C33" s="52">
        <f t="shared" si="5"/>
        <v>116091.34408735466</v>
      </c>
      <c r="D33" s="52"/>
      <c r="E33" s="48">
        <f t="shared" si="10"/>
        <v>116594.47920094032</v>
      </c>
      <c r="H33" s="733" t="s">
        <v>475</v>
      </c>
      <c r="I33" s="734"/>
      <c r="J33" s="735">
        <f>SUM(B3:B7)</f>
        <v>16402218.111356732</v>
      </c>
      <c r="K33" s="735">
        <f>SUM(C3:C7)</f>
        <v>9965809.543160852</v>
      </c>
      <c r="L33" s="72" t="s">
        <v>476</v>
      </c>
      <c r="M33" s="68">
        <f>M31-M32</f>
        <v>0</v>
      </c>
      <c r="O33" s="61">
        <v>2014</v>
      </c>
      <c r="P33" s="67" t="s">
        <v>416</v>
      </c>
      <c r="Q33" s="464">
        <f>R12*[24]Orangeville!$F$254/[24]Orangeville!$F$294</f>
        <v>296288.95908018557</v>
      </c>
      <c r="R33" s="464">
        <f>R12*[24]Orangeville!$F$272/[24]Orangeville!$F$294</f>
        <v>411171.60110911017</v>
      </c>
      <c r="S33" s="465">
        <f>R12*([24]Orangeville!$F$290+[24]Orangeville!$F$291)/[24]Orangeville!$F$294</f>
        <v>412539.43981070432</v>
      </c>
      <c r="T33" s="464">
        <f>SUM(Q33:S33)</f>
        <v>1120000</v>
      </c>
      <c r="V33" s="61"/>
      <c r="W33" s="72" t="s">
        <v>426</v>
      </c>
      <c r="X33">
        <v>92</v>
      </c>
      <c r="Y33">
        <f>65+22+72</f>
        <v>159</v>
      </c>
      <c r="Z33">
        <v>8</v>
      </c>
      <c r="AA33" s="272">
        <f>SUM(X33:Z33)</f>
        <v>259</v>
      </c>
    </row>
    <row r="34" spans="1:28" x14ac:dyDescent="0.2">
      <c r="A34" s="3">
        <v>39264</v>
      </c>
      <c r="C34" s="52">
        <f t="shared" si="5"/>
        <v>116091.34408735466</v>
      </c>
      <c r="D34" s="52"/>
      <c r="E34" s="48">
        <f t="shared" si="10"/>
        <v>115588.20897376894</v>
      </c>
      <c r="O34" s="67">
        <v>2014</v>
      </c>
      <c r="P34" s="67" t="s">
        <v>417</v>
      </c>
      <c r="Q34" s="464">
        <f>V24+V25+V26+V27+V22+V23</f>
        <v>222943</v>
      </c>
      <c r="R34" s="464">
        <f>W24+W25+W26+W27-X24-X25-X26-X27-4457</f>
        <v>687057</v>
      </c>
      <c r="S34" s="464">
        <v>0</v>
      </c>
      <c r="T34" s="464">
        <f>SUM(Q34:S34)</f>
        <v>910000</v>
      </c>
      <c r="U34" s="257"/>
      <c r="V34" s="61"/>
      <c r="W34" s="72" t="s">
        <v>427</v>
      </c>
      <c r="X34" s="269">
        <f>86</f>
        <v>86</v>
      </c>
      <c r="Y34" s="270">
        <f>80+107</f>
        <v>187</v>
      </c>
      <c r="Z34" s="271"/>
      <c r="AA34" s="272">
        <f>SUM(X34:Z34)</f>
        <v>273</v>
      </c>
    </row>
    <row r="35" spans="1:28" x14ac:dyDescent="0.2">
      <c r="A35" s="3">
        <v>39295</v>
      </c>
      <c r="C35" s="52">
        <f t="shared" si="5"/>
        <v>116091.34408735466</v>
      </c>
      <c r="D35" s="52"/>
      <c r="E35" s="48">
        <f t="shared" si="10"/>
        <v>114581.93874659756</v>
      </c>
      <c r="N35" s="467" t="s">
        <v>442</v>
      </c>
      <c r="O35" s="61">
        <v>2013</v>
      </c>
      <c r="P35" s="67" t="s">
        <v>374</v>
      </c>
      <c r="Q35" s="464">
        <f>[25]Orangeville!$N$254/2</f>
        <v>160310.66317133742</v>
      </c>
      <c r="R35" s="464">
        <f>[24]Orangeville!$N$272/2</f>
        <v>712432.01496205339</v>
      </c>
      <c r="S35" s="465">
        <f>[24]Orangeville!$N$290/2</f>
        <v>652343.41536575346</v>
      </c>
      <c r="T35" s="233">
        <f>SUM(Q35:S35)</f>
        <v>1525086.0934991443</v>
      </c>
      <c r="V35" s="238">
        <v>2013</v>
      </c>
      <c r="W35" s="237" t="s">
        <v>374</v>
      </c>
      <c r="X35" s="269">
        <f>[24]Orangeville!$M$254/2</f>
        <v>49.52501415567005</v>
      </c>
      <c r="Y35" s="270">
        <f>[24]Orangeville!$M$272/2</f>
        <v>286.15320591434039</v>
      </c>
      <c r="Z35" s="271">
        <f>[24]Orangeville!$M$290/2</f>
        <v>67.792914999999994</v>
      </c>
      <c r="AA35" s="272">
        <f t="shared" ref="AA35:AA38" si="12">SUM(X35:Z35)</f>
        <v>403.4711350700104</v>
      </c>
    </row>
    <row r="36" spans="1:28" x14ac:dyDescent="0.2">
      <c r="A36" s="3">
        <v>39326</v>
      </c>
      <c r="C36" s="52">
        <f t="shared" si="5"/>
        <v>116091.34408735466</v>
      </c>
      <c r="D36" s="52"/>
      <c r="E36" s="48">
        <f t="shared" si="10"/>
        <v>113575.66851942618</v>
      </c>
      <c r="N36" s="467" t="s">
        <v>443</v>
      </c>
      <c r="O36" s="67" t="s">
        <v>441</v>
      </c>
      <c r="P36" s="67" t="s">
        <v>374</v>
      </c>
      <c r="Q36" s="464">
        <f>Q35</f>
        <v>160310.66317133742</v>
      </c>
      <c r="R36" s="464">
        <f t="shared" ref="R36:S36" si="13">R35</f>
        <v>712432.01496205339</v>
      </c>
      <c r="S36" s="464">
        <f t="shared" si="13"/>
        <v>652343.41536575346</v>
      </c>
      <c r="T36" s="464">
        <f>SUM(Q36:S36)</f>
        <v>1525086.0934991443</v>
      </c>
      <c r="V36" s="165">
        <v>2014</v>
      </c>
      <c r="W36" s="236" t="s">
        <v>374</v>
      </c>
      <c r="X36" s="273">
        <f>X35</f>
        <v>49.52501415567005</v>
      </c>
      <c r="Y36" s="242">
        <f t="shared" ref="Y36:Z36" si="14">Y35</f>
        <v>286.15320591434039</v>
      </c>
      <c r="Z36" s="274">
        <f t="shared" si="14"/>
        <v>67.792914999999994</v>
      </c>
      <c r="AA36" s="275">
        <f t="shared" si="12"/>
        <v>403.4711350700104</v>
      </c>
    </row>
    <row r="37" spans="1:28" x14ac:dyDescent="0.2">
      <c r="A37" s="3">
        <v>39356</v>
      </c>
      <c r="C37" s="52">
        <f t="shared" si="5"/>
        <v>116091.34408735466</v>
      </c>
      <c r="D37" s="52"/>
      <c r="E37" s="48">
        <f t="shared" si="10"/>
        <v>112569.3982922548</v>
      </c>
      <c r="N37" s="467" t="s">
        <v>444</v>
      </c>
      <c r="O37" s="61">
        <v>2014</v>
      </c>
      <c r="P37" s="67" t="s">
        <v>375</v>
      </c>
      <c r="Q37" s="464">
        <f>[25]Orangeville!$R$254</f>
        <v>167024.8932672363</v>
      </c>
      <c r="R37" s="464">
        <f>[25]Orangeville!$R$272</f>
        <v>679952.27910220774</v>
      </c>
      <c r="S37" s="465">
        <f>[25]Orangeville!$R$290</f>
        <v>652351.01605068485</v>
      </c>
      <c r="T37" s="464">
        <f>SUM(Q37:S37)</f>
        <v>1499328.188420129</v>
      </c>
      <c r="V37" s="165"/>
      <c r="W37" s="240" t="s">
        <v>375</v>
      </c>
      <c r="X37" s="276">
        <f>[24]Orangeville!$Q$254</f>
        <v>115.77264354825456</v>
      </c>
      <c r="Y37" s="277">
        <f>[24]Orangeville!$Q$272</f>
        <v>590.27082403657425</v>
      </c>
      <c r="Z37" s="210">
        <f>[24]Orangeville!$Q$290</f>
        <v>142.39221735592821</v>
      </c>
      <c r="AA37" s="211">
        <f t="shared" si="12"/>
        <v>848.43568494075703</v>
      </c>
    </row>
    <row r="38" spans="1:28" x14ac:dyDescent="0.2">
      <c r="A38" s="3">
        <v>39387</v>
      </c>
      <c r="C38" s="52">
        <f t="shared" si="5"/>
        <v>116091.34408735466</v>
      </c>
      <c r="D38" s="52"/>
      <c r="E38" s="48">
        <f t="shared" si="10"/>
        <v>111563.12806508342</v>
      </c>
      <c r="F38" s="4" t="s">
        <v>80</v>
      </c>
      <c r="O38" s="61"/>
      <c r="P38" s="466" t="s">
        <v>9</v>
      </c>
      <c r="Q38" s="464">
        <f>SUM(Q36:Q37)</f>
        <v>327335.55643857375</v>
      </c>
      <c r="R38" s="464">
        <f>SUM(R36:R37)</f>
        <v>1392384.294064261</v>
      </c>
      <c r="S38" s="464">
        <f t="shared" ref="S38:T38" si="15">SUM(S36:S37)</f>
        <v>1304694.4314164384</v>
      </c>
      <c r="T38" s="464">
        <f t="shared" si="15"/>
        <v>3024414.2819192735</v>
      </c>
      <c r="V38" s="238"/>
      <c r="W38" s="239" t="s">
        <v>9</v>
      </c>
      <c r="X38" s="269">
        <f>SUM(X36:X37)</f>
        <v>165.29765770392461</v>
      </c>
      <c r="Y38" s="270">
        <f t="shared" ref="Y38:Z38" si="16">SUM(Y36:Y37)</f>
        <v>876.4240299509147</v>
      </c>
      <c r="Z38" s="271">
        <f t="shared" si="16"/>
        <v>210.1851323559282</v>
      </c>
      <c r="AA38" s="272">
        <f t="shared" si="12"/>
        <v>1251.9068200107677</v>
      </c>
    </row>
    <row r="39" spans="1:28" x14ac:dyDescent="0.2">
      <c r="A39" s="3">
        <v>39417</v>
      </c>
      <c r="C39" s="52">
        <f t="shared" si="5"/>
        <v>116091.34408735466</v>
      </c>
      <c r="D39" s="52"/>
      <c r="E39" s="48">
        <f t="shared" si="10"/>
        <v>110556.85783791204</v>
      </c>
      <c r="F39" s="48">
        <f>SUM(E28:E39)</f>
        <v>1393096.1290482557</v>
      </c>
      <c r="G39" s="48">
        <f>E39*12</f>
        <v>1326682.2940549445</v>
      </c>
      <c r="O39" s="169"/>
      <c r="Q39" s="5">
        <f>D12</f>
        <v>1.6505359759772997</v>
      </c>
      <c r="R39" s="5">
        <f>Q39</f>
        <v>1.6505359759772997</v>
      </c>
      <c r="S39" s="5">
        <f>R39</f>
        <v>1.6505359759772997</v>
      </c>
      <c r="T39" s="5">
        <f>S39</f>
        <v>1.6505359759772997</v>
      </c>
    </row>
    <row r="40" spans="1:28" x14ac:dyDescent="0.2">
      <c r="A40" s="3">
        <v>39448</v>
      </c>
      <c r="C40" s="52">
        <f t="shared" si="5"/>
        <v>143373.20424847238</v>
      </c>
      <c r="D40" s="52"/>
      <c r="E40" s="48">
        <f t="shared" ref="E40:E51" si="17">E39+$G$5</f>
        <v>115605.52651645978</v>
      </c>
      <c r="O40" s="72" t="s">
        <v>378</v>
      </c>
      <c r="Q40" s="52">
        <f>SUM(Q35:Q37)</f>
        <v>487646.21960991115</v>
      </c>
      <c r="R40" s="52">
        <f t="shared" ref="R40:S40" si="18">SUM(R35:R37)</f>
        <v>2104816.3090263144</v>
      </c>
      <c r="S40" s="52">
        <f t="shared" si="18"/>
        <v>1957037.8467821917</v>
      </c>
      <c r="T40" s="576">
        <f>SUM(Q40:S40)</f>
        <v>4549500.3754184172</v>
      </c>
    </row>
    <row r="41" spans="1:28" x14ac:dyDescent="0.2">
      <c r="A41" s="3">
        <v>39479</v>
      </c>
      <c r="C41" s="52">
        <f t="shared" si="5"/>
        <v>143373.20424847238</v>
      </c>
      <c r="D41" s="52"/>
      <c r="E41" s="48">
        <f t="shared" si="17"/>
        <v>120654.19519500752</v>
      </c>
      <c r="O41" s="16" t="str">
        <f>'[23]Summary - LDC'!A16</f>
        <v>Net Energy Savings (MWh)</v>
      </c>
      <c r="Q41" s="575">
        <f>Q40/T40</f>
        <v>0.10718676324212027</v>
      </c>
      <c r="R41" s="575">
        <f>R40/T40</f>
        <v>0.46264779323877619</v>
      </c>
      <c r="S41" s="575">
        <f>S40/T40</f>
        <v>0.43016544351910357</v>
      </c>
    </row>
    <row r="42" spans="1:28" x14ac:dyDescent="0.2">
      <c r="A42" s="3">
        <v>39508</v>
      </c>
      <c r="C42" s="52">
        <f t="shared" si="5"/>
        <v>143373.20424847238</v>
      </c>
      <c r="D42" s="52"/>
      <c r="E42" s="48">
        <f t="shared" si="17"/>
        <v>125702.86387355525</v>
      </c>
      <c r="O42" s="241" t="str">
        <f>'[23]Summary - LDC'!A17</f>
        <v>#</v>
      </c>
      <c r="P42" s="242" t="str">
        <f>'[23]Summary - LDC'!B17</f>
        <v>Program Year</v>
      </c>
      <c r="Q42" s="242" t="str">
        <f>'[23]Summary - LDC'!C17</f>
        <v>Results Status</v>
      </c>
      <c r="R42" s="242"/>
      <c r="S42" s="242">
        <f>'[23]Summary - LDC'!E17</f>
        <v>2006</v>
      </c>
      <c r="T42" s="242">
        <f>'[23]Summary - LDC'!F17</f>
        <v>2007</v>
      </c>
      <c r="U42" s="242">
        <f>'[23]Summary - LDC'!G17</f>
        <v>2008</v>
      </c>
      <c r="V42" s="242">
        <f>'[23]Summary - LDC'!H17</f>
        <v>2009</v>
      </c>
      <c r="W42" s="242">
        <f>'[23]Summary - LDC'!I17</f>
        <v>2010</v>
      </c>
      <c r="X42" s="242">
        <f>'[23]Summary - LDC'!J17</f>
        <v>2011</v>
      </c>
      <c r="Y42" s="242">
        <f>'[23]Summary - LDC'!K17</f>
        <v>2012</v>
      </c>
      <c r="Z42" s="242">
        <f>'[23]Summary - LDC'!L17</f>
        <v>2013</v>
      </c>
      <c r="AA42" s="243">
        <f>'[23]Summary - LDC'!M17</f>
        <v>2014</v>
      </c>
      <c r="AB42" s="72" t="s">
        <v>9</v>
      </c>
    </row>
    <row r="43" spans="1:28" x14ac:dyDescent="0.2">
      <c r="A43" s="3">
        <v>39539</v>
      </c>
      <c r="C43" s="52">
        <f t="shared" si="5"/>
        <v>143373.20424847238</v>
      </c>
      <c r="D43" s="52"/>
      <c r="E43" s="48">
        <f t="shared" si="17"/>
        <v>130751.53255210299</v>
      </c>
      <c r="O43" s="244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6"/>
    </row>
    <row r="44" spans="1:28" x14ac:dyDescent="0.2">
      <c r="A44" s="3">
        <v>39569</v>
      </c>
      <c r="C44" s="52">
        <f t="shared" si="5"/>
        <v>143373.20424847238</v>
      </c>
      <c r="D44" s="52"/>
      <c r="E44" s="48">
        <f t="shared" si="17"/>
        <v>135800.20123065074</v>
      </c>
      <c r="O44" s="244">
        <f>'[23]Summary - LDC'!A19</f>
        <v>1</v>
      </c>
      <c r="P44" s="245" t="str">
        <f>'[23]Summary - LDC'!B19</f>
        <v>2006 Programs</v>
      </c>
      <c r="Q44" s="245" t="str">
        <f>'[23]Summary - LDC'!C19</f>
        <v>Final</v>
      </c>
      <c r="R44" s="245"/>
      <c r="S44" s="249">
        <f>'[23]Summary - LDC'!E19</f>
        <v>797.10865366579583</v>
      </c>
      <c r="T44" s="253">
        <f>'[23]Summary - LDC'!F19</f>
        <v>797.10865366579583</v>
      </c>
      <c r="U44" s="253">
        <f>'[23]Summary - LDC'!G19</f>
        <v>797.10865366579583</v>
      </c>
      <c r="V44" s="253">
        <f>'[23]Summary - LDC'!H19</f>
        <v>797.10865366579583</v>
      </c>
      <c r="W44" s="253">
        <f>'[23]Summary - LDC'!I19</f>
        <v>138.44012312312751</v>
      </c>
      <c r="X44" s="253">
        <f>'[23]Summary - LDC'!J19</f>
        <v>138.44012312312751</v>
      </c>
      <c r="Y44" s="253">
        <f>'[23]Summary - LDC'!K19</f>
        <v>126.6350215243872</v>
      </c>
      <c r="Z44" s="253">
        <f>'[23]Summary - LDC'!L19</f>
        <v>126.6350215243872</v>
      </c>
      <c r="AA44" s="254">
        <f>'[23]Summary - LDC'!M19</f>
        <v>118.99311389435412</v>
      </c>
      <c r="AB44" s="255">
        <f>SUM(S44:AA44)</f>
        <v>3837.5780178525679</v>
      </c>
    </row>
    <row r="45" spans="1:28" x14ac:dyDescent="0.2">
      <c r="A45" s="3">
        <v>39600</v>
      </c>
      <c r="C45" s="52">
        <f t="shared" si="5"/>
        <v>143373.20424847238</v>
      </c>
      <c r="D45" s="52"/>
      <c r="E45" s="48">
        <f t="shared" si="17"/>
        <v>140848.86990919849</v>
      </c>
      <c r="M45" s="202"/>
      <c r="O45" s="244">
        <f>'[23]Summary - LDC'!A20</f>
        <v>2</v>
      </c>
      <c r="P45" s="245" t="str">
        <f>'[23]Summary - LDC'!B20</f>
        <v>2007 Programs</v>
      </c>
      <c r="Q45" s="245" t="str">
        <f>'[23]Summary - LDC'!C20</f>
        <v>Final</v>
      </c>
      <c r="R45" s="245"/>
      <c r="S45" s="245">
        <f>'[23]Summary - LDC'!E20</f>
        <v>0</v>
      </c>
      <c r="T45" s="253">
        <f>'[23]Summary - LDC'!F20</f>
        <v>595.98747538246005</v>
      </c>
      <c r="U45" s="253">
        <f>'[23]Summary - LDC'!G20</f>
        <v>428.53091978950545</v>
      </c>
      <c r="V45" s="253">
        <f>'[23]Summary - LDC'!H20</f>
        <v>407.85482135501559</v>
      </c>
      <c r="W45" s="253">
        <f>'[23]Summary - LDC'!I20</f>
        <v>407.85482135501559</v>
      </c>
      <c r="X45" s="253">
        <f>'[23]Summary - LDC'!J20</f>
        <v>407.85482135501559</v>
      </c>
      <c r="Y45" s="253">
        <f>'[23]Summary - LDC'!K20</f>
        <v>396.46488063372146</v>
      </c>
      <c r="Z45" s="253">
        <f>'[23]Summary - LDC'!L20</f>
        <v>396.46488063372146</v>
      </c>
      <c r="AA45" s="254">
        <f>'[23]Summary - LDC'!M20</f>
        <v>396.46488063372146</v>
      </c>
      <c r="AB45" s="255">
        <f t="shared" ref="AB45:AB48" si="19">SUM(S45:AA45)</f>
        <v>3437.4775011381766</v>
      </c>
    </row>
    <row r="46" spans="1:28" x14ac:dyDescent="0.2">
      <c r="A46" s="3">
        <v>39630</v>
      </c>
      <c r="C46" s="52">
        <f t="shared" si="5"/>
        <v>143373.20424847238</v>
      </c>
      <c r="D46" s="52"/>
      <c r="E46" s="48">
        <f t="shared" si="17"/>
        <v>145897.53858774624</v>
      </c>
      <c r="N46" s="202"/>
      <c r="O46" s="244">
        <f>'[23]Summary - LDC'!A21</f>
        <v>3</v>
      </c>
      <c r="P46" s="245" t="str">
        <f>'[23]Summary - LDC'!B21</f>
        <v>2008 Programs</v>
      </c>
      <c r="Q46" s="245" t="str">
        <f>'[23]Summary - LDC'!C21</f>
        <v>Final</v>
      </c>
      <c r="R46" s="245"/>
      <c r="S46" s="245">
        <f>'[23]Summary - LDC'!E21</f>
        <v>0</v>
      </c>
      <c r="T46" s="253">
        <f>'[23]Summary - LDC'!F21</f>
        <v>0</v>
      </c>
      <c r="U46" s="253">
        <f>'[23]Summary - LDC'!G21</f>
        <v>494.83887752636724</v>
      </c>
      <c r="V46" s="253">
        <f>'[23]Summary - LDC'!H21</f>
        <v>432.47842443237806</v>
      </c>
      <c r="W46" s="253">
        <f>'[23]Summary - LDC'!I21</f>
        <v>432.47842443237806</v>
      </c>
      <c r="X46" s="253">
        <f>'[23]Summary - LDC'!J21</f>
        <v>432.47842443237806</v>
      </c>
      <c r="Y46" s="253">
        <f>'[23]Summary - LDC'!K21</f>
        <v>394.77755236369472</v>
      </c>
      <c r="Z46" s="253">
        <f>'[23]Summary - LDC'!L21</f>
        <v>394.67117236369467</v>
      </c>
      <c r="AA46" s="254">
        <f>'[23]Summary - LDC'!M21</f>
        <v>355.52305296794833</v>
      </c>
      <c r="AB46" s="255">
        <f t="shared" si="19"/>
        <v>2937.2459285188388</v>
      </c>
    </row>
    <row r="47" spans="1:28" x14ac:dyDescent="0.2">
      <c r="A47" s="3">
        <v>39661</v>
      </c>
      <c r="C47" s="52">
        <f t="shared" si="5"/>
        <v>143373.20424847238</v>
      </c>
      <c r="D47" s="52"/>
      <c r="E47" s="48">
        <f t="shared" si="17"/>
        <v>150946.20726629399</v>
      </c>
      <c r="I47" s="110"/>
      <c r="J47" s="217"/>
      <c r="K47" s="202"/>
      <c r="O47" s="244">
        <f>'[23]Summary - LDC'!A22</f>
        <v>4</v>
      </c>
      <c r="P47" s="245" t="str">
        <f>'[23]Summary - LDC'!B22</f>
        <v>2009 Programs</v>
      </c>
      <c r="Q47" s="245" t="str">
        <f>'[23]Summary - LDC'!C22</f>
        <v>Final</v>
      </c>
      <c r="R47" s="245"/>
      <c r="S47" s="245">
        <f>'[23]Summary - LDC'!E22</f>
        <v>0</v>
      </c>
      <c r="T47" s="253">
        <f>'[23]Summary - LDC'!F22</f>
        <v>0</v>
      </c>
      <c r="U47" s="253">
        <f>'[23]Summary - LDC'!G22</f>
        <v>0</v>
      </c>
      <c r="V47" s="253">
        <f>'[23]Summary - LDC'!H22</f>
        <v>1049.6853246040957</v>
      </c>
      <c r="W47" s="253">
        <f>'[23]Summary - LDC'!I22</f>
        <v>878.18280016383676</v>
      </c>
      <c r="X47" s="253">
        <f>'[23]Summary - LDC'!J22</f>
        <v>878.18280016383676</v>
      </c>
      <c r="Y47" s="253">
        <f>'[23]Summary - LDC'!K22</f>
        <v>877.34951898279485</v>
      </c>
      <c r="Z47" s="253">
        <f>'[23]Summary - LDC'!L22</f>
        <v>853.62593328032369</v>
      </c>
      <c r="AA47" s="254">
        <f>'[23]Summary - LDC'!M22</f>
        <v>757.0914792959361</v>
      </c>
      <c r="AB47" s="255">
        <f t="shared" si="19"/>
        <v>5294.1178564908241</v>
      </c>
    </row>
    <row r="48" spans="1:28" x14ac:dyDescent="0.2">
      <c r="A48" s="3">
        <v>39692</v>
      </c>
      <c r="C48" s="52">
        <f t="shared" si="5"/>
        <v>143373.20424847238</v>
      </c>
      <c r="D48" s="52"/>
      <c r="E48" s="48">
        <f t="shared" si="17"/>
        <v>155994.87594484174</v>
      </c>
      <c r="I48" s="110"/>
      <c r="J48" s="217"/>
      <c r="K48" s="202"/>
      <c r="O48" s="244">
        <f>'[23]Summary - LDC'!A23</f>
        <v>5</v>
      </c>
      <c r="P48" s="245" t="str">
        <f>'[23]Summary - LDC'!B23</f>
        <v>2010 Programs</v>
      </c>
      <c r="Q48" s="245" t="str">
        <f>'[23]Summary - LDC'!C23</f>
        <v>Final</v>
      </c>
      <c r="R48" s="245"/>
      <c r="S48" s="245">
        <f>'[23]Summary - LDC'!E23</f>
        <v>0</v>
      </c>
      <c r="T48" s="253">
        <f>'[23]Summary - LDC'!F23</f>
        <v>0</v>
      </c>
      <c r="U48" s="253">
        <f>'[23]Summary - LDC'!G23</f>
        <v>0</v>
      </c>
      <c r="V48" s="253">
        <f>'[23]Summary - LDC'!H23</f>
        <v>0</v>
      </c>
      <c r="W48" s="253">
        <f>'[23]Summary - LDC'!I23</f>
        <v>1511.0429163334884</v>
      </c>
      <c r="X48" s="253">
        <f>'[23]Summary - LDC'!J23</f>
        <v>1208.6866832010287</v>
      </c>
      <c r="Y48" s="253">
        <f>'[23]Summary - LDC'!K23</f>
        <v>1207.5537536040188</v>
      </c>
      <c r="Z48" s="253">
        <f>'[23]Summary - LDC'!L23</f>
        <v>1207.0163719957059</v>
      </c>
      <c r="AA48" s="254">
        <f>'[23]Summary - LDC'!M23</f>
        <v>1179.6459548967086</v>
      </c>
      <c r="AB48" s="255">
        <f t="shared" si="19"/>
        <v>6313.9456800309508</v>
      </c>
    </row>
    <row r="49" spans="1:28" x14ac:dyDescent="0.2">
      <c r="A49" s="3">
        <v>39722</v>
      </c>
      <c r="C49" s="52">
        <f t="shared" si="5"/>
        <v>143373.20424847238</v>
      </c>
      <c r="D49" s="52"/>
      <c r="E49" s="48">
        <f t="shared" si="17"/>
        <v>161043.54462338949</v>
      </c>
      <c r="I49" s="110"/>
      <c r="J49" s="217"/>
      <c r="K49" s="202"/>
      <c r="O49" s="247" t="str">
        <f>'[23]Summary - LDC'!A24</f>
        <v>Total</v>
      </c>
      <c r="P49" s="248"/>
      <c r="Q49" s="248"/>
      <c r="R49" s="248"/>
      <c r="S49" s="251">
        <f>'[23]Summary - LDC'!E24</f>
        <v>797.10865366579583</v>
      </c>
      <c r="T49" s="195">
        <f>'[23]Summary - LDC'!F24</f>
        <v>1393.096129048256</v>
      </c>
      <c r="U49" s="195">
        <f>'[23]Summary - LDC'!G24</f>
        <v>1720.4784509816684</v>
      </c>
      <c r="V49" s="195">
        <f>'[23]Summary - LDC'!H24</f>
        <v>2687.1272240572853</v>
      </c>
      <c r="W49" s="195">
        <f>'[23]Summary - LDC'!I24</f>
        <v>3367.9990854078465</v>
      </c>
      <c r="X49" s="195">
        <f>'[23]Summary - LDC'!J24</f>
        <v>3065.6428522753868</v>
      </c>
      <c r="Y49" s="195">
        <f>'[23]Summary - LDC'!K24</f>
        <v>3002.7807271086172</v>
      </c>
      <c r="Z49" s="195">
        <f>'[23]Summary - LDC'!L24</f>
        <v>2978.4133797978329</v>
      </c>
      <c r="AA49" s="196">
        <f>'[23]Summary - LDC'!M24</f>
        <v>2807.7184816886684</v>
      </c>
      <c r="AB49" s="255">
        <f>SUM(S49:AA49)</f>
        <v>21820.364984031359</v>
      </c>
    </row>
    <row r="50" spans="1:28" x14ac:dyDescent="0.2">
      <c r="A50" s="3">
        <v>39753</v>
      </c>
      <c r="C50" s="52">
        <f t="shared" si="5"/>
        <v>143373.20424847238</v>
      </c>
      <c r="D50" s="52"/>
      <c r="E50" s="48">
        <f t="shared" si="17"/>
        <v>166092.21330193724</v>
      </c>
      <c r="I50" s="110"/>
      <c r="J50" s="217"/>
      <c r="K50" s="202"/>
    </row>
    <row r="51" spans="1:28" x14ac:dyDescent="0.2">
      <c r="A51" s="3">
        <v>39783</v>
      </c>
      <c r="C51" s="52">
        <f t="shared" si="5"/>
        <v>143373.20424847238</v>
      </c>
      <c r="D51" s="52"/>
      <c r="E51" s="48">
        <f t="shared" si="17"/>
        <v>171140.88198048499</v>
      </c>
      <c r="F51" s="48">
        <f>SUM(E40:E51)</f>
        <v>1720478.4509816687</v>
      </c>
      <c r="G51" s="48">
        <f>E51*12</f>
        <v>2053690.5837658199</v>
      </c>
      <c r="I51" s="110"/>
      <c r="J51" s="217"/>
      <c r="K51" s="202"/>
      <c r="O51" s="16" t="str">
        <f>'[23]Summary - LDC'!A36</f>
        <v>Gross Energy Savings (MWh)</v>
      </c>
    </row>
    <row r="52" spans="1:28" x14ac:dyDescent="0.2">
      <c r="A52" s="3">
        <v>39814</v>
      </c>
      <c r="C52" s="52">
        <f t="shared" si="5"/>
        <v>223927.26867144043</v>
      </c>
      <c r="D52" s="52"/>
      <c r="E52" s="48">
        <f t="shared" ref="E52:E63" si="20">E51+$G$6</f>
        <v>179261.86454832429</v>
      </c>
      <c r="I52" s="110"/>
      <c r="J52" s="217"/>
      <c r="K52" s="202"/>
      <c r="O52" s="79" t="str">
        <f>'[23]Summary - LDC'!A37</f>
        <v>#</v>
      </c>
      <c r="P52" s="169" t="str">
        <f>'[23]Summary - LDC'!B37</f>
        <v>Program Year</v>
      </c>
      <c r="Q52" s="169" t="str">
        <f>'[23]Summary - LDC'!C37</f>
        <v>Results Status</v>
      </c>
      <c r="R52" s="169"/>
      <c r="S52" s="169">
        <f>'[23]Summary - LDC'!E37</f>
        <v>2006</v>
      </c>
      <c r="T52" s="169">
        <f>'[23]Summary - LDC'!F37</f>
        <v>2007</v>
      </c>
      <c r="U52" s="169">
        <f>'[23]Summary - LDC'!G37</f>
        <v>2008</v>
      </c>
      <c r="V52" s="169">
        <f>'[23]Summary - LDC'!H37</f>
        <v>2009</v>
      </c>
      <c r="W52" s="169">
        <f>'[23]Summary - LDC'!I37</f>
        <v>2010</v>
      </c>
      <c r="X52" s="169">
        <f>'[23]Summary - LDC'!J37</f>
        <v>2011</v>
      </c>
      <c r="Y52" s="169">
        <f>'[23]Summary - LDC'!K37</f>
        <v>2012</v>
      </c>
      <c r="Z52" s="169">
        <f>'[23]Summary - LDC'!L37</f>
        <v>2013</v>
      </c>
      <c r="AA52" s="166">
        <f>'[23]Summary - LDC'!M37</f>
        <v>2014</v>
      </c>
    </row>
    <row r="53" spans="1:28" x14ac:dyDescent="0.2">
      <c r="A53" s="3">
        <v>39845</v>
      </c>
      <c r="C53" s="52">
        <f t="shared" si="5"/>
        <v>223927.26867144043</v>
      </c>
      <c r="D53" s="52"/>
      <c r="E53" s="48">
        <f t="shared" si="20"/>
        <v>187382.84711616358</v>
      </c>
      <c r="I53" s="110"/>
      <c r="J53" s="217"/>
      <c r="K53" s="202"/>
      <c r="O53" s="78"/>
      <c r="P53" s="193"/>
      <c r="Q53" s="193"/>
      <c r="R53" s="193"/>
      <c r="S53" s="193"/>
      <c r="T53" s="193"/>
      <c r="U53" s="193"/>
      <c r="V53" s="193"/>
      <c r="W53" s="193"/>
      <c r="X53" s="193"/>
      <c r="Y53" s="193"/>
      <c r="Z53" s="193"/>
      <c r="AA53" s="194"/>
    </row>
    <row r="54" spans="1:28" x14ac:dyDescent="0.2">
      <c r="A54" s="3">
        <v>39873</v>
      </c>
      <c r="C54" s="52">
        <f t="shared" si="5"/>
        <v>223927.26867144043</v>
      </c>
      <c r="D54" s="52"/>
      <c r="E54" s="48">
        <f t="shared" si="20"/>
        <v>195503.82968400288</v>
      </c>
      <c r="I54" s="110"/>
      <c r="J54" s="217"/>
      <c r="K54" s="202"/>
      <c r="O54" s="78">
        <f>'[23]Summary - LDC'!A39</f>
        <v>1</v>
      </c>
      <c r="P54" s="193" t="str">
        <f>'[23]Summary - LDC'!B39</f>
        <v>2006 Programs</v>
      </c>
      <c r="Q54" s="193" t="str">
        <f>'[23]Summary - LDC'!C39</f>
        <v>Final</v>
      </c>
      <c r="R54" s="193"/>
      <c r="S54" s="253">
        <f>'[23]Summary - LDC'!E39</f>
        <v>890.21387735693588</v>
      </c>
      <c r="T54" s="253">
        <f>'[23]Summary - LDC'!F39</f>
        <v>890.21387735693588</v>
      </c>
      <c r="U54" s="253">
        <f>'[23]Summary - LDC'!G39</f>
        <v>890.21387735693588</v>
      </c>
      <c r="V54" s="253">
        <f>'[23]Summary - LDC'!H39</f>
        <v>890.21387735693588</v>
      </c>
      <c r="W54" s="253">
        <f>'[23]Summary - LDC'!I39</f>
        <v>158.359954531749</v>
      </c>
      <c r="X54" s="253">
        <f>'[23]Summary - LDC'!J39</f>
        <v>158.359954531749</v>
      </c>
      <c r="Y54" s="253">
        <f>'[23]Summary - LDC'!K39</f>
        <v>145.2431749775931</v>
      </c>
      <c r="Z54" s="253">
        <f>'[23]Summary - LDC'!L39</f>
        <v>145.2431749775931</v>
      </c>
      <c r="AA54" s="254">
        <f>'[23]Summary - LDC'!M39</f>
        <v>136.75216649977858</v>
      </c>
      <c r="AB54" s="255">
        <f>SUM(S54:AA54)</f>
        <v>4304.8139349462062</v>
      </c>
    </row>
    <row r="55" spans="1:28" x14ac:dyDescent="0.2">
      <c r="A55" s="3">
        <v>39904</v>
      </c>
      <c r="C55" s="52">
        <f t="shared" si="5"/>
        <v>223927.26867144043</v>
      </c>
      <c r="D55" s="52"/>
      <c r="E55" s="48">
        <f t="shared" si="20"/>
        <v>203624.81225184217</v>
      </c>
      <c r="I55" s="110"/>
      <c r="J55" s="217"/>
      <c r="K55" s="202"/>
      <c r="O55" s="78">
        <f>'[23]Summary - LDC'!A40</f>
        <v>2</v>
      </c>
      <c r="P55" s="193" t="str">
        <f>'[23]Summary - LDC'!B40</f>
        <v>2007 Programs</v>
      </c>
      <c r="Q55" s="193" t="str">
        <f>'[23]Summary - LDC'!C40</f>
        <v>Final</v>
      </c>
      <c r="R55" s="193"/>
      <c r="S55" s="245">
        <f>'[23]Summary - LDC'!E40</f>
        <v>0</v>
      </c>
      <c r="T55" s="253">
        <f>'[23]Summary - LDC'!F40</f>
        <v>2267.7075585368802</v>
      </c>
      <c r="U55" s="253">
        <f>'[23]Summary - LDC'!G40</f>
        <v>894.03092522592283</v>
      </c>
      <c r="V55" s="253">
        <f>'[23]Summary - LDC'!H40</f>
        <v>721.73010493850734</v>
      </c>
      <c r="W55" s="253">
        <f>'[23]Summary - LDC'!I40</f>
        <v>721.73010493850734</v>
      </c>
      <c r="X55" s="253">
        <f>'[23]Summary - LDC'!J40</f>
        <v>721.73010493850734</v>
      </c>
      <c r="Y55" s="253">
        <f>'[23]Summary - LDC'!K40</f>
        <v>686.88008816923809</v>
      </c>
      <c r="Z55" s="253">
        <f>'[23]Summary - LDC'!L40</f>
        <v>686.88008816923809</v>
      </c>
      <c r="AA55" s="254">
        <f>'[23]Summary - LDC'!M40</f>
        <v>686.88008816923809</v>
      </c>
      <c r="AB55" s="255">
        <f t="shared" ref="AB55:AB59" si="21">SUM(S55:AA55)</f>
        <v>7387.5690630860381</v>
      </c>
    </row>
    <row r="56" spans="1:28" x14ac:dyDescent="0.2">
      <c r="A56" s="3">
        <v>39934</v>
      </c>
      <c r="C56" s="52">
        <f t="shared" si="5"/>
        <v>223927.26867144043</v>
      </c>
      <c r="D56" s="52"/>
      <c r="E56" s="48">
        <f t="shared" si="20"/>
        <v>211745.79481968147</v>
      </c>
      <c r="I56" s="110"/>
      <c r="J56" s="217"/>
      <c r="K56" s="202"/>
      <c r="L56" s="202"/>
      <c r="O56" s="78">
        <f>'[23]Summary - LDC'!A41</f>
        <v>3</v>
      </c>
      <c r="P56" s="193" t="str">
        <f>'[23]Summary - LDC'!B41</f>
        <v>2008 Programs</v>
      </c>
      <c r="Q56" s="193" t="str">
        <f>'[23]Summary - LDC'!C41</f>
        <v>Final</v>
      </c>
      <c r="R56" s="193"/>
      <c r="S56" s="245">
        <f>'[23]Summary - LDC'!E41</f>
        <v>0</v>
      </c>
      <c r="T56" s="253">
        <f>'[23]Summary - LDC'!F41</f>
        <v>0</v>
      </c>
      <c r="U56" s="253">
        <f>'[23]Summary - LDC'!G41</f>
        <v>1010.6954526039215</v>
      </c>
      <c r="V56" s="253">
        <f>'[23]Summary - LDC'!H41</f>
        <v>928.62400686236356</v>
      </c>
      <c r="W56" s="253">
        <f>'[23]Summary - LDC'!I41</f>
        <v>928.62400686236356</v>
      </c>
      <c r="X56" s="253">
        <f>'[23]Summary - LDC'!J41</f>
        <v>928.62400686236356</v>
      </c>
      <c r="Y56" s="253">
        <f>'[23]Summary - LDC'!K41</f>
        <v>830.85135956999147</v>
      </c>
      <c r="Z56" s="253">
        <f>'[23]Summary - LDC'!L41</f>
        <v>830.55585956999141</v>
      </c>
      <c r="AA56" s="254">
        <f>'[23]Summary - LDC'!M41</f>
        <v>742.99318591401266</v>
      </c>
      <c r="AB56" s="255">
        <f t="shared" si="21"/>
        <v>6200.9678782450073</v>
      </c>
    </row>
    <row r="57" spans="1:28" x14ac:dyDescent="0.2">
      <c r="A57" s="3">
        <v>39965</v>
      </c>
      <c r="C57" s="52">
        <f t="shared" si="5"/>
        <v>223927.26867144043</v>
      </c>
      <c r="D57" s="52"/>
      <c r="E57" s="48">
        <f t="shared" si="20"/>
        <v>219866.77738752076</v>
      </c>
      <c r="I57" s="110"/>
      <c r="J57" s="217"/>
      <c r="K57" s="202"/>
      <c r="O57" s="78">
        <f>'[23]Summary - LDC'!A42</f>
        <v>4</v>
      </c>
      <c r="P57" s="193" t="str">
        <f>'[23]Summary - LDC'!B42</f>
        <v>2009 Programs</v>
      </c>
      <c r="Q57" s="193" t="str">
        <f>'[23]Summary - LDC'!C42</f>
        <v>Final</v>
      </c>
      <c r="R57" s="193"/>
      <c r="S57" s="245">
        <f>'[23]Summary - LDC'!E42</f>
        <v>0</v>
      </c>
      <c r="T57" s="253">
        <f>'[23]Summary - LDC'!F42</f>
        <v>0</v>
      </c>
      <c r="U57" s="253">
        <f>'[23]Summary - LDC'!G42</f>
        <v>0</v>
      </c>
      <c r="V57" s="253">
        <f>'[23]Summary - LDC'!H42</f>
        <v>1600.3015374241286</v>
      </c>
      <c r="W57" s="253">
        <f>'[23]Summary - LDC'!I42</f>
        <v>1405.3879617376972</v>
      </c>
      <c r="X57" s="253">
        <f>'[23]Summary - LDC'!J42</f>
        <v>1405.3879617376972</v>
      </c>
      <c r="Y57" s="253">
        <f>'[23]Summary - LDC'!K42</f>
        <v>1403.4449092943528</v>
      </c>
      <c r="Z57" s="253">
        <f>'[23]Summary - LDC'!L42</f>
        <v>1357.1699303891419</v>
      </c>
      <c r="AA57" s="254">
        <f>'[23]Summary - LDC'!M42</f>
        <v>1177.0916745163904</v>
      </c>
      <c r="AB57" s="255">
        <f t="shared" si="21"/>
        <v>8348.7839750994081</v>
      </c>
    </row>
    <row r="58" spans="1:28" x14ac:dyDescent="0.2">
      <c r="A58" s="3">
        <v>39995</v>
      </c>
      <c r="C58" s="52">
        <f t="shared" si="5"/>
        <v>223927.26867144043</v>
      </c>
      <c r="D58" s="52"/>
      <c r="E58" s="48">
        <f t="shared" si="20"/>
        <v>227987.75995536006</v>
      </c>
      <c r="I58" s="110"/>
      <c r="J58" s="217"/>
      <c r="K58" s="202"/>
      <c r="L58" s="202"/>
      <c r="O58" s="78">
        <f>'[23]Summary - LDC'!A43</f>
        <v>5</v>
      </c>
      <c r="P58" s="193" t="str">
        <f>'[23]Summary - LDC'!B43</f>
        <v>2010 Programs</v>
      </c>
      <c r="Q58" s="193" t="str">
        <f>'[23]Summary - LDC'!C43</f>
        <v>Final</v>
      </c>
      <c r="R58" s="193"/>
      <c r="S58" s="245">
        <f>'[23]Summary - LDC'!E43</f>
        <v>0</v>
      </c>
      <c r="T58" s="253">
        <f>'[23]Summary - LDC'!F43</f>
        <v>0</v>
      </c>
      <c r="U58" s="253">
        <f>'[23]Summary - LDC'!G43</f>
        <v>0</v>
      </c>
      <c r="V58" s="253">
        <f>'[23]Summary - LDC'!H43</f>
        <v>0</v>
      </c>
      <c r="W58" s="253">
        <f>'[23]Summary - LDC'!I43</f>
        <v>2204.1709882669488</v>
      </c>
      <c r="X58" s="253">
        <f>'[23]Summary - LDC'!J43</f>
        <v>1906.4832381358665</v>
      </c>
      <c r="Y58" s="253">
        <f>'[23]Summary - LDC'!K43</f>
        <v>1906.353850226744</v>
      </c>
      <c r="Z58" s="253">
        <f>'[23]Summary - LDC'!L43</f>
        <v>1904.8611235369856</v>
      </c>
      <c r="AA58" s="254">
        <f>'[23]Summary - LDC'!M43</f>
        <v>1851.2933635558793</v>
      </c>
      <c r="AB58" s="255">
        <f t="shared" si="21"/>
        <v>9773.1625637224242</v>
      </c>
    </row>
    <row r="59" spans="1:28" x14ac:dyDescent="0.2">
      <c r="A59" s="3">
        <v>40026</v>
      </c>
      <c r="C59" s="52">
        <f t="shared" si="5"/>
        <v>223927.26867144043</v>
      </c>
      <c r="D59" s="52"/>
      <c r="E59" s="48">
        <f t="shared" si="20"/>
        <v>236108.74252319935</v>
      </c>
      <c r="I59" s="110"/>
      <c r="J59" s="217"/>
      <c r="O59" s="235" t="str">
        <f>'[23]Summary - LDC'!A44</f>
        <v>Total</v>
      </c>
      <c r="P59" s="224"/>
      <c r="Q59" s="224"/>
      <c r="R59" s="224"/>
      <c r="S59" s="251">
        <f>'[23]Summary - LDC'!E44</f>
        <v>890.21387735693588</v>
      </c>
      <c r="T59" s="195">
        <f>'[23]Summary - LDC'!F44</f>
        <v>3157.9214358938161</v>
      </c>
      <c r="U59" s="195">
        <f>'[23]Summary - LDC'!G44</f>
        <v>2794.9402551867802</v>
      </c>
      <c r="V59" s="195">
        <f>'[23]Summary - LDC'!H44</f>
        <v>4140.8695265819351</v>
      </c>
      <c r="W59" s="195">
        <f>'[23]Summary - LDC'!I44</f>
        <v>5418.2730163372653</v>
      </c>
      <c r="X59" s="195">
        <f>'[23]Summary - LDC'!J44</f>
        <v>5120.5852662061834</v>
      </c>
      <c r="Y59" s="195">
        <f>'[23]Summary - LDC'!K44</f>
        <v>4972.7733822379196</v>
      </c>
      <c r="Z59" s="195">
        <f>'[23]Summary - LDC'!L44</f>
        <v>4924.7101766429496</v>
      </c>
      <c r="AA59" s="196">
        <f>'[23]Summary - LDC'!M44</f>
        <v>4595.0104786552993</v>
      </c>
      <c r="AB59" s="255">
        <f t="shared" si="21"/>
        <v>36015.297415099085</v>
      </c>
    </row>
    <row r="60" spans="1:28" x14ac:dyDescent="0.2">
      <c r="A60" s="3">
        <v>40057</v>
      </c>
      <c r="C60" s="52">
        <f t="shared" si="5"/>
        <v>223927.26867144043</v>
      </c>
      <c r="D60" s="52"/>
      <c r="E60" s="48">
        <f t="shared" si="20"/>
        <v>244229.72509103865</v>
      </c>
      <c r="I60" s="110"/>
      <c r="J60" s="217"/>
    </row>
    <row r="61" spans="1:28" x14ac:dyDescent="0.2">
      <c r="A61" s="3">
        <v>40087</v>
      </c>
      <c r="C61" s="52">
        <f t="shared" si="5"/>
        <v>223927.26867144043</v>
      </c>
      <c r="D61" s="52"/>
      <c r="E61" s="48">
        <f t="shared" si="20"/>
        <v>252350.70765887795</v>
      </c>
      <c r="I61" s="110"/>
      <c r="J61" s="217"/>
      <c r="O61" s="16" t="s">
        <v>376</v>
      </c>
    </row>
    <row r="62" spans="1:28" x14ac:dyDescent="0.2">
      <c r="A62" s="3">
        <v>40118</v>
      </c>
      <c r="C62" s="52">
        <f t="shared" si="5"/>
        <v>223927.26867144043</v>
      </c>
      <c r="D62" s="52"/>
      <c r="E62" s="48">
        <f t="shared" si="20"/>
        <v>260471.69022671724</v>
      </c>
      <c r="I62" s="110"/>
      <c r="J62" s="217"/>
      <c r="O62" s="79"/>
      <c r="P62" s="169"/>
      <c r="Q62" s="169"/>
      <c r="R62" s="169"/>
      <c r="S62" s="169">
        <v>2006</v>
      </c>
      <c r="T62" s="169">
        <v>2007</v>
      </c>
      <c r="U62" s="169">
        <v>2008</v>
      </c>
      <c r="V62" s="169">
        <v>2009</v>
      </c>
      <c r="W62" s="169">
        <v>2010</v>
      </c>
      <c r="X62" s="169">
        <v>2011</v>
      </c>
      <c r="Y62" s="169">
        <v>2012</v>
      </c>
      <c r="Z62" s="169">
        <v>2013</v>
      </c>
      <c r="AA62" s="166">
        <v>2014</v>
      </c>
    </row>
    <row r="63" spans="1:28" x14ac:dyDescent="0.2">
      <c r="A63" s="3">
        <v>40148</v>
      </c>
      <c r="C63" s="52">
        <f t="shared" si="5"/>
        <v>223927.26867144043</v>
      </c>
      <c r="D63" s="52"/>
      <c r="E63" s="48">
        <f t="shared" si="20"/>
        <v>268592.67279455654</v>
      </c>
      <c r="F63" s="48">
        <f>SUM(E52:E63)</f>
        <v>2687127.2240572856</v>
      </c>
      <c r="G63" s="48">
        <f>E63*12</f>
        <v>3223112.0735346787</v>
      </c>
      <c r="I63" s="110"/>
      <c r="J63" s="217"/>
      <c r="O63" s="78"/>
      <c r="P63" s="193"/>
      <c r="Q63" s="193"/>
      <c r="R63" s="193"/>
      <c r="S63" s="193"/>
      <c r="T63" s="193"/>
      <c r="U63" s="193"/>
      <c r="V63" s="193"/>
      <c r="W63" s="193"/>
      <c r="X63" s="193"/>
      <c r="Y63" s="193"/>
      <c r="Z63" s="193"/>
      <c r="AA63" s="194"/>
    </row>
    <row r="64" spans="1:28" x14ac:dyDescent="0.2">
      <c r="A64" s="3">
        <v>40179</v>
      </c>
      <c r="C64" s="52">
        <f t="shared" si="5"/>
        <v>280666.59045065386</v>
      </c>
      <c r="D64" s="52"/>
      <c r="E64" s="48">
        <f t="shared" ref="E64:E75" si="22">E63+$G$7</f>
        <v>270450.1985878023</v>
      </c>
      <c r="I64" s="110"/>
      <c r="J64" s="217"/>
      <c r="O64" s="78">
        <v>1</v>
      </c>
      <c r="P64" s="193" t="s">
        <v>336</v>
      </c>
      <c r="Q64" s="193" t="s">
        <v>337</v>
      </c>
      <c r="R64" s="193"/>
      <c r="S64" s="249">
        <f>(S54-S44)/S44</f>
        <v>0.11680367947702187</v>
      </c>
      <c r="T64" s="249">
        <f t="shared" ref="T64:AB64" si="23">(T54-T44)/T44</f>
        <v>0.11680367947702187</v>
      </c>
      <c r="U64" s="249">
        <f t="shared" si="23"/>
        <v>0.11680367947702187</v>
      </c>
      <c r="V64" s="249">
        <f t="shared" si="23"/>
        <v>0.11680367947702187</v>
      </c>
      <c r="W64" s="249">
        <f t="shared" si="23"/>
        <v>0.1438877036457484</v>
      </c>
      <c r="X64" s="249">
        <f t="shared" si="23"/>
        <v>0.1438877036457484</v>
      </c>
      <c r="Y64" s="249">
        <f t="shared" si="23"/>
        <v>0.14694318545697382</v>
      </c>
      <c r="Z64" s="249">
        <f t="shared" si="23"/>
        <v>0.14694318545697382</v>
      </c>
      <c r="AA64" s="250">
        <f t="shared" si="23"/>
        <v>0.14924437241966379</v>
      </c>
      <c r="AB64" s="250">
        <f t="shared" si="23"/>
        <v>0.12175281256043213</v>
      </c>
    </row>
    <row r="65" spans="1:28" x14ac:dyDescent="0.2">
      <c r="A65" s="3">
        <v>40210</v>
      </c>
      <c r="C65" s="52">
        <f t="shared" si="5"/>
        <v>280666.59045065386</v>
      </c>
      <c r="D65" s="52"/>
      <c r="E65" s="48">
        <f t="shared" si="22"/>
        <v>272307.72438104806</v>
      </c>
      <c r="I65" s="110"/>
      <c r="J65" s="217"/>
      <c r="O65" s="78">
        <v>2</v>
      </c>
      <c r="P65" s="193" t="s">
        <v>338</v>
      </c>
      <c r="Q65" s="193" t="s">
        <v>337</v>
      </c>
      <c r="R65" s="193"/>
      <c r="S65" s="249"/>
      <c r="T65" s="249">
        <f t="shared" ref="S65:AB69" si="24">(T55-T45)/T45</f>
        <v>2.8049584130633543</v>
      </c>
      <c r="U65" s="249">
        <f t="shared" si="24"/>
        <v>1.0862693540645123</v>
      </c>
      <c r="V65" s="249">
        <f t="shared" si="24"/>
        <v>0.76957600388467706</v>
      </c>
      <c r="W65" s="249">
        <f t="shared" si="24"/>
        <v>0.76957600388467706</v>
      </c>
      <c r="X65" s="249">
        <f t="shared" si="24"/>
        <v>0.76957600388467706</v>
      </c>
      <c r="Y65" s="249">
        <f t="shared" si="24"/>
        <v>0.73251181055761649</v>
      </c>
      <c r="Z65" s="249">
        <f t="shared" si="24"/>
        <v>0.73251181055761649</v>
      </c>
      <c r="AA65" s="250">
        <f t="shared" si="24"/>
        <v>0.73251181055761649</v>
      </c>
      <c r="AB65" s="250">
        <f t="shared" si="24"/>
        <v>1.1491250664593307</v>
      </c>
    </row>
    <row r="66" spans="1:28" x14ac:dyDescent="0.2">
      <c r="A66" s="3">
        <v>40238</v>
      </c>
      <c r="C66" s="52">
        <f t="shared" si="5"/>
        <v>280666.59045065386</v>
      </c>
      <c r="D66" s="52"/>
      <c r="E66" s="48">
        <f t="shared" si="22"/>
        <v>274165.25017429382</v>
      </c>
      <c r="I66" s="110"/>
      <c r="J66" s="217"/>
      <c r="O66" s="78">
        <v>3</v>
      </c>
      <c r="P66" s="193" t="s">
        <v>339</v>
      </c>
      <c r="Q66" s="193" t="s">
        <v>337</v>
      </c>
      <c r="R66" s="193"/>
      <c r="S66" s="249"/>
      <c r="T66" s="249"/>
      <c r="U66" s="249">
        <f t="shared" si="24"/>
        <v>1.0424738202791415</v>
      </c>
      <c r="V66" s="249">
        <f t="shared" si="24"/>
        <v>1.1472146456350272</v>
      </c>
      <c r="W66" s="249">
        <f t="shared" si="24"/>
        <v>1.1472146456350272</v>
      </c>
      <c r="X66" s="249">
        <f t="shared" si="24"/>
        <v>1.1472146456350272</v>
      </c>
      <c r="Y66" s="249">
        <f t="shared" si="24"/>
        <v>1.1046063905998313</v>
      </c>
      <c r="Z66" s="249">
        <f t="shared" si="24"/>
        <v>1.1044249434175124</v>
      </c>
      <c r="AA66" s="250">
        <f t="shared" si="24"/>
        <v>1.0898593768010767</v>
      </c>
      <c r="AB66" s="250">
        <f t="shared" si="24"/>
        <v>1.1111503868428074</v>
      </c>
    </row>
    <row r="67" spans="1:28" x14ac:dyDescent="0.2">
      <c r="A67" s="3">
        <v>40269</v>
      </c>
      <c r="C67" s="52">
        <f t="shared" si="5"/>
        <v>280666.59045065386</v>
      </c>
      <c r="D67" s="52"/>
      <c r="E67" s="48">
        <f t="shared" si="22"/>
        <v>276022.77596753958</v>
      </c>
      <c r="I67" s="110"/>
      <c r="J67" s="217"/>
      <c r="O67" s="78">
        <v>4</v>
      </c>
      <c r="P67" s="193" t="s">
        <v>340</v>
      </c>
      <c r="Q67" s="193" t="s">
        <v>337</v>
      </c>
      <c r="R67" s="193"/>
      <c r="S67" s="249"/>
      <c r="T67" s="249"/>
      <c r="U67" s="249"/>
      <c r="V67" s="249">
        <f t="shared" si="24"/>
        <v>0.52455359707701532</v>
      </c>
      <c r="W67" s="249">
        <f t="shared" si="24"/>
        <v>0.60033646921290562</v>
      </c>
      <c r="X67" s="249">
        <f t="shared" si="24"/>
        <v>0.60033646921290562</v>
      </c>
      <c r="Y67" s="249">
        <f t="shared" si="24"/>
        <v>0.59964173790340325</v>
      </c>
      <c r="Z67" s="249">
        <f t="shared" si="24"/>
        <v>0.58988835446199883</v>
      </c>
      <c r="AA67" s="250">
        <f t="shared" si="24"/>
        <v>0.55475488326858102</v>
      </c>
      <c r="AB67" s="250">
        <f t="shared" si="24"/>
        <v>0.5769924662450473</v>
      </c>
    </row>
    <row r="68" spans="1:28" x14ac:dyDescent="0.2">
      <c r="A68" s="3">
        <v>40299</v>
      </c>
      <c r="C68" s="52">
        <f t="shared" si="5"/>
        <v>280666.59045065386</v>
      </c>
      <c r="D68" s="52"/>
      <c r="E68" s="48">
        <f t="shared" si="22"/>
        <v>277880.30176078534</v>
      </c>
      <c r="I68" s="110"/>
      <c r="J68" s="217"/>
      <c r="O68" s="78">
        <v>5</v>
      </c>
      <c r="P68" s="193" t="s">
        <v>341</v>
      </c>
      <c r="Q68" s="193" t="s">
        <v>337</v>
      </c>
      <c r="R68" s="193"/>
      <c r="S68" s="249"/>
      <c r="T68" s="249"/>
      <c r="U68" s="249"/>
      <c r="V68" s="249"/>
      <c r="W68" s="249">
        <f t="shared" si="24"/>
        <v>0.45870839566576976</v>
      </c>
      <c r="X68" s="249">
        <f t="shared" si="24"/>
        <v>0.57731798044372129</v>
      </c>
      <c r="Y68" s="249">
        <f t="shared" si="24"/>
        <v>0.57869067487647086</v>
      </c>
      <c r="Z68" s="249">
        <f t="shared" si="24"/>
        <v>0.57815682349647735</v>
      </c>
      <c r="AA68" s="250">
        <f t="shared" si="24"/>
        <v>0.56936355003055217</v>
      </c>
      <c r="AB68" s="250">
        <f t="shared" si="24"/>
        <v>0.54786928158598225</v>
      </c>
    </row>
    <row r="69" spans="1:28" x14ac:dyDescent="0.2">
      <c r="A69" s="3">
        <v>40330</v>
      </c>
      <c r="C69" s="52">
        <f t="shared" si="5"/>
        <v>280666.59045065386</v>
      </c>
      <c r="D69" s="52"/>
      <c r="E69" s="48">
        <f t="shared" si="22"/>
        <v>279737.8275540311</v>
      </c>
      <c r="I69" s="110"/>
      <c r="J69" s="217"/>
      <c r="O69" s="235" t="s">
        <v>9</v>
      </c>
      <c r="P69" s="224"/>
      <c r="Q69" s="224"/>
      <c r="R69" s="224"/>
      <c r="S69" s="251">
        <f t="shared" si="24"/>
        <v>0.11680367947702187</v>
      </c>
      <c r="T69" s="251">
        <f t="shared" si="24"/>
        <v>1.2668367028277254</v>
      </c>
      <c r="U69" s="251">
        <f t="shared" si="24"/>
        <v>0.62451337509751825</v>
      </c>
      <c r="V69" s="251">
        <f t="shared" si="24"/>
        <v>0.54100240937965294</v>
      </c>
      <c r="W69" s="251">
        <f t="shared" si="24"/>
        <v>0.6087513324491125</v>
      </c>
      <c r="X69" s="251">
        <f t="shared" si="24"/>
        <v>0.6703137035044946</v>
      </c>
      <c r="Y69" s="251">
        <f t="shared" si="24"/>
        <v>0.65605611403607611</v>
      </c>
      <c r="Z69" s="251">
        <f t="shared" si="24"/>
        <v>0.65346765161833453</v>
      </c>
      <c r="AA69" s="252">
        <f t="shared" si="24"/>
        <v>0.636563818140231</v>
      </c>
      <c r="AB69" s="256">
        <f t="shared" si="24"/>
        <v>0.65053597597729929</v>
      </c>
    </row>
    <row r="70" spans="1:28" x14ac:dyDescent="0.2">
      <c r="A70" s="3">
        <v>40360</v>
      </c>
      <c r="C70" s="52">
        <f t="shared" si="5"/>
        <v>280666.59045065386</v>
      </c>
      <c r="D70" s="52"/>
      <c r="E70" s="48">
        <f t="shared" si="22"/>
        <v>281595.35334727686</v>
      </c>
      <c r="I70" s="110"/>
      <c r="J70" s="217"/>
    </row>
    <row r="71" spans="1:28" x14ac:dyDescent="0.2">
      <c r="A71" s="3">
        <v>40391</v>
      </c>
      <c r="C71" s="52">
        <f t="shared" si="5"/>
        <v>280666.59045065386</v>
      </c>
      <c r="D71" s="52"/>
      <c r="E71" s="48">
        <f t="shared" si="22"/>
        <v>283452.87914052262</v>
      </c>
      <c r="I71" s="110"/>
      <c r="J71" s="217"/>
    </row>
    <row r="72" spans="1:28" x14ac:dyDescent="0.2">
      <c r="A72" s="3">
        <v>40422</v>
      </c>
      <c r="C72" s="52">
        <f t="shared" si="5"/>
        <v>280666.59045065386</v>
      </c>
      <c r="D72" s="52"/>
      <c r="E72" s="48">
        <f t="shared" si="22"/>
        <v>285310.40493376838</v>
      </c>
      <c r="I72" s="110"/>
      <c r="J72" s="217"/>
    </row>
    <row r="73" spans="1:28" x14ac:dyDescent="0.2">
      <c r="A73" s="3">
        <v>40452</v>
      </c>
      <c r="C73" s="52">
        <f t="shared" si="5"/>
        <v>280666.59045065386</v>
      </c>
      <c r="D73" s="52"/>
      <c r="E73" s="48">
        <f t="shared" si="22"/>
        <v>287167.93072701414</v>
      </c>
      <c r="I73" s="110"/>
      <c r="J73" s="217"/>
    </row>
    <row r="74" spans="1:28" x14ac:dyDescent="0.2">
      <c r="A74" s="3">
        <v>40483</v>
      </c>
      <c r="C74" s="52">
        <f t="shared" si="5"/>
        <v>280666.59045065386</v>
      </c>
      <c r="D74" s="52"/>
      <c r="E74" s="48">
        <f t="shared" si="22"/>
        <v>289025.4565202599</v>
      </c>
      <c r="I74" s="110"/>
      <c r="J74" s="217"/>
    </row>
    <row r="75" spans="1:28" x14ac:dyDescent="0.2">
      <c r="A75" s="3">
        <v>40513</v>
      </c>
      <c r="C75" s="52">
        <f t="shared" si="5"/>
        <v>280666.59045065386</v>
      </c>
      <c r="D75" s="52"/>
      <c r="E75" s="48">
        <f t="shared" si="22"/>
        <v>290882.98231350566</v>
      </c>
      <c r="F75" s="48">
        <f>SUM(E64:E75)</f>
        <v>3367999.085407848</v>
      </c>
      <c r="G75" s="48">
        <f>E75*12</f>
        <v>3490595.7877620682</v>
      </c>
      <c r="I75" s="110"/>
      <c r="J75" s="217"/>
    </row>
    <row r="76" spans="1:28" x14ac:dyDescent="0.2">
      <c r="A76" s="3">
        <v>40544</v>
      </c>
      <c r="C76" s="52">
        <f t="shared" si="5"/>
        <v>352136.9043562822</v>
      </c>
      <c r="D76" s="52"/>
      <c r="E76" s="48">
        <f t="shared" ref="E76:E87" si="25">E75+$G$8</f>
        <v>300306.66262777895</v>
      </c>
      <c r="I76" s="110"/>
      <c r="J76" s="217"/>
    </row>
    <row r="77" spans="1:28" x14ac:dyDescent="0.2">
      <c r="A77" s="3">
        <v>40575</v>
      </c>
      <c r="C77" s="52">
        <f t="shared" si="5"/>
        <v>352136.9043562822</v>
      </c>
      <c r="D77" s="52"/>
      <c r="E77" s="48">
        <f t="shared" si="25"/>
        <v>309730.34294205229</v>
      </c>
      <c r="I77" s="110"/>
      <c r="J77" s="217"/>
    </row>
    <row r="78" spans="1:28" x14ac:dyDescent="0.2">
      <c r="A78" s="3">
        <v>40603</v>
      </c>
      <c r="C78" s="52">
        <f t="shared" si="5"/>
        <v>352136.9043562822</v>
      </c>
      <c r="D78" s="52"/>
      <c r="E78" s="48">
        <f t="shared" si="25"/>
        <v>319154.02325632563</v>
      </c>
      <c r="I78" s="110"/>
      <c r="J78" s="217"/>
    </row>
    <row r="79" spans="1:28" x14ac:dyDescent="0.2">
      <c r="A79" s="3">
        <v>40634</v>
      </c>
      <c r="C79" s="52">
        <f t="shared" si="5"/>
        <v>352136.9043562822</v>
      </c>
      <c r="D79" s="52"/>
      <c r="E79" s="48">
        <f t="shared" si="25"/>
        <v>328577.70357059897</v>
      </c>
      <c r="I79" s="110"/>
      <c r="J79" s="217"/>
    </row>
    <row r="80" spans="1:28" x14ac:dyDescent="0.2">
      <c r="A80" s="3">
        <v>40664</v>
      </c>
      <c r="C80" s="52">
        <f t="shared" si="5"/>
        <v>352136.9043562822</v>
      </c>
      <c r="D80" s="52"/>
      <c r="E80" s="48">
        <f t="shared" si="25"/>
        <v>338001.38388487231</v>
      </c>
      <c r="I80" s="110"/>
      <c r="J80" s="217"/>
    </row>
    <row r="81" spans="1:10" x14ac:dyDescent="0.2">
      <c r="A81" s="3">
        <v>40695</v>
      </c>
      <c r="C81" s="52">
        <f t="shared" ref="C81:C123" si="26">VLOOKUP(YEAR(A81),$I$22:$M$30,5)/12</f>
        <v>352136.9043562822</v>
      </c>
      <c r="D81" s="52"/>
      <c r="E81" s="48">
        <f t="shared" si="25"/>
        <v>347425.06419914565</v>
      </c>
      <c r="I81" s="110"/>
      <c r="J81" s="217"/>
    </row>
    <row r="82" spans="1:10" x14ac:dyDescent="0.2">
      <c r="A82" s="3">
        <v>40725</v>
      </c>
      <c r="C82" s="52">
        <f t="shared" si="26"/>
        <v>352136.9043562822</v>
      </c>
      <c r="D82" s="52"/>
      <c r="E82" s="48">
        <f t="shared" si="25"/>
        <v>356848.74451341899</v>
      </c>
      <c r="I82" s="110"/>
      <c r="J82" s="217"/>
    </row>
    <row r="83" spans="1:10" x14ac:dyDescent="0.2">
      <c r="A83" s="3">
        <v>40756</v>
      </c>
      <c r="C83" s="52">
        <f t="shared" si="26"/>
        <v>352136.9043562822</v>
      </c>
      <c r="D83" s="52"/>
      <c r="E83" s="48">
        <f t="shared" si="25"/>
        <v>366272.42482769233</v>
      </c>
      <c r="I83" s="110"/>
      <c r="J83" s="217"/>
    </row>
    <row r="84" spans="1:10" x14ac:dyDescent="0.2">
      <c r="A84" s="3">
        <v>40787</v>
      </c>
      <c r="C84" s="52">
        <f t="shared" si="26"/>
        <v>352136.9043562822</v>
      </c>
      <c r="D84" s="52"/>
      <c r="E84" s="48">
        <f t="shared" si="25"/>
        <v>375696.10514196567</v>
      </c>
      <c r="I84" s="110"/>
      <c r="J84" s="217"/>
    </row>
    <row r="85" spans="1:10" x14ac:dyDescent="0.2">
      <c r="A85" s="3">
        <v>40817</v>
      </c>
      <c r="C85" s="52">
        <f t="shared" si="26"/>
        <v>352136.9043562822</v>
      </c>
      <c r="D85" s="52"/>
      <c r="E85" s="48">
        <f t="shared" si="25"/>
        <v>385119.78545623901</v>
      </c>
      <c r="I85" s="110"/>
      <c r="J85" s="217"/>
    </row>
    <row r="86" spans="1:10" x14ac:dyDescent="0.2">
      <c r="A86" s="3">
        <v>40848</v>
      </c>
      <c r="C86" s="52">
        <f t="shared" si="26"/>
        <v>352136.9043562822</v>
      </c>
      <c r="D86" s="52"/>
      <c r="E86" s="48">
        <f t="shared" si="25"/>
        <v>394543.46577051235</v>
      </c>
      <c r="I86" s="110"/>
      <c r="J86" s="217"/>
    </row>
    <row r="87" spans="1:10" x14ac:dyDescent="0.2">
      <c r="A87" s="3">
        <v>40878</v>
      </c>
      <c r="C87" s="52">
        <f t="shared" si="26"/>
        <v>352136.9043562822</v>
      </c>
      <c r="D87" s="52"/>
      <c r="E87" s="48">
        <f t="shared" si="25"/>
        <v>403967.14608478569</v>
      </c>
      <c r="F87" s="48">
        <f>SUM(E76:E87)</f>
        <v>4225642.8522753883</v>
      </c>
      <c r="G87" s="48">
        <f>E87*12</f>
        <v>4847605.7530174283</v>
      </c>
      <c r="I87" s="110"/>
      <c r="J87" s="217"/>
    </row>
    <row r="88" spans="1:10" x14ac:dyDescent="0.2">
      <c r="A88" s="3">
        <v>40909</v>
      </c>
      <c r="C88" s="52">
        <f t="shared" si="26"/>
        <v>427731.72725905146</v>
      </c>
      <c r="D88" s="52"/>
      <c r="E88" s="48">
        <f t="shared" ref="E88:E99" si="27">E87+$G$9</f>
        <v>407623.23549621121</v>
      </c>
      <c r="I88" s="110"/>
      <c r="J88" s="217"/>
    </row>
    <row r="89" spans="1:10" x14ac:dyDescent="0.2">
      <c r="A89" s="3">
        <v>40940</v>
      </c>
      <c r="C89" s="52">
        <f t="shared" si="26"/>
        <v>427731.72725905146</v>
      </c>
      <c r="D89" s="52"/>
      <c r="E89" s="48">
        <f t="shared" si="27"/>
        <v>411279.32490763674</v>
      </c>
      <c r="I89" s="110"/>
      <c r="J89" s="217"/>
    </row>
    <row r="90" spans="1:10" x14ac:dyDescent="0.2">
      <c r="A90" s="3">
        <v>40969</v>
      </c>
      <c r="C90" s="52">
        <f t="shared" si="26"/>
        <v>427731.72725905146</v>
      </c>
      <c r="D90" s="52"/>
      <c r="E90" s="48">
        <f t="shared" si="27"/>
        <v>414935.41431906226</v>
      </c>
      <c r="I90" s="110"/>
      <c r="J90" s="217"/>
    </row>
    <row r="91" spans="1:10" x14ac:dyDescent="0.2">
      <c r="A91" s="3">
        <v>41000</v>
      </c>
      <c r="C91" s="52">
        <f t="shared" si="26"/>
        <v>427731.72725905146</v>
      </c>
      <c r="D91" s="52"/>
      <c r="E91" s="48">
        <f t="shared" si="27"/>
        <v>418591.50373048778</v>
      </c>
      <c r="I91" s="110"/>
      <c r="J91" s="217"/>
    </row>
    <row r="92" spans="1:10" x14ac:dyDescent="0.2">
      <c r="A92" s="3">
        <v>41030</v>
      </c>
      <c r="C92" s="52">
        <f t="shared" si="26"/>
        <v>427731.72725905146</v>
      </c>
      <c r="D92" s="52"/>
      <c r="E92" s="48">
        <f t="shared" si="27"/>
        <v>422247.5931419133</v>
      </c>
      <c r="I92" s="110"/>
      <c r="J92" s="217"/>
    </row>
    <row r="93" spans="1:10" x14ac:dyDescent="0.2">
      <c r="A93" s="3">
        <v>41061</v>
      </c>
      <c r="C93" s="52">
        <f t="shared" si="26"/>
        <v>427731.72725905146</v>
      </c>
      <c r="D93" s="52"/>
      <c r="E93" s="48">
        <f t="shared" si="27"/>
        <v>425903.68255333882</v>
      </c>
      <c r="I93" s="110"/>
      <c r="J93" s="217"/>
    </row>
    <row r="94" spans="1:10" x14ac:dyDescent="0.2">
      <c r="A94" s="3">
        <v>41091</v>
      </c>
      <c r="C94" s="52">
        <f t="shared" si="26"/>
        <v>427731.72725905146</v>
      </c>
      <c r="D94" s="52"/>
      <c r="E94" s="48">
        <f t="shared" si="27"/>
        <v>429559.77196476434</v>
      </c>
      <c r="I94" s="110"/>
      <c r="J94" s="217"/>
    </row>
    <row r="95" spans="1:10" x14ac:dyDescent="0.2">
      <c r="A95" s="3">
        <v>41122</v>
      </c>
      <c r="C95" s="52">
        <f t="shared" si="26"/>
        <v>427731.72725905146</v>
      </c>
      <c r="D95" s="52"/>
      <c r="E95" s="48">
        <f t="shared" si="27"/>
        <v>433215.86137618986</v>
      </c>
      <c r="I95" s="110"/>
      <c r="J95" s="217"/>
    </row>
    <row r="96" spans="1:10" x14ac:dyDescent="0.2">
      <c r="A96" s="3">
        <v>41153</v>
      </c>
      <c r="C96" s="52">
        <f t="shared" si="26"/>
        <v>427731.72725905146</v>
      </c>
      <c r="D96" s="52"/>
      <c r="E96" s="48">
        <f t="shared" si="27"/>
        <v>436871.95078761538</v>
      </c>
      <c r="I96" s="110"/>
      <c r="J96" s="217"/>
    </row>
    <row r="97" spans="1:10" x14ac:dyDescent="0.2">
      <c r="A97" s="3">
        <v>41183</v>
      </c>
      <c r="C97" s="52">
        <f t="shared" si="26"/>
        <v>427731.72725905146</v>
      </c>
      <c r="D97" s="52"/>
      <c r="E97" s="48">
        <f t="shared" si="27"/>
        <v>440528.0401990409</v>
      </c>
      <c r="I97" s="110"/>
      <c r="J97" s="217"/>
    </row>
    <row r="98" spans="1:10" x14ac:dyDescent="0.2">
      <c r="A98" s="3">
        <v>41214</v>
      </c>
      <c r="C98" s="52">
        <f t="shared" si="26"/>
        <v>427731.72725905146</v>
      </c>
      <c r="D98" s="52"/>
      <c r="E98" s="48">
        <f t="shared" si="27"/>
        <v>444184.12961046642</v>
      </c>
      <c r="I98" s="110"/>
      <c r="J98" s="217"/>
    </row>
    <row r="99" spans="1:10" x14ac:dyDescent="0.2">
      <c r="A99" s="3">
        <v>41244</v>
      </c>
      <c r="C99" s="52">
        <f t="shared" si="26"/>
        <v>427731.72725905146</v>
      </c>
      <c r="D99" s="52"/>
      <c r="E99" s="48">
        <f t="shared" si="27"/>
        <v>447840.21902189194</v>
      </c>
      <c r="F99" s="48">
        <f>SUM(E88:E99)</f>
        <v>5132780.7271086192</v>
      </c>
      <c r="G99" s="48">
        <f>E99*12</f>
        <v>5374082.6282627033</v>
      </c>
      <c r="I99" s="110"/>
      <c r="J99" s="217"/>
    </row>
    <row r="100" spans="1:10" x14ac:dyDescent="0.2">
      <c r="A100" s="3">
        <v>41275</v>
      </c>
      <c r="C100" s="52">
        <f t="shared" si="26"/>
        <v>417367.7816498194</v>
      </c>
      <c r="D100" s="52"/>
      <c r="E100" s="48">
        <f t="shared" ref="E100:E111" si="28">E99+$G$10</f>
        <v>443152.1517338808</v>
      </c>
      <c r="I100" s="110"/>
      <c r="J100" s="217"/>
    </row>
    <row r="101" spans="1:10" x14ac:dyDescent="0.2">
      <c r="A101" s="3">
        <v>41306</v>
      </c>
      <c r="C101" s="52">
        <f t="shared" si="26"/>
        <v>417367.7816498194</v>
      </c>
      <c r="D101" s="52"/>
      <c r="E101" s="48">
        <f t="shared" si="28"/>
        <v>438464.08444586967</v>
      </c>
      <c r="I101" s="110"/>
      <c r="J101" s="217"/>
    </row>
    <row r="102" spans="1:10" x14ac:dyDescent="0.2">
      <c r="A102" s="3">
        <v>41334</v>
      </c>
      <c r="C102" s="52">
        <f t="shared" si="26"/>
        <v>417367.7816498194</v>
      </c>
      <c r="D102" s="52"/>
      <c r="E102" s="48">
        <f t="shared" si="28"/>
        <v>433776.01715785853</v>
      </c>
      <c r="I102" s="110"/>
      <c r="J102" s="217"/>
    </row>
    <row r="103" spans="1:10" x14ac:dyDescent="0.2">
      <c r="A103" s="3">
        <v>41365</v>
      </c>
      <c r="C103" s="52">
        <f t="shared" si="26"/>
        <v>417367.7816498194</v>
      </c>
      <c r="D103" s="52"/>
      <c r="E103" s="48">
        <f t="shared" si="28"/>
        <v>429087.94986984739</v>
      </c>
      <c r="I103" s="110"/>
      <c r="J103" s="217"/>
    </row>
    <row r="104" spans="1:10" x14ac:dyDescent="0.2">
      <c r="A104" s="3">
        <v>41395</v>
      </c>
      <c r="C104" s="52">
        <f t="shared" si="26"/>
        <v>417367.7816498194</v>
      </c>
      <c r="D104" s="52"/>
      <c r="E104" s="48">
        <f t="shared" si="28"/>
        <v>424399.88258183625</v>
      </c>
      <c r="I104" s="110"/>
      <c r="J104" s="217"/>
    </row>
    <row r="105" spans="1:10" x14ac:dyDescent="0.2">
      <c r="A105" s="3">
        <v>41426</v>
      </c>
      <c r="C105" s="52">
        <f t="shared" si="26"/>
        <v>417367.7816498194</v>
      </c>
      <c r="D105" s="52"/>
      <c r="E105" s="48">
        <f t="shared" si="28"/>
        <v>419711.81529382512</v>
      </c>
      <c r="I105" s="110"/>
      <c r="J105" s="217"/>
    </row>
    <row r="106" spans="1:10" x14ac:dyDescent="0.2">
      <c r="A106" s="3">
        <v>41456</v>
      </c>
      <c r="C106" s="52">
        <f t="shared" si="26"/>
        <v>417367.7816498194</v>
      </c>
      <c r="D106" s="52"/>
      <c r="E106" s="48">
        <f t="shared" si="28"/>
        <v>415023.74800581398</v>
      </c>
      <c r="I106" s="110"/>
      <c r="J106" s="217"/>
    </row>
    <row r="107" spans="1:10" x14ac:dyDescent="0.2">
      <c r="A107" s="3">
        <v>41487</v>
      </c>
      <c r="C107" s="52">
        <f t="shared" si="26"/>
        <v>417367.7816498194</v>
      </c>
      <c r="D107" s="52"/>
      <c r="E107" s="48">
        <f t="shared" si="28"/>
        <v>410335.68071780284</v>
      </c>
      <c r="I107" s="110"/>
      <c r="J107" s="217"/>
    </row>
    <row r="108" spans="1:10" x14ac:dyDescent="0.2">
      <c r="A108" s="3">
        <v>41518</v>
      </c>
      <c r="C108" s="52">
        <f t="shared" si="26"/>
        <v>417367.7816498194</v>
      </c>
      <c r="D108" s="52"/>
      <c r="E108" s="48">
        <f t="shared" si="28"/>
        <v>405647.6134297917</v>
      </c>
      <c r="I108" s="110"/>
      <c r="J108" s="217"/>
    </row>
    <row r="109" spans="1:10" x14ac:dyDescent="0.2">
      <c r="A109" s="3">
        <v>41548</v>
      </c>
      <c r="C109" s="52">
        <f t="shared" si="26"/>
        <v>417367.7816498194</v>
      </c>
      <c r="D109" s="52"/>
      <c r="E109" s="48">
        <f t="shared" si="28"/>
        <v>400959.54614178056</v>
      </c>
      <c r="I109" s="110"/>
      <c r="J109" s="217"/>
    </row>
    <row r="110" spans="1:10" x14ac:dyDescent="0.2">
      <c r="A110" s="3">
        <v>41579</v>
      </c>
      <c r="C110" s="52">
        <f t="shared" si="26"/>
        <v>417367.7816498194</v>
      </c>
      <c r="D110" s="52"/>
      <c r="E110" s="48">
        <f t="shared" si="28"/>
        <v>396271.47885376943</v>
      </c>
      <c r="I110" s="110"/>
      <c r="J110" s="217"/>
    </row>
    <row r="111" spans="1:10" x14ac:dyDescent="0.2">
      <c r="A111" s="3">
        <v>41609</v>
      </c>
      <c r="C111" s="52">
        <f t="shared" si="26"/>
        <v>417367.7816498194</v>
      </c>
      <c r="D111" s="52"/>
      <c r="E111" s="48">
        <f t="shared" si="28"/>
        <v>391583.41156575829</v>
      </c>
      <c r="F111" s="48">
        <f>SUM(E100:E111)</f>
        <v>5008413.3797978349</v>
      </c>
      <c r="G111" s="48">
        <f>E111*12</f>
        <v>4699000.9387890995</v>
      </c>
      <c r="I111" s="110"/>
      <c r="J111" s="217"/>
    </row>
    <row r="112" spans="1:10" x14ac:dyDescent="0.2">
      <c r="A112" s="3">
        <v>41640</v>
      </c>
      <c r="C112" s="52">
        <f t="shared" si="26"/>
        <v>402309.87347405573</v>
      </c>
      <c r="E112" s="49">
        <f>E111+$G$11</f>
        <v>393233.63647472713</v>
      </c>
      <c r="I112" s="110"/>
      <c r="J112" s="217"/>
    </row>
    <row r="113" spans="1:10" x14ac:dyDescent="0.2">
      <c r="A113" s="3">
        <v>41671</v>
      </c>
      <c r="C113" s="52">
        <f t="shared" si="26"/>
        <v>402309.87347405573</v>
      </c>
      <c r="E113" s="49">
        <f t="shared" ref="E113:E123" si="29">E112+$G$11</f>
        <v>394883.86138369597</v>
      </c>
      <c r="I113" s="110"/>
      <c r="J113" s="217"/>
    </row>
    <row r="114" spans="1:10" x14ac:dyDescent="0.2">
      <c r="A114" s="3">
        <v>41699</v>
      </c>
      <c r="C114" s="52">
        <f t="shared" si="26"/>
        <v>402309.87347405573</v>
      </c>
      <c r="E114" s="49">
        <f t="shared" si="29"/>
        <v>396534.08629266481</v>
      </c>
      <c r="I114" s="110"/>
      <c r="J114" s="217"/>
    </row>
    <row r="115" spans="1:10" x14ac:dyDescent="0.2">
      <c r="A115" s="3">
        <v>41730</v>
      </c>
      <c r="C115" s="52">
        <f t="shared" si="26"/>
        <v>402309.87347405573</v>
      </c>
      <c r="E115" s="49">
        <f t="shared" si="29"/>
        <v>398184.31120163365</v>
      </c>
      <c r="I115" s="110"/>
      <c r="J115" s="217"/>
    </row>
    <row r="116" spans="1:10" x14ac:dyDescent="0.2">
      <c r="A116" s="3">
        <v>41760</v>
      </c>
      <c r="C116" s="52">
        <f t="shared" si="26"/>
        <v>402309.87347405573</v>
      </c>
      <c r="E116" s="49">
        <f t="shared" si="29"/>
        <v>399834.53611060249</v>
      </c>
      <c r="I116" s="110"/>
      <c r="J116" s="217"/>
    </row>
    <row r="117" spans="1:10" x14ac:dyDescent="0.2">
      <c r="A117" s="3">
        <v>41791</v>
      </c>
      <c r="C117" s="52">
        <f t="shared" si="26"/>
        <v>402309.87347405573</v>
      </c>
      <c r="E117" s="49">
        <f t="shared" si="29"/>
        <v>401484.76101957134</v>
      </c>
      <c r="I117" s="110"/>
      <c r="J117" s="217"/>
    </row>
    <row r="118" spans="1:10" x14ac:dyDescent="0.2">
      <c r="A118" s="3">
        <v>41821</v>
      </c>
      <c r="C118" s="52">
        <f t="shared" si="26"/>
        <v>402309.87347405573</v>
      </c>
      <c r="E118" s="49">
        <f t="shared" si="29"/>
        <v>403134.98592854018</v>
      </c>
      <c r="I118" s="110"/>
      <c r="J118" s="217"/>
    </row>
    <row r="119" spans="1:10" x14ac:dyDescent="0.2">
      <c r="A119" s="3">
        <v>41852</v>
      </c>
      <c r="C119" s="52">
        <f t="shared" si="26"/>
        <v>402309.87347405573</v>
      </c>
      <c r="E119" s="49">
        <f t="shared" si="29"/>
        <v>404785.21083750902</v>
      </c>
      <c r="I119" s="110"/>
      <c r="J119" s="217"/>
    </row>
    <row r="120" spans="1:10" x14ac:dyDescent="0.2">
      <c r="A120" s="3">
        <v>41883</v>
      </c>
      <c r="C120" s="52">
        <f t="shared" si="26"/>
        <v>402309.87347405573</v>
      </c>
      <c r="E120" s="49">
        <f t="shared" si="29"/>
        <v>406435.43574647786</v>
      </c>
      <c r="I120" s="110"/>
      <c r="J120" s="217"/>
    </row>
    <row r="121" spans="1:10" x14ac:dyDescent="0.2">
      <c r="A121" s="3">
        <v>41913</v>
      </c>
      <c r="C121" s="52">
        <f t="shared" si="26"/>
        <v>402309.87347405573</v>
      </c>
      <c r="E121" s="49">
        <f t="shared" si="29"/>
        <v>408085.6606554467</v>
      </c>
      <c r="I121" s="110"/>
      <c r="J121" s="217"/>
    </row>
    <row r="122" spans="1:10" x14ac:dyDescent="0.2">
      <c r="A122" s="3">
        <v>41944</v>
      </c>
      <c r="C122" s="52">
        <f t="shared" si="26"/>
        <v>402309.87347405573</v>
      </c>
      <c r="E122" s="49">
        <f t="shared" si="29"/>
        <v>409735.88556441554</v>
      </c>
      <c r="I122" s="110"/>
      <c r="J122" s="217"/>
    </row>
    <row r="123" spans="1:10" x14ac:dyDescent="0.2">
      <c r="A123" s="3">
        <v>41974</v>
      </c>
      <c r="C123" s="52">
        <f t="shared" si="26"/>
        <v>402309.87347405573</v>
      </c>
      <c r="E123" s="49">
        <f t="shared" si="29"/>
        <v>411386.11047338438</v>
      </c>
      <c r="F123" s="48">
        <f>SUM(E112:E123)</f>
        <v>4827718.481688669</v>
      </c>
      <c r="G123" s="48">
        <f>E123*12</f>
        <v>4936633.3256806126</v>
      </c>
      <c r="I123" s="110"/>
      <c r="J123" s="217"/>
    </row>
    <row r="124" spans="1:10" x14ac:dyDescent="0.2">
      <c r="A124" s="180" t="s">
        <v>9</v>
      </c>
      <c r="C124" s="35">
        <f>SUM(C16:C123)</f>
        <v>29160364.984031342</v>
      </c>
      <c r="E124" s="181">
        <f>SUM(E16:E123)</f>
        <v>29160364.984031368</v>
      </c>
      <c r="F124" s="181">
        <f t="shared" ref="F124:G124" si="30">SUM(F16:F123)</f>
        <v>29160364.984031364</v>
      </c>
      <c r="G124" s="181">
        <f t="shared" si="30"/>
        <v>31422988.591634978</v>
      </c>
      <c r="I124" s="110"/>
      <c r="J124" s="217"/>
    </row>
    <row r="125" spans="1:10" x14ac:dyDescent="0.2">
      <c r="C125" s="68">
        <f>C124-M31</f>
        <v>0</v>
      </c>
      <c r="I125" s="110"/>
      <c r="J125" s="217"/>
    </row>
    <row r="126" spans="1:10" x14ac:dyDescent="0.2">
      <c r="I126" s="110"/>
      <c r="J126" s="217"/>
    </row>
    <row r="127" spans="1:10" x14ac:dyDescent="0.2">
      <c r="I127" s="110"/>
      <c r="J127" s="217"/>
    </row>
    <row r="128" spans="1:10" x14ac:dyDescent="0.2">
      <c r="I128" s="110"/>
      <c r="J128" s="217"/>
    </row>
    <row r="129" spans="9:11" x14ac:dyDescent="0.2">
      <c r="I129" s="110"/>
      <c r="J129" s="217"/>
    </row>
    <row r="130" spans="9:11" x14ac:dyDescent="0.2">
      <c r="I130" s="110"/>
      <c r="J130" s="217"/>
    </row>
    <row r="131" spans="9:11" x14ac:dyDescent="0.2">
      <c r="I131" s="110"/>
      <c r="J131" s="217"/>
      <c r="K131" s="72"/>
    </row>
    <row r="132" spans="9:11" x14ac:dyDescent="0.2">
      <c r="I132" s="110"/>
      <c r="J132" s="217"/>
      <c r="K132" s="72"/>
    </row>
    <row r="133" spans="9:11" x14ac:dyDescent="0.2">
      <c r="I133" s="110"/>
      <c r="J133" s="217"/>
      <c r="K133" s="72"/>
    </row>
    <row r="134" spans="9:11" x14ac:dyDescent="0.2">
      <c r="I134" s="110"/>
      <c r="J134" s="217"/>
      <c r="K134" s="226"/>
    </row>
    <row r="135" spans="9:11" x14ac:dyDescent="0.2">
      <c r="I135" s="110"/>
      <c r="J135" s="217"/>
      <c r="K135" s="72"/>
    </row>
    <row r="136" spans="9:11" x14ac:dyDescent="0.2">
      <c r="I136" s="110"/>
      <c r="J136" s="217"/>
      <c r="K136" s="72"/>
    </row>
    <row r="137" spans="9:11" x14ac:dyDescent="0.2">
      <c r="I137" s="110"/>
      <c r="J137" s="217"/>
      <c r="K137" s="72"/>
    </row>
    <row r="138" spans="9:11" x14ac:dyDescent="0.2">
      <c r="I138" s="110"/>
      <c r="J138" s="217"/>
      <c r="K138" s="72"/>
    </row>
    <row r="139" spans="9:11" x14ac:dyDescent="0.2">
      <c r="I139" s="110"/>
      <c r="J139" s="217"/>
      <c r="K139" s="72"/>
    </row>
    <row r="140" spans="9:11" x14ac:dyDescent="0.2">
      <c r="I140" s="110"/>
      <c r="J140" s="217"/>
      <c r="K140" s="72"/>
    </row>
    <row r="141" spans="9:11" x14ac:dyDescent="0.2">
      <c r="I141" s="110"/>
      <c r="J141" s="217"/>
      <c r="K141" s="72"/>
    </row>
    <row r="142" spans="9:11" x14ac:dyDescent="0.2">
      <c r="I142" s="110"/>
      <c r="J142" s="217"/>
      <c r="K142" s="72"/>
    </row>
    <row r="143" spans="9:11" x14ac:dyDescent="0.2">
      <c r="I143" s="110"/>
      <c r="J143" s="217"/>
      <c r="K143" s="72"/>
    </row>
    <row r="144" spans="9:11" x14ac:dyDescent="0.2">
      <c r="I144" s="110"/>
      <c r="J144" s="217"/>
      <c r="K144" s="72"/>
    </row>
    <row r="145" spans="9:11" x14ac:dyDescent="0.2">
      <c r="I145" s="110"/>
      <c r="J145" s="217"/>
      <c r="K145" s="72"/>
    </row>
    <row r="146" spans="9:11" x14ac:dyDescent="0.2">
      <c r="I146" s="110"/>
      <c r="J146" s="217"/>
      <c r="K146" s="72"/>
    </row>
    <row r="147" spans="9:11" x14ac:dyDescent="0.2">
      <c r="I147" s="110"/>
      <c r="J147" s="217"/>
      <c r="K147" s="72"/>
    </row>
    <row r="148" spans="9:11" x14ac:dyDescent="0.2">
      <c r="I148" s="110"/>
      <c r="J148" s="217"/>
      <c r="K148" s="72"/>
    </row>
    <row r="149" spans="9:11" x14ac:dyDescent="0.2">
      <c r="I149" s="110"/>
      <c r="J149" s="217"/>
      <c r="K149" s="72"/>
    </row>
    <row r="150" spans="9:11" x14ac:dyDescent="0.2">
      <c r="I150" s="110"/>
      <c r="J150" s="217"/>
      <c r="K150" s="72"/>
    </row>
    <row r="151" spans="9:11" x14ac:dyDescent="0.2">
      <c r="I151" s="110"/>
      <c r="J151" s="217"/>
      <c r="K151" s="72"/>
    </row>
    <row r="152" spans="9:11" x14ac:dyDescent="0.2">
      <c r="I152" s="110"/>
      <c r="J152" s="217"/>
      <c r="K152" s="72"/>
    </row>
    <row r="153" spans="9:11" x14ac:dyDescent="0.2">
      <c r="I153" s="110"/>
      <c r="J153" s="217"/>
      <c r="K153" s="72"/>
    </row>
    <row r="154" spans="9:11" x14ac:dyDescent="0.2">
      <c r="I154" s="110"/>
      <c r="J154" s="217"/>
      <c r="K154" s="72"/>
    </row>
  </sheetData>
  <mergeCells count="6">
    <mergeCell ref="O11:S11"/>
    <mergeCell ref="T4:W4"/>
    <mergeCell ref="O1:Q1"/>
    <mergeCell ref="I2:J2"/>
    <mergeCell ref="O2:Q2"/>
    <mergeCell ref="O4:S4"/>
  </mergeCells>
  <phoneticPr fontId="1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206"/>
  <sheetViews>
    <sheetView workbookViewId="0">
      <selection activeCell="B123" sqref="B123"/>
    </sheetView>
  </sheetViews>
  <sheetFormatPr defaultRowHeight="12.75" x14ac:dyDescent="0.2"/>
  <cols>
    <col min="8" max="8" width="18.7109375" customWidth="1"/>
    <col min="9" max="10" width="13.85546875" customWidth="1"/>
    <col min="11" max="11" width="13.7109375" customWidth="1"/>
    <col min="12" max="12" width="14.85546875" customWidth="1"/>
  </cols>
  <sheetData>
    <row r="1" spans="1:4" s="16" customFormat="1" x14ac:dyDescent="0.2">
      <c r="A1" s="16" t="s">
        <v>217</v>
      </c>
      <c r="B1" s="16" t="s">
        <v>251</v>
      </c>
      <c r="C1" s="16" t="s">
        <v>252</v>
      </c>
      <c r="D1" s="16" t="s">
        <v>253</v>
      </c>
    </row>
    <row r="2" spans="1:4" x14ac:dyDescent="0.2">
      <c r="A2" s="110">
        <v>35796</v>
      </c>
      <c r="B2">
        <f t="shared" ref="B2:B65" si="0">NETWORKDAYS(A2,A3-1)</f>
        <v>22</v>
      </c>
    </row>
    <row r="3" spans="1:4" x14ac:dyDescent="0.2">
      <c r="A3" s="110">
        <v>35827</v>
      </c>
      <c r="B3">
        <f t="shared" si="0"/>
        <v>20</v>
      </c>
    </row>
    <row r="4" spans="1:4" x14ac:dyDescent="0.2">
      <c r="A4" s="110">
        <v>35855</v>
      </c>
      <c r="B4">
        <f t="shared" si="0"/>
        <v>22</v>
      </c>
    </row>
    <row r="5" spans="1:4" x14ac:dyDescent="0.2">
      <c r="A5" s="110">
        <v>35886</v>
      </c>
      <c r="B5">
        <f t="shared" si="0"/>
        <v>22</v>
      </c>
    </row>
    <row r="6" spans="1:4" x14ac:dyDescent="0.2">
      <c r="A6" s="110">
        <v>35916</v>
      </c>
      <c r="B6">
        <f t="shared" si="0"/>
        <v>21</v>
      </c>
    </row>
    <row r="7" spans="1:4" x14ac:dyDescent="0.2">
      <c r="A7" s="110">
        <v>35947</v>
      </c>
      <c r="B7">
        <f t="shared" si="0"/>
        <v>22</v>
      </c>
    </row>
    <row r="8" spans="1:4" x14ac:dyDescent="0.2">
      <c r="A8" s="110">
        <v>35977</v>
      </c>
      <c r="B8">
        <f t="shared" si="0"/>
        <v>23</v>
      </c>
    </row>
    <row r="9" spans="1:4" x14ac:dyDescent="0.2">
      <c r="A9" s="110">
        <v>36008</v>
      </c>
      <c r="B9">
        <f t="shared" si="0"/>
        <v>21</v>
      </c>
    </row>
    <row r="10" spans="1:4" x14ac:dyDescent="0.2">
      <c r="A10" s="110">
        <v>36039</v>
      </c>
      <c r="B10">
        <f t="shared" si="0"/>
        <v>22</v>
      </c>
    </row>
    <row r="11" spans="1:4" x14ac:dyDescent="0.2">
      <c r="A11" s="110">
        <v>36069</v>
      </c>
      <c r="B11">
        <f t="shared" si="0"/>
        <v>22</v>
      </c>
    </row>
    <row r="12" spans="1:4" x14ac:dyDescent="0.2">
      <c r="A12" s="110">
        <v>36100</v>
      </c>
      <c r="B12">
        <f t="shared" si="0"/>
        <v>21</v>
      </c>
    </row>
    <row r="13" spans="1:4" x14ac:dyDescent="0.2">
      <c r="A13" s="110">
        <v>36130</v>
      </c>
      <c r="B13">
        <f t="shared" si="0"/>
        <v>23</v>
      </c>
    </row>
    <row r="14" spans="1:4" x14ac:dyDescent="0.2">
      <c r="A14" s="110">
        <v>36161</v>
      </c>
      <c r="B14">
        <f t="shared" si="0"/>
        <v>21</v>
      </c>
    </row>
    <row r="15" spans="1:4" x14ac:dyDescent="0.2">
      <c r="A15" s="110">
        <v>36192</v>
      </c>
      <c r="B15">
        <f t="shared" si="0"/>
        <v>20</v>
      </c>
    </row>
    <row r="16" spans="1:4" x14ac:dyDescent="0.2">
      <c r="A16" s="110">
        <v>36220</v>
      </c>
      <c r="B16">
        <f t="shared" si="0"/>
        <v>23</v>
      </c>
    </row>
    <row r="17" spans="1:2" x14ac:dyDescent="0.2">
      <c r="A17" s="110">
        <v>36251</v>
      </c>
      <c r="B17">
        <f t="shared" si="0"/>
        <v>22</v>
      </c>
    </row>
    <row r="18" spans="1:2" x14ac:dyDescent="0.2">
      <c r="A18" s="110">
        <v>36281</v>
      </c>
      <c r="B18">
        <f t="shared" si="0"/>
        <v>21</v>
      </c>
    </row>
    <row r="19" spans="1:2" x14ac:dyDescent="0.2">
      <c r="A19" s="110">
        <v>36312</v>
      </c>
      <c r="B19">
        <f t="shared" si="0"/>
        <v>22</v>
      </c>
    </row>
    <row r="20" spans="1:2" x14ac:dyDescent="0.2">
      <c r="A20" s="110">
        <v>36342</v>
      </c>
      <c r="B20">
        <f t="shared" si="0"/>
        <v>22</v>
      </c>
    </row>
    <row r="21" spans="1:2" x14ac:dyDescent="0.2">
      <c r="A21" s="110">
        <v>36373</v>
      </c>
      <c r="B21">
        <f t="shared" si="0"/>
        <v>22</v>
      </c>
    </row>
    <row r="22" spans="1:2" x14ac:dyDescent="0.2">
      <c r="A22" s="110">
        <v>36404</v>
      </c>
      <c r="B22">
        <f t="shared" si="0"/>
        <v>22</v>
      </c>
    </row>
    <row r="23" spans="1:2" x14ac:dyDescent="0.2">
      <c r="A23" s="110">
        <v>36434</v>
      </c>
      <c r="B23">
        <f t="shared" si="0"/>
        <v>21</v>
      </c>
    </row>
    <row r="24" spans="1:2" x14ac:dyDescent="0.2">
      <c r="A24" s="110">
        <v>36465</v>
      </c>
      <c r="B24">
        <f t="shared" si="0"/>
        <v>22</v>
      </c>
    </row>
    <row r="25" spans="1:2" x14ac:dyDescent="0.2">
      <c r="A25" s="110">
        <v>36495</v>
      </c>
      <c r="B25">
        <f t="shared" si="0"/>
        <v>23</v>
      </c>
    </row>
    <row r="26" spans="1:2" x14ac:dyDescent="0.2">
      <c r="A26" s="110">
        <v>36526</v>
      </c>
      <c r="B26">
        <f t="shared" si="0"/>
        <v>21</v>
      </c>
    </row>
    <row r="27" spans="1:2" x14ac:dyDescent="0.2">
      <c r="A27" s="110">
        <v>36557</v>
      </c>
      <c r="B27">
        <f t="shared" si="0"/>
        <v>21</v>
      </c>
    </row>
    <row r="28" spans="1:2" x14ac:dyDescent="0.2">
      <c r="A28" s="110">
        <v>36586</v>
      </c>
      <c r="B28">
        <f t="shared" si="0"/>
        <v>23</v>
      </c>
    </row>
    <row r="29" spans="1:2" x14ac:dyDescent="0.2">
      <c r="A29" s="110">
        <v>36617</v>
      </c>
      <c r="B29">
        <f t="shared" si="0"/>
        <v>20</v>
      </c>
    </row>
    <row r="30" spans="1:2" x14ac:dyDescent="0.2">
      <c r="A30" s="110">
        <v>36647</v>
      </c>
      <c r="B30">
        <f t="shared" si="0"/>
        <v>23</v>
      </c>
    </row>
    <row r="31" spans="1:2" x14ac:dyDescent="0.2">
      <c r="A31" s="110">
        <v>36678</v>
      </c>
      <c r="B31">
        <f t="shared" si="0"/>
        <v>22</v>
      </c>
    </row>
    <row r="32" spans="1:2" x14ac:dyDescent="0.2">
      <c r="A32" s="110">
        <v>36708</v>
      </c>
      <c r="B32">
        <f t="shared" si="0"/>
        <v>21</v>
      </c>
    </row>
    <row r="33" spans="1:2" x14ac:dyDescent="0.2">
      <c r="A33" s="110">
        <v>36739</v>
      </c>
      <c r="B33">
        <f t="shared" si="0"/>
        <v>23</v>
      </c>
    </row>
    <row r="34" spans="1:2" x14ac:dyDescent="0.2">
      <c r="A34" s="110">
        <v>36770</v>
      </c>
      <c r="B34">
        <f t="shared" si="0"/>
        <v>21</v>
      </c>
    </row>
    <row r="35" spans="1:2" x14ac:dyDescent="0.2">
      <c r="A35" s="110">
        <v>36800</v>
      </c>
      <c r="B35">
        <f t="shared" si="0"/>
        <v>22</v>
      </c>
    </row>
    <row r="36" spans="1:2" x14ac:dyDescent="0.2">
      <c r="A36" s="110">
        <v>36831</v>
      </c>
      <c r="B36">
        <f t="shared" si="0"/>
        <v>22</v>
      </c>
    </row>
    <row r="37" spans="1:2" x14ac:dyDescent="0.2">
      <c r="A37" s="110">
        <v>36861</v>
      </c>
      <c r="B37">
        <f t="shared" si="0"/>
        <v>21</v>
      </c>
    </row>
    <row r="38" spans="1:2" x14ac:dyDescent="0.2">
      <c r="A38" s="110">
        <v>36892</v>
      </c>
      <c r="B38">
        <f t="shared" si="0"/>
        <v>23</v>
      </c>
    </row>
    <row r="39" spans="1:2" x14ac:dyDescent="0.2">
      <c r="A39" s="110">
        <v>36923</v>
      </c>
      <c r="B39">
        <f t="shared" si="0"/>
        <v>20</v>
      </c>
    </row>
    <row r="40" spans="1:2" x14ac:dyDescent="0.2">
      <c r="A40" s="110">
        <v>36951</v>
      </c>
      <c r="B40">
        <f t="shared" si="0"/>
        <v>22</v>
      </c>
    </row>
    <row r="41" spans="1:2" x14ac:dyDescent="0.2">
      <c r="A41" s="110">
        <v>36982</v>
      </c>
      <c r="B41">
        <f t="shared" si="0"/>
        <v>21</v>
      </c>
    </row>
    <row r="42" spans="1:2" x14ac:dyDescent="0.2">
      <c r="A42" s="110">
        <v>37012</v>
      </c>
      <c r="B42">
        <f t="shared" si="0"/>
        <v>23</v>
      </c>
    </row>
    <row r="43" spans="1:2" x14ac:dyDescent="0.2">
      <c r="A43" s="110">
        <v>37043</v>
      </c>
      <c r="B43">
        <f t="shared" si="0"/>
        <v>21</v>
      </c>
    </row>
    <row r="44" spans="1:2" x14ac:dyDescent="0.2">
      <c r="A44" s="110">
        <v>37073</v>
      </c>
      <c r="B44">
        <f t="shared" si="0"/>
        <v>22</v>
      </c>
    </row>
    <row r="45" spans="1:2" x14ac:dyDescent="0.2">
      <c r="A45" s="110">
        <v>37104</v>
      </c>
      <c r="B45">
        <f t="shared" si="0"/>
        <v>23</v>
      </c>
    </row>
    <row r="46" spans="1:2" x14ac:dyDescent="0.2">
      <c r="A46" s="110">
        <v>37135</v>
      </c>
      <c r="B46">
        <f t="shared" si="0"/>
        <v>20</v>
      </c>
    </row>
    <row r="47" spans="1:2" x14ac:dyDescent="0.2">
      <c r="A47" s="110">
        <v>37165</v>
      </c>
      <c r="B47">
        <f t="shared" si="0"/>
        <v>23</v>
      </c>
    </row>
    <row r="48" spans="1:2" x14ac:dyDescent="0.2">
      <c r="A48" s="110">
        <v>37196</v>
      </c>
      <c r="B48">
        <f t="shared" si="0"/>
        <v>22</v>
      </c>
    </row>
    <row r="49" spans="1:2" x14ac:dyDescent="0.2">
      <c r="A49" s="110">
        <v>37226</v>
      </c>
      <c r="B49">
        <f t="shared" si="0"/>
        <v>21</v>
      </c>
    </row>
    <row r="50" spans="1:2" x14ac:dyDescent="0.2">
      <c r="A50" s="110">
        <v>37257</v>
      </c>
      <c r="B50">
        <f t="shared" si="0"/>
        <v>23</v>
      </c>
    </row>
    <row r="51" spans="1:2" x14ac:dyDescent="0.2">
      <c r="A51" s="110">
        <v>37288</v>
      </c>
      <c r="B51">
        <f t="shared" si="0"/>
        <v>20</v>
      </c>
    </row>
    <row r="52" spans="1:2" x14ac:dyDescent="0.2">
      <c r="A52" s="110">
        <v>37316</v>
      </c>
      <c r="B52">
        <f t="shared" si="0"/>
        <v>21</v>
      </c>
    </row>
    <row r="53" spans="1:2" x14ac:dyDescent="0.2">
      <c r="A53" s="110">
        <v>37347</v>
      </c>
      <c r="B53">
        <f t="shared" si="0"/>
        <v>22</v>
      </c>
    </row>
    <row r="54" spans="1:2" x14ac:dyDescent="0.2">
      <c r="A54" s="110">
        <v>37377</v>
      </c>
      <c r="B54">
        <f t="shared" si="0"/>
        <v>23</v>
      </c>
    </row>
    <row r="55" spans="1:2" x14ac:dyDescent="0.2">
      <c r="A55" s="110">
        <v>37408</v>
      </c>
      <c r="B55">
        <f t="shared" si="0"/>
        <v>20</v>
      </c>
    </row>
    <row r="56" spans="1:2" x14ac:dyDescent="0.2">
      <c r="A56" s="110">
        <v>37438</v>
      </c>
      <c r="B56">
        <f t="shared" si="0"/>
        <v>23</v>
      </c>
    </row>
    <row r="57" spans="1:2" x14ac:dyDescent="0.2">
      <c r="A57" s="110">
        <v>37469</v>
      </c>
      <c r="B57">
        <f t="shared" si="0"/>
        <v>22</v>
      </c>
    </row>
    <row r="58" spans="1:2" x14ac:dyDescent="0.2">
      <c r="A58" s="110">
        <v>37500</v>
      </c>
      <c r="B58">
        <f t="shared" si="0"/>
        <v>21</v>
      </c>
    </row>
    <row r="59" spans="1:2" x14ac:dyDescent="0.2">
      <c r="A59" s="110">
        <v>37530</v>
      </c>
      <c r="B59">
        <f t="shared" si="0"/>
        <v>23</v>
      </c>
    </row>
    <row r="60" spans="1:2" x14ac:dyDescent="0.2">
      <c r="A60" s="110">
        <v>37561</v>
      </c>
      <c r="B60">
        <f t="shared" si="0"/>
        <v>21</v>
      </c>
    </row>
    <row r="61" spans="1:2" x14ac:dyDescent="0.2">
      <c r="A61" s="110">
        <v>37591</v>
      </c>
      <c r="B61">
        <f t="shared" si="0"/>
        <v>22</v>
      </c>
    </row>
    <row r="62" spans="1:2" x14ac:dyDescent="0.2">
      <c r="A62" s="110">
        <v>37622</v>
      </c>
      <c r="B62">
        <f t="shared" si="0"/>
        <v>23</v>
      </c>
    </row>
    <row r="63" spans="1:2" x14ac:dyDescent="0.2">
      <c r="A63" s="110">
        <v>37653</v>
      </c>
      <c r="B63">
        <f t="shared" si="0"/>
        <v>20</v>
      </c>
    </row>
    <row r="64" spans="1:2" x14ac:dyDescent="0.2">
      <c r="A64" s="110">
        <v>37681</v>
      </c>
      <c r="B64">
        <f t="shared" si="0"/>
        <v>21</v>
      </c>
    </row>
    <row r="65" spans="1:2" x14ac:dyDescent="0.2">
      <c r="A65" s="110">
        <v>37712</v>
      </c>
      <c r="B65">
        <f t="shared" si="0"/>
        <v>22</v>
      </c>
    </row>
    <row r="66" spans="1:2" x14ac:dyDescent="0.2">
      <c r="A66" s="110">
        <v>37742</v>
      </c>
      <c r="B66">
        <f t="shared" ref="B66:B129" si="1">NETWORKDAYS(A66,A67-1)</f>
        <v>22</v>
      </c>
    </row>
    <row r="67" spans="1:2" x14ac:dyDescent="0.2">
      <c r="A67" s="110">
        <v>37773</v>
      </c>
      <c r="B67">
        <f t="shared" si="1"/>
        <v>21</v>
      </c>
    </row>
    <row r="68" spans="1:2" x14ac:dyDescent="0.2">
      <c r="A68" s="110">
        <v>37803</v>
      </c>
      <c r="B68">
        <f t="shared" si="1"/>
        <v>23</v>
      </c>
    </row>
    <row r="69" spans="1:2" x14ac:dyDescent="0.2">
      <c r="A69" s="110">
        <v>37834</v>
      </c>
      <c r="B69">
        <f t="shared" si="1"/>
        <v>21</v>
      </c>
    </row>
    <row r="70" spans="1:2" x14ac:dyDescent="0.2">
      <c r="A70" s="110">
        <v>37865</v>
      </c>
      <c r="B70">
        <f t="shared" si="1"/>
        <v>22</v>
      </c>
    </row>
    <row r="71" spans="1:2" x14ac:dyDescent="0.2">
      <c r="A71" s="110">
        <v>37895</v>
      </c>
      <c r="B71">
        <f t="shared" si="1"/>
        <v>23</v>
      </c>
    </row>
    <row r="72" spans="1:2" x14ac:dyDescent="0.2">
      <c r="A72" s="110">
        <v>37926</v>
      </c>
      <c r="B72">
        <f t="shared" si="1"/>
        <v>20</v>
      </c>
    </row>
    <row r="73" spans="1:2" x14ac:dyDescent="0.2">
      <c r="A73" s="110">
        <v>37956</v>
      </c>
      <c r="B73">
        <f t="shared" si="1"/>
        <v>23</v>
      </c>
    </row>
    <row r="74" spans="1:2" x14ac:dyDescent="0.2">
      <c r="A74" s="110">
        <v>37987</v>
      </c>
      <c r="B74">
        <f t="shared" si="1"/>
        <v>22</v>
      </c>
    </row>
    <row r="75" spans="1:2" x14ac:dyDescent="0.2">
      <c r="A75" s="110">
        <v>38018</v>
      </c>
      <c r="B75">
        <f t="shared" si="1"/>
        <v>20</v>
      </c>
    </row>
    <row r="76" spans="1:2" x14ac:dyDescent="0.2">
      <c r="A76" s="110">
        <v>38047</v>
      </c>
      <c r="B76">
        <f t="shared" si="1"/>
        <v>23</v>
      </c>
    </row>
    <row r="77" spans="1:2" x14ac:dyDescent="0.2">
      <c r="A77" s="110">
        <v>38078</v>
      </c>
      <c r="B77">
        <f t="shared" si="1"/>
        <v>22</v>
      </c>
    </row>
    <row r="78" spans="1:2" x14ac:dyDescent="0.2">
      <c r="A78" s="110">
        <v>38108</v>
      </c>
      <c r="B78">
        <f t="shared" si="1"/>
        <v>21</v>
      </c>
    </row>
    <row r="79" spans="1:2" x14ac:dyDescent="0.2">
      <c r="A79" s="110">
        <v>38139</v>
      </c>
      <c r="B79">
        <f t="shared" si="1"/>
        <v>22</v>
      </c>
    </row>
    <row r="80" spans="1:2" x14ac:dyDescent="0.2">
      <c r="A80" s="110">
        <v>38169</v>
      </c>
      <c r="B80">
        <f t="shared" si="1"/>
        <v>22</v>
      </c>
    </row>
    <row r="81" spans="1:2" x14ac:dyDescent="0.2">
      <c r="A81" s="110">
        <v>38200</v>
      </c>
      <c r="B81">
        <f t="shared" si="1"/>
        <v>22</v>
      </c>
    </row>
    <row r="82" spans="1:2" x14ac:dyDescent="0.2">
      <c r="A82" s="110">
        <v>38231</v>
      </c>
      <c r="B82">
        <f t="shared" si="1"/>
        <v>22</v>
      </c>
    </row>
    <row r="83" spans="1:2" x14ac:dyDescent="0.2">
      <c r="A83" s="110">
        <v>38261</v>
      </c>
      <c r="B83">
        <f t="shared" si="1"/>
        <v>21</v>
      </c>
    </row>
    <row r="84" spans="1:2" x14ac:dyDescent="0.2">
      <c r="A84" s="110">
        <v>38292</v>
      </c>
      <c r="B84">
        <f t="shared" si="1"/>
        <v>22</v>
      </c>
    </row>
    <row r="85" spans="1:2" x14ac:dyDescent="0.2">
      <c r="A85" s="110">
        <v>38322</v>
      </c>
      <c r="B85">
        <f t="shared" si="1"/>
        <v>23</v>
      </c>
    </row>
    <row r="86" spans="1:2" x14ac:dyDescent="0.2">
      <c r="A86" s="110">
        <v>38353</v>
      </c>
      <c r="B86">
        <f t="shared" si="1"/>
        <v>21</v>
      </c>
    </row>
    <row r="87" spans="1:2" x14ac:dyDescent="0.2">
      <c r="A87" s="110">
        <v>38384</v>
      </c>
      <c r="B87">
        <f t="shared" si="1"/>
        <v>20</v>
      </c>
    </row>
    <row r="88" spans="1:2" x14ac:dyDescent="0.2">
      <c r="A88" s="110">
        <v>38412</v>
      </c>
      <c r="B88">
        <f t="shared" si="1"/>
        <v>23</v>
      </c>
    </row>
    <row r="89" spans="1:2" x14ac:dyDescent="0.2">
      <c r="A89" s="110">
        <v>38443</v>
      </c>
      <c r="B89">
        <f t="shared" si="1"/>
        <v>21</v>
      </c>
    </row>
    <row r="90" spans="1:2" x14ac:dyDescent="0.2">
      <c r="A90" s="110">
        <v>38473</v>
      </c>
      <c r="B90">
        <f t="shared" si="1"/>
        <v>22</v>
      </c>
    </row>
    <row r="91" spans="1:2" x14ac:dyDescent="0.2">
      <c r="A91" s="110">
        <v>38504</v>
      </c>
      <c r="B91">
        <f t="shared" si="1"/>
        <v>22</v>
      </c>
    </row>
    <row r="92" spans="1:2" x14ac:dyDescent="0.2">
      <c r="A92" s="110">
        <v>38534</v>
      </c>
      <c r="B92">
        <f t="shared" si="1"/>
        <v>21</v>
      </c>
    </row>
    <row r="93" spans="1:2" x14ac:dyDescent="0.2">
      <c r="A93" s="110">
        <v>38565</v>
      </c>
      <c r="B93">
        <f t="shared" si="1"/>
        <v>23</v>
      </c>
    </row>
    <row r="94" spans="1:2" x14ac:dyDescent="0.2">
      <c r="A94" s="110">
        <v>38596</v>
      </c>
      <c r="B94">
        <f t="shared" si="1"/>
        <v>22</v>
      </c>
    </row>
    <row r="95" spans="1:2" x14ac:dyDescent="0.2">
      <c r="A95" s="110">
        <v>38626</v>
      </c>
      <c r="B95">
        <f t="shared" si="1"/>
        <v>21</v>
      </c>
    </row>
    <row r="96" spans="1:2" x14ac:dyDescent="0.2">
      <c r="A96" s="110">
        <v>38657</v>
      </c>
      <c r="B96">
        <f t="shared" si="1"/>
        <v>22</v>
      </c>
    </row>
    <row r="97" spans="1:2" x14ac:dyDescent="0.2">
      <c r="A97" s="110">
        <v>38687</v>
      </c>
      <c r="B97">
        <f t="shared" si="1"/>
        <v>22</v>
      </c>
    </row>
    <row r="98" spans="1:2" x14ac:dyDescent="0.2">
      <c r="A98" s="110">
        <v>38718</v>
      </c>
      <c r="B98">
        <f t="shared" si="1"/>
        <v>22</v>
      </c>
    </row>
    <row r="99" spans="1:2" x14ac:dyDescent="0.2">
      <c r="A99" s="110">
        <v>38749</v>
      </c>
      <c r="B99">
        <f t="shared" si="1"/>
        <v>20</v>
      </c>
    </row>
    <row r="100" spans="1:2" x14ac:dyDescent="0.2">
      <c r="A100" s="110">
        <v>38777</v>
      </c>
      <c r="B100">
        <f t="shared" si="1"/>
        <v>23</v>
      </c>
    </row>
    <row r="101" spans="1:2" x14ac:dyDescent="0.2">
      <c r="A101" s="110">
        <v>38808</v>
      </c>
      <c r="B101">
        <f t="shared" si="1"/>
        <v>20</v>
      </c>
    </row>
    <row r="102" spans="1:2" x14ac:dyDescent="0.2">
      <c r="A102" s="110">
        <v>38838</v>
      </c>
      <c r="B102">
        <f t="shared" si="1"/>
        <v>23</v>
      </c>
    </row>
    <row r="103" spans="1:2" x14ac:dyDescent="0.2">
      <c r="A103" s="110">
        <v>38869</v>
      </c>
      <c r="B103">
        <f t="shared" si="1"/>
        <v>22</v>
      </c>
    </row>
    <row r="104" spans="1:2" x14ac:dyDescent="0.2">
      <c r="A104" s="110">
        <v>38899</v>
      </c>
      <c r="B104">
        <f t="shared" si="1"/>
        <v>21</v>
      </c>
    </row>
    <row r="105" spans="1:2" x14ac:dyDescent="0.2">
      <c r="A105" s="110">
        <v>38930</v>
      </c>
      <c r="B105">
        <f t="shared" si="1"/>
        <v>23</v>
      </c>
    </row>
    <row r="106" spans="1:2" x14ac:dyDescent="0.2">
      <c r="A106" s="110">
        <v>38961</v>
      </c>
      <c r="B106">
        <f t="shared" si="1"/>
        <v>21</v>
      </c>
    </row>
    <row r="107" spans="1:2" x14ac:dyDescent="0.2">
      <c r="A107" s="110">
        <v>38991</v>
      </c>
      <c r="B107">
        <f t="shared" si="1"/>
        <v>22</v>
      </c>
    </row>
    <row r="108" spans="1:2" x14ac:dyDescent="0.2">
      <c r="A108" s="110">
        <v>39022</v>
      </c>
      <c r="B108">
        <f t="shared" si="1"/>
        <v>22</v>
      </c>
    </row>
    <row r="109" spans="1:2" x14ac:dyDescent="0.2">
      <c r="A109" s="110">
        <v>39052</v>
      </c>
      <c r="B109">
        <f t="shared" si="1"/>
        <v>21</v>
      </c>
    </row>
    <row r="110" spans="1:2" x14ac:dyDescent="0.2">
      <c r="A110" s="110">
        <v>39083</v>
      </c>
      <c r="B110">
        <f t="shared" si="1"/>
        <v>23</v>
      </c>
    </row>
    <row r="111" spans="1:2" x14ac:dyDescent="0.2">
      <c r="A111" s="110">
        <v>39114</v>
      </c>
      <c r="B111">
        <f t="shared" si="1"/>
        <v>20</v>
      </c>
    </row>
    <row r="112" spans="1:2" x14ac:dyDescent="0.2">
      <c r="A112" s="110">
        <v>39142</v>
      </c>
      <c r="B112">
        <f t="shared" si="1"/>
        <v>22</v>
      </c>
    </row>
    <row r="113" spans="1:2" x14ac:dyDescent="0.2">
      <c r="A113" s="110">
        <v>39173</v>
      </c>
      <c r="B113">
        <f t="shared" si="1"/>
        <v>21</v>
      </c>
    </row>
    <row r="114" spans="1:2" x14ac:dyDescent="0.2">
      <c r="A114" s="110">
        <v>39203</v>
      </c>
      <c r="B114">
        <f t="shared" si="1"/>
        <v>23</v>
      </c>
    </row>
    <row r="115" spans="1:2" x14ac:dyDescent="0.2">
      <c r="A115" s="110">
        <v>39234</v>
      </c>
      <c r="B115">
        <f t="shared" si="1"/>
        <v>21</v>
      </c>
    </row>
    <row r="116" spans="1:2" x14ac:dyDescent="0.2">
      <c r="A116" s="110">
        <v>39264</v>
      </c>
      <c r="B116">
        <f t="shared" si="1"/>
        <v>22</v>
      </c>
    </row>
    <row r="117" spans="1:2" x14ac:dyDescent="0.2">
      <c r="A117" s="110">
        <v>39295</v>
      </c>
      <c r="B117">
        <f t="shared" si="1"/>
        <v>23</v>
      </c>
    </row>
    <row r="118" spans="1:2" x14ac:dyDescent="0.2">
      <c r="A118" s="110">
        <v>39326</v>
      </c>
      <c r="B118">
        <f t="shared" si="1"/>
        <v>20</v>
      </c>
    </row>
    <row r="119" spans="1:2" x14ac:dyDescent="0.2">
      <c r="A119" s="110">
        <v>39356</v>
      </c>
      <c r="B119">
        <f t="shared" si="1"/>
        <v>23</v>
      </c>
    </row>
    <row r="120" spans="1:2" x14ac:dyDescent="0.2">
      <c r="A120" s="110">
        <v>39387</v>
      </c>
      <c r="B120">
        <f t="shared" si="1"/>
        <v>22</v>
      </c>
    </row>
    <row r="121" spans="1:2" x14ac:dyDescent="0.2">
      <c r="A121" s="110">
        <v>39417</v>
      </c>
      <c r="B121">
        <f t="shared" si="1"/>
        <v>21</v>
      </c>
    </row>
    <row r="122" spans="1:2" x14ac:dyDescent="0.2">
      <c r="A122" s="110">
        <v>39448</v>
      </c>
      <c r="B122">
        <f t="shared" si="1"/>
        <v>23</v>
      </c>
    </row>
    <row r="123" spans="1:2" x14ac:dyDescent="0.2">
      <c r="A123" s="110">
        <v>39479</v>
      </c>
      <c r="B123">
        <f t="shared" si="1"/>
        <v>21</v>
      </c>
    </row>
    <row r="124" spans="1:2" x14ac:dyDescent="0.2">
      <c r="A124" s="110">
        <v>39508</v>
      </c>
      <c r="B124">
        <f t="shared" si="1"/>
        <v>21</v>
      </c>
    </row>
    <row r="125" spans="1:2" x14ac:dyDescent="0.2">
      <c r="A125" s="110">
        <v>39539</v>
      </c>
      <c r="B125">
        <f t="shared" si="1"/>
        <v>22</v>
      </c>
    </row>
    <row r="126" spans="1:2" x14ac:dyDescent="0.2">
      <c r="A126" s="110">
        <v>39569</v>
      </c>
      <c r="B126">
        <f t="shared" si="1"/>
        <v>22</v>
      </c>
    </row>
    <row r="127" spans="1:2" x14ac:dyDescent="0.2">
      <c r="A127" s="110">
        <v>39600</v>
      </c>
      <c r="B127">
        <f t="shared" si="1"/>
        <v>21</v>
      </c>
    </row>
    <row r="128" spans="1:2" x14ac:dyDescent="0.2">
      <c r="A128" s="110">
        <v>39630</v>
      </c>
      <c r="B128">
        <f t="shared" si="1"/>
        <v>23</v>
      </c>
    </row>
    <row r="129" spans="1:2" x14ac:dyDescent="0.2">
      <c r="A129" s="110">
        <v>39661</v>
      </c>
      <c r="B129">
        <f t="shared" si="1"/>
        <v>21</v>
      </c>
    </row>
    <row r="130" spans="1:2" x14ac:dyDescent="0.2">
      <c r="A130" s="110">
        <v>39692</v>
      </c>
      <c r="B130">
        <f t="shared" ref="B130:B193" si="2">NETWORKDAYS(A130,A131-1)</f>
        <v>22</v>
      </c>
    </row>
    <row r="131" spans="1:2" x14ac:dyDescent="0.2">
      <c r="A131" s="110">
        <v>39722</v>
      </c>
      <c r="B131">
        <f t="shared" si="2"/>
        <v>23</v>
      </c>
    </row>
    <row r="132" spans="1:2" x14ac:dyDescent="0.2">
      <c r="A132" s="110">
        <v>39753</v>
      </c>
      <c r="B132">
        <f t="shared" si="2"/>
        <v>20</v>
      </c>
    </row>
    <row r="133" spans="1:2" x14ac:dyDescent="0.2">
      <c r="A133" s="110">
        <v>39783</v>
      </c>
      <c r="B133">
        <f t="shared" si="2"/>
        <v>23</v>
      </c>
    </row>
    <row r="134" spans="1:2" x14ac:dyDescent="0.2">
      <c r="A134" s="110">
        <v>39814</v>
      </c>
      <c r="B134">
        <f t="shared" si="2"/>
        <v>22</v>
      </c>
    </row>
    <row r="135" spans="1:2" x14ac:dyDescent="0.2">
      <c r="A135" s="110">
        <v>39845</v>
      </c>
      <c r="B135">
        <f t="shared" si="2"/>
        <v>20</v>
      </c>
    </row>
    <row r="136" spans="1:2" x14ac:dyDescent="0.2">
      <c r="A136" s="110">
        <v>39873</v>
      </c>
      <c r="B136">
        <f t="shared" si="2"/>
        <v>22</v>
      </c>
    </row>
    <row r="137" spans="1:2" x14ac:dyDescent="0.2">
      <c r="A137" s="110">
        <v>39904</v>
      </c>
      <c r="B137">
        <f t="shared" si="2"/>
        <v>22</v>
      </c>
    </row>
    <row r="138" spans="1:2" x14ac:dyDescent="0.2">
      <c r="A138" s="110">
        <v>39934</v>
      </c>
      <c r="B138">
        <f t="shared" si="2"/>
        <v>21</v>
      </c>
    </row>
    <row r="139" spans="1:2" x14ac:dyDescent="0.2">
      <c r="A139" s="110">
        <v>39965</v>
      </c>
      <c r="B139">
        <f t="shared" si="2"/>
        <v>22</v>
      </c>
    </row>
    <row r="140" spans="1:2" x14ac:dyDescent="0.2">
      <c r="A140" s="110">
        <v>39995</v>
      </c>
      <c r="B140">
        <f t="shared" si="2"/>
        <v>23</v>
      </c>
    </row>
    <row r="141" spans="1:2" x14ac:dyDescent="0.2">
      <c r="A141" s="110">
        <v>40026</v>
      </c>
      <c r="B141">
        <f t="shared" si="2"/>
        <v>21</v>
      </c>
    </row>
    <row r="142" spans="1:2" x14ac:dyDescent="0.2">
      <c r="A142" s="110">
        <v>40057</v>
      </c>
      <c r="B142">
        <f t="shared" si="2"/>
        <v>22</v>
      </c>
    </row>
    <row r="143" spans="1:2" x14ac:dyDescent="0.2">
      <c r="A143" s="110">
        <v>40087</v>
      </c>
      <c r="B143">
        <f t="shared" si="2"/>
        <v>22</v>
      </c>
    </row>
    <row r="144" spans="1:2" x14ac:dyDescent="0.2">
      <c r="A144" s="110">
        <v>40118</v>
      </c>
      <c r="B144">
        <f t="shared" si="2"/>
        <v>21</v>
      </c>
    </row>
    <row r="145" spans="1:12" x14ac:dyDescent="0.2">
      <c r="A145" s="110">
        <v>40148</v>
      </c>
      <c r="B145">
        <f t="shared" si="2"/>
        <v>23</v>
      </c>
    </row>
    <row r="146" spans="1:12" x14ac:dyDescent="0.2">
      <c r="A146" s="110">
        <v>40179</v>
      </c>
      <c r="B146">
        <f t="shared" si="2"/>
        <v>21</v>
      </c>
    </row>
    <row r="147" spans="1:12" x14ac:dyDescent="0.2">
      <c r="A147" s="110">
        <v>40210</v>
      </c>
      <c r="B147">
        <f t="shared" si="2"/>
        <v>20</v>
      </c>
    </row>
    <row r="148" spans="1:12" x14ac:dyDescent="0.2">
      <c r="A148" s="110">
        <v>40238</v>
      </c>
      <c r="B148">
        <f t="shared" si="2"/>
        <v>23</v>
      </c>
    </row>
    <row r="149" spans="1:12" x14ac:dyDescent="0.2">
      <c r="A149" s="110">
        <v>40269</v>
      </c>
      <c r="B149">
        <f t="shared" si="2"/>
        <v>22</v>
      </c>
    </row>
    <row r="150" spans="1:12" x14ac:dyDescent="0.2">
      <c r="A150" s="110">
        <v>40299</v>
      </c>
      <c r="B150">
        <f t="shared" si="2"/>
        <v>21</v>
      </c>
    </row>
    <row r="151" spans="1:12" x14ac:dyDescent="0.2">
      <c r="A151" s="110">
        <v>40330</v>
      </c>
      <c r="B151">
        <f t="shared" si="2"/>
        <v>22</v>
      </c>
    </row>
    <row r="152" spans="1:12" x14ac:dyDescent="0.2">
      <c r="A152" s="110">
        <v>40360</v>
      </c>
      <c r="B152">
        <f t="shared" si="2"/>
        <v>22</v>
      </c>
    </row>
    <row r="153" spans="1:12" x14ac:dyDescent="0.2">
      <c r="A153" s="110">
        <v>40391</v>
      </c>
      <c r="B153">
        <f t="shared" si="2"/>
        <v>22</v>
      </c>
    </row>
    <row r="154" spans="1:12" x14ac:dyDescent="0.2">
      <c r="A154" s="110">
        <v>40422</v>
      </c>
      <c r="B154">
        <f t="shared" si="2"/>
        <v>22</v>
      </c>
    </row>
    <row r="155" spans="1:12" x14ac:dyDescent="0.2">
      <c r="A155" s="110">
        <v>40452</v>
      </c>
      <c r="B155">
        <f t="shared" si="2"/>
        <v>21</v>
      </c>
    </row>
    <row r="156" spans="1:12" x14ac:dyDescent="0.2">
      <c r="A156" s="110">
        <v>40483</v>
      </c>
      <c r="B156">
        <f t="shared" si="2"/>
        <v>22</v>
      </c>
    </row>
    <row r="157" spans="1:12" x14ac:dyDescent="0.2">
      <c r="A157" s="110">
        <v>40513</v>
      </c>
      <c r="B157">
        <f t="shared" si="2"/>
        <v>23</v>
      </c>
    </row>
    <row r="158" spans="1:12" x14ac:dyDescent="0.2">
      <c r="A158" s="110">
        <v>40544</v>
      </c>
      <c r="B158">
        <f t="shared" si="2"/>
        <v>21</v>
      </c>
      <c r="C158">
        <v>1</v>
      </c>
      <c r="D158" s="151">
        <f t="shared" ref="D158:D169" si="3">B158-C158</f>
        <v>20</v>
      </c>
      <c r="E158" s="151"/>
    </row>
    <row r="159" spans="1:12" ht="13.5" thickBot="1" x14ac:dyDescent="0.25">
      <c r="A159" s="110">
        <v>40575</v>
      </c>
      <c r="B159">
        <f t="shared" si="2"/>
        <v>20</v>
      </c>
      <c r="C159">
        <v>1</v>
      </c>
      <c r="D159" s="151">
        <f t="shared" si="3"/>
        <v>19</v>
      </c>
      <c r="E159" s="151"/>
    </row>
    <row r="160" spans="1:12" ht="13.5" thickBot="1" x14ac:dyDescent="0.25">
      <c r="A160" s="110">
        <v>40603</v>
      </c>
      <c r="B160">
        <f t="shared" si="2"/>
        <v>23</v>
      </c>
      <c r="C160">
        <v>0</v>
      </c>
      <c r="D160" s="151">
        <f t="shared" si="3"/>
        <v>23</v>
      </c>
      <c r="E160" s="151"/>
      <c r="H160" s="153" t="s">
        <v>254</v>
      </c>
      <c r="I160" s="152">
        <v>2011</v>
      </c>
      <c r="J160" s="152">
        <v>2012</v>
      </c>
      <c r="K160" s="152">
        <v>2013</v>
      </c>
      <c r="L160" s="154">
        <v>2014</v>
      </c>
    </row>
    <row r="161" spans="1:12" x14ac:dyDescent="0.2">
      <c r="A161" s="110">
        <v>40634</v>
      </c>
      <c r="B161">
        <f t="shared" si="2"/>
        <v>21</v>
      </c>
      <c r="C161">
        <v>1</v>
      </c>
      <c r="D161" s="151">
        <f t="shared" si="3"/>
        <v>20</v>
      </c>
      <c r="E161" s="151"/>
      <c r="H161" s="155" t="s">
        <v>255</v>
      </c>
      <c r="I161" s="822" t="s">
        <v>256</v>
      </c>
      <c r="J161" s="822" t="s">
        <v>257</v>
      </c>
      <c r="K161" s="822" t="s">
        <v>258</v>
      </c>
      <c r="L161" s="824" t="s">
        <v>259</v>
      </c>
    </row>
    <row r="162" spans="1:12" ht="13.5" thickBot="1" x14ac:dyDescent="0.25">
      <c r="A162" s="110">
        <v>40664</v>
      </c>
      <c r="B162">
        <f t="shared" si="2"/>
        <v>22</v>
      </c>
      <c r="C162">
        <v>1</v>
      </c>
      <c r="D162" s="151">
        <f t="shared" si="3"/>
        <v>21</v>
      </c>
      <c r="E162" s="151"/>
      <c r="H162" s="156">
        <v>41275</v>
      </c>
      <c r="I162" s="826"/>
      <c r="J162" s="826"/>
      <c r="K162" s="826"/>
      <c r="L162" s="827"/>
    </row>
    <row r="163" spans="1:12" x14ac:dyDescent="0.2">
      <c r="A163" s="110">
        <v>40695</v>
      </c>
      <c r="B163">
        <f t="shared" si="2"/>
        <v>22</v>
      </c>
      <c r="C163">
        <v>0</v>
      </c>
      <c r="D163" s="151">
        <f t="shared" si="3"/>
        <v>22</v>
      </c>
      <c r="E163" s="151"/>
      <c r="H163" s="157" t="s">
        <v>235</v>
      </c>
      <c r="I163" s="828" t="s">
        <v>260</v>
      </c>
      <c r="J163" s="828" t="s">
        <v>261</v>
      </c>
      <c r="K163" s="828" t="s">
        <v>262</v>
      </c>
      <c r="L163" s="830" t="s">
        <v>263</v>
      </c>
    </row>
    <row r="164" spans="1:12" ht="23.25" thickBot="1" x14ac:dyDescent="0.25">
      <c r="A164" s="110">
        <v>40725</v>
      </c>
      <c r="B164">
        <f t="shared" si="2"/>
        <v>21</v>
      </c>
      <c r="C164">
        <v>1</v>
      </c>
      <c r="D164" s="151">
        <f t="shared" si="3"/>
        <v>20</v>
      </c>
      <c r="E164" s="151"/>
      <c r="H164" s="158" t="s">
        <v>236</v>
      </c>
      <c r="I164" s="829"/>
      <c r="J164" s="829"/>
      <c r="K164" s="829"/>
      <c r="L164" s="831"/>
    </row>
    <row r="165" spans="1:12" x14ac:dyDescent="0.2">
      <c r="A165" s="110">
        <v>40756</v>
      </c>
      <c r="B165">
        <f t="shared" si="2"/>
        <v>23</v>
      </c>
      <c r="C165">
        <v>1</v>
      </c>
      <c r="D165" s="151">
        <f t="shared" si="3"/>
        <v>22</v>
      </c>
      <c r="E165" s="151"/>
      <c r="H165" s="155" t="s">
        <v>237</v>
      </c>
      <c r="I165" s="822" t="s">
        <v>264</v>
      </c>
      <c r="J165" s="822" t="s">
        <v>265</v>
      </c>
      <c r="K165" s="822" t="s">
        <v>266</v>
      </c>
      <c r="L165" s="824" t="s">
        <v>267</v>
      </c>
    </row>
    <row r="166" spans="1:12" ht="23.25" thickBot="1" x14ac:dyDescent="0.25">
      <c r="A166" s="110">
        <v>40787</v>
      </c>
      <c r="B166">
        <f t="shared" si="2"/>
        <v>22</v>
      </c>
      <c r="C166">
        <v>1</v>
      </c>
      <c r="D166" s="151">
        <f t="shared" si="3"/>
        <v>21</v>
      </c>
      <c r="E166" s="151"/>
      <c r="H166" s="159" t="s">
        <v>238</v>
      </c>
      <c r="I166" s="826"/>
      <c r="J166" s="826"/>
      <c r="K166" s="826"/>
      <c r="L166" s="827"/>
    </row>
    <row r="167" spans="1:12" x14ac:dyDescent="0.2">
      <c r="A167" s="110">
        <v>40817</v>
      </c>
      <c r="B167">
        <f t="shared" si="2"/>
        <v>21</v>
      </c>
      <c r="C167">
        <v>1</v>
      </c>
      <c r="D167" s="151">
        <f t="shared" si="3"/>
        <v>20</v>
      </c>
      <c r="E167" s="151"/>
      <c r="H167" s="157" t="s">
        <v>268</v>
      </c>
      <c r="I167" s="828" t="s">
        <v>269</v>
      </c>
      <c r="J167" s="828" t="s">
        <v>270</v>
      </c>
      <c r="K167" s="828" t="s">
        <v>271</v>
      </c>
      <c r="L167" s="830" t="s">
        <v>272</v>
      </c>
    </row>
    <row r="168" spans="1:12" ht="23.25" thickBot="1" x14ac:dyDescent="0.25">
      <c r="A168" s="110">
        <v>40848</v>
      </c>
      <c r="B168">
        <f t="shared" si="2"/>
        <v>22</v>
      </c>
      <c r="C168">
        <v>0</v>
      </c>
      <c r="D168" s="151">
        <f t="shared" si="3"/>
        <v>22</v>
      </c>
      <c r="E168" s="151"/>
      <c r="H168" s="158" t="s">
        <v>239</v>
      </c>
      <c r="I168" s="829"/>
      <c r="J168" s="829"/>
      <c r="K168" s="829"/>
      <c r="L168" s="831"/>
    </row>
    <row r="169" spans="1:12" x14ac:dyDescent="0.2">
      <c r="A169" s="110">
        <v>40878</v>
      </c>
      <c r="B169">
        <f t="shared" si="2"/>
        <v>22</v>
      </c>
      <c r="C169">
        <v>2</v>
      </c>
      <c r="D169" s="151">
        <f t="shared" si="3"/>
        <v>20</v>
      </c>
      <c r="E169" s="151"/>
      <c r="H169" s="155" t="s">
        <v>240</v>
      </c>
      <c r="I169" s="822" t="s">
        <v>273</v>
      </c>
      <c r="J169" s="822" t="s">
        <v>274</v>
      </c>
      <c r="K169" s="822" t="s">
        <v>275</v>
      </c>
      <c r="L169" s="824" t="s">
        <v>276</v>
      </c>
    </row>
    <row r="170" spans="1:12" ht="13.5" thickBot="1" x14ac:dyDescent="0.25">
      <c r="A170" s="110">
        <v>40909</v>
      </c>
      <c r="B170">
        <f t="shared" si="2"/>
        <v>22</v>
      </c>
      <c r="C170">
        <v>1</v>
      </c>
      <c r="D170" s="151">
        <f>B170-C170</f>
        <v>21</v>
      </c>
      <c r="E170">
        <v>21</v>
      </c>
      <c r="F170">
        <f>D170-E170</f>
        <v>0</v>
      </c>
      <c r="H170" s="159" t="s">
        <v>241</v>
      </c>
      <c r="I170" s="826"/>
      <c r="J170" s="826"/>
      <c r="K170" s="826"/>
      <c r="L170" s="827"/>
    </row>
    <row r="171" spans="1:12" x14ac:dyDescent="0.2">
      <c r="A171" s="110">
        <v>40940</v>
      </c>
      <c r="B171">
        <f t="shared" si="2"/>
        <v>21</v>
      </c>
      <c r="C171">
        <v>1</v>
      </c>
      <c r="D171" s="151">
        <f t="shared" ref="D171:D205" si="4">B171-C171</f>
        <v>20</v>
      </c>
      <c r="E171">
        <v>20</v>
      </c>
      <c r="F171">
        <f t="shared" ref="F171:F193" si="5">D171-E171</f>
        <v>0</v>
      </c>
      <c r="H171" s="157" t="s">
        <v>242</v>
      </c>
      <c r="I171" s="828" t="s">
        <v>277</v>
      </c>
      <c r="J171" s="828" t="s">
        <v>278</v>
      </c>
      <c r="K171" s="828" t="s">
        <v>279</v>
      </c>
      <c r="L171" s="830" t="s">
        <v>280</v>
      </c>
    </row>
    <row r="172" spans="1:12" ht="13.5" thickBot="1" x14ac:dyDescent="0.25">
      <c r="A172" s="110">
        <v>40969</v>
      </c>
      <c r="B172">
        <f t="shared" si="2"/>
        <v>22</v>
      </c>
      <c r="C172">
        <v>0</v>
      </c>
      <c r="D172" s="151">
        <f t="shared" si="4"/>
        <v>22</v>
      </c>
      <c r="E172">
        <v>22</v>
      </c>
      <c r="F172">
        <f t="shared" si="5"/>
        <v>0</v>
      </c>
      <c r="H172" s="160">
        <v>41456</v>
      </c>
      <c r="I172" s="829"/>
      <c r="J172" s="829"/>
      <c r="K172" s="829"/>
      <c r="L172" s="831"/>
    </row>
    <row r="173" spans="1:12" x14ac:dyDescent="0.2">
      <c r="A173" s="110">
        <v>41000</v>
      </c>
      <c r="B173">
        <f t="shared" si="2"/>
        <v>21</v>
      </c>
      <c r="C173">
        <v>1</v>
      </c>
      <c r="D173" s="151">
        <f t="shared" si="4"/>
        <v>20</v>
      </c>
      <c r="E173">
        <v>20</v>
      </c>
      <c r="F173">
        <f t="shared" si="5"/>
        <v>0</v>
      </c>
      <c r="H173" s="161" t="s">
        <v>243</v>
      </c>
      <c r="I173" s="822" t="s">
        <v>282</v>
      </c>
      <c r="J173" s="822" t="s">
        <v>283</v>
      </c>
      <c r="K173" s="822" t="s">
        <v>284</v>
      </c>
      <c r="L173" s="824" t="s">
        <v>285</v>
      </c>
    </row>
    <row r="174" spans="1:12" x14ac:dyDescent="0.2">
      <c r="A174" s="110">
        <v>41030</v>
      </c>
      <c r="B174">
        <f t="shared" si="2"/>
        <v>23</v>
      </c>
      <c r="C174">
        <v>1</v>
      </c>
      <c r="D174" s="151">
        <f t="shared" si="4"/>
        <v>22</v>
      </c>
      <c r="E174">
        <v>22</v>
      </c>
      <c r="F174">
        <f t="shared" si="5"/>
        <v>0</v>
      </c>
      <c r="H174" s="162" t="s">
        <v>244</v>
      </c>
      <c r="I174" s="823"/>
      <c r="J174" s="823"/>
      <c r="K174" s="823"/>
      <c r="L174" s="825"/>
    </row>
    <row r="175" spans="1:12" ht="23.25" thickBot="1" x14ac:dyDescent="0.25">
      <c r="A175" s="110">
        <v>41061</v>
      </c>
      <c r="B175">
        <f t="shared" si="2"/>
        <v>21</v>
      </c>
      <c r="C175">
        <v>0</v>
      </c>
      <c r="D175" s="151">
        <f t="shared" si="4"/>
        <v>21</v>
      </c>
      <c r="E175">
        <v>21</v>
      </c>
      <c r="F175">
        <f t="shared" si="5"/>
        <v>0</v>
      </c>
      <c r="H175" s="163" t="s">
        <v>281</v>
      </c>
      <c r="I175" s="826"/>
      <c r="J175" s="826"/>
      <c r="K175" s="826"/>
      <c r="L175" s="827"/>
    </row>
    <row r="176" spans="1:12" x14ac:dyDescent="0.2">
      <c r="A176" s="110">
        <v>41091</v>
      </c>
      <c r="B176">
        <f t="shared" si="2"/>
        <v>22</v>
      </c>
      <c r="C176">
        <v>1</v>
      </c>
      <c r="D176" s="151">
        <f t="shared" si="4"/>
        <v>21</v>
      </c>
      <c r="E176">
        <v>21</v>
      </c>
      <c r="F176">
        <f t="shared" si="5"/>
        <v>0</v>
      </c>
      <c r="H176" s="157" t="s">
        <v>245</v>
      </c>
      <c r="I176" s="828" t="s">
        <v>286</v>
      </c>
      <c r="J176" s="828" t="s">
        <v>287</v>
      </c>
      <c r="K176" s="828" t="s">
        <v>288</v>
      </c>
      <c r="L176" s="830" t="s">
        <v>289</v>
      </c>
    </row>
    <row r="177" spans="1:12" ht="23.25" thickBot="1" x14ac:dyDescent="0.25">
      <c r="A177" s="110">
        <v>41122</v>
      </c>
      <c r="B177">
        <f t="shared" si="2"/>
        <v>23</v>
      </c>
      <c r="C177">
        <v>1</v>
      </c>
      <c r="D177" s="151">
        <f t="shared" si="4"/>
        <v>22</v>
      </c>
      <c r="E177">
        <v>22</v>
      </c>
      <c r="F177">
        <f t="shared" si="5"/>
        <v>0</v>
      </c>
      <c r="H177" s="158" t="s">
        <v>246</v>
      </c>
      <c r="I177" s="829"/>
      <c r="J177" s="829"/>
      <c r="K177" s="829"/>
      <c r="L177" s="831"/>
    </row>
    <row r="178" spans="1:12" x14ac:dyDescent="0.2">
      <c r="A178" s="110">
        <v>41153</v>
      </c>
      <c r="B178">
        <f t="shared" si="2"/>
        <v>20</v>
      </c>
      <c r="C178">
        <v>1</v>
      </c>
      <c r="D178" s="151">
        <f t="shared" si="4"/>
        <v>19</v>
      </c>
      <c r="E178">
        <v>19</v>
      </c>
      <c r="F178">
        <f t="shared" si="5"/>
        <v>0</v>
      </c>
      <c r="H178" s="155" t="s">
        <v>247</v>
      </c>
      <c r="I178" s="822" t="s">
        <v>290</v>
      </c>
      <c r="J178" s="822" t="s">
        <v>291</v>
      </c>
      <c r="K178" s="822" t="s">
        <v>292</v>
      </c>
      <c r="L178" s="824" t="s">
        <v>293</v>
      </c>
    </row>
    <row r="179" spans="1:12" ht="23.25" thickBot="1" x14ac:dyDescent="0.25">
      <c r="A179" s="110">
        <v>41183</v>
      </c>
      <c r="B179">
        <f t="shared" si="2"/>
        <v>23</v>
      </c>
      <c r="C179">
        <v>1</v>
      </c>
      <c r="D179" s="151">
        <f t="shared" si="4"/>
        <v>22</v>
      </c>
      <c r="E179">
        <v>22</v>
      </c>
      <c r="F179">
        <f t="shared" si="5"/>
        <v>0</v>
      </c>
      <c r="H179" s="159" t="s">
        <v>248</v>
      </c>
      <c r="I179" s="826"/>
      <c r="J179" s="826"/>
      <c r="K179" s="826"/>
      <c r="L179" s="827"/>
    </row>
    <row r="180" spans="1:12" x14ac:dyDescent="0.2">
      <c r="A180" s="110">
        <v>41214</v>
      </c>
      <c r="B180">
        <f t="shared" si="2"/>
        <v>22</v>
      </c>
      <c r="C180">
        <v>0</v>
      </c>
      <c r="D180" s="151">
        <f t="shared" si="4"/>
        <v>22</v>
      </c>
      <c r="E180">
        <v>22</v>
      </c>
      <c r="F180">
        <f t="shared" si="5"/>
        <v>0</v>
      </c>
      <c r="H180" s="157" t="s">
        <v>249</v>
      </c>
      <c r="I180" s="828" t="s">
        <v>294</v>
      </c>
      <c r="J180" s="828" t="s">
        <v>295</v>
      </c>
      <c r="K180" s="828" t="s">
        <v>296</v>
      </c>
      <c r="L180" s="830" t="s">
        <v>297</v>
      </c>
    </row>
    <row r="181" spans="1:12" ht="13.5" thickBot="1" x14ac:dyDescent="0.25">
      <c r="A181" s="110">
        <v>41244</v>
      </c>
      <c r="B181">
        <f t="shared" si="2"/>
        <v>21</v>
      </c>
      <c r="C181">
        <v>2</v>
      </c>
      <c r="D181" s="151">
        <f t="shared" si="4"/>
        <v>19</v>
      </c>
      <c r="E181">
        <v>19</v>
      </c>
      <c r="F181">
        <f t="shared" si="5"/>
        <v>0</v>
      </c>
      <c r="H181" s="160">
        <v>41633</v>
      </c>
      <c r="I181" s="829"/>
      <c r="J181" s="829"/>
      <c r="K181" s="829"/>
      <c r="L181" s="831"/>
    </row>
    <row r="182" spans="1:12" ht="25.5" customHeight="1" x14ac:dyDescent="0.2">
      <c r="A182" s="110">
        <v>41275</v>
      </c>
      <c r="B182">
        <f t="shared" si="2"/>
        <v>23</v>
      </c>
      <c r="C182">
        <v>1</v>
      </c>
      <c r="D182" s="151">
        <f t="shared" si="4"/>
        <v>22</v>
      </c>
      <c r="E182">
        <v>22</v>
      </c>
      <c r="F182">
        <f t="shared" si="5"/>
        <v>0</v>
      </c>
      <c r="H182" s="161" t="s">
        <v>250</v>
      </c>
      <c r="I182" s="822" t="s">
        <v>298</v>
      </c>
      <c r="J182" s="822" t="s">
        <v>299</v>
      </c>
      <c r="K182" s="822" t="s">
        <v>300</v>
      </c>
      <c r="L182" s="824" t="s">
        <v>301</v>
      </c>
    </row>
    <row r="183" spans="1:12" x14ac:dyDescent="0.2">
      <c r="A183" s="110">
        <v>41306</v>
      </c>
      <c r="B183">
        <f t="shared" si="2"/>
        <v>20</v>
      </c>
      <c r="C183">
        <v>1</v>
      </c>
      <c r="D183" s="151">
        <f t="shared" si="4"/>
        <v>19</v>
      </c>
      <c r="E183">
        <v>19</v>
      </c>
      <c r="F183">
        <f t="shared" si="5"/>
        <v>0</v>
      </c>
      <c r="H183" s="164">
        <v>41634</v>
      </c>
      <c r="I183" s="823"/>
      <c r="J183" s="823"/>
      <c r="K183" s="823"/>
      <c r="L183" s="825"/>
    </row>
    <row r="184" spans="1:12" x14ac:dyDescent="0.2">
      <c r="A184" s="110">
        <v>41334</v>
      </c>
      <c r="B184">
        <f t="shared" si="2"/>
        <v>21</v>
      </c>
      <c r="C184">
        <v>1</v>
      </c>
      <c r="D184" s="151">
        <f t="shared" si="4"/>
        <v>20</v>
      </c>
      <c r="E184">
        <v>20</v>
      </c>
      <c r="F184">
        <f t="shared" si="5"/>
        <v>0</v>
      </c>
    </row>
    <row r="185" spans="1:12" x14ac:dyDescent="0.2">
      <c r="A185" s="110">
        <v>41365</v>
      </c>
      <c r="B185">
        <f t="shared" si="2"/>
        <v>22</v>
      </c>
      <c r="C185">
        <v>0</v>
      </c>
      <c r="D185" s="151">
        <f t="shared" si="4"/>
        <v>22</v>
      </c>
      <c r="E185">
        <v>22</v>
      </c>
      <c r="F185">
        <f t="shared" si="5"/>
        <v>0</v>
      </c>
    </row>
    <row r="186" spans="1:12" x14ac:dyDescent="0.2">
      <c r="A186" s="110">
        <v>41395</v>
      </c>
      <c r="B186">
        <f t="shared" si="2"/>
        <v>23</v>
      </c>
      <c r="C186">
        <v>1</v>
      </c>
      <c r="D186" s="151">
        <f t="shared" si="4"/>
        <v>22</v>
      </c>
      <c r="E186">
        <v>22</v>
      </c>
      <c r="F186">
        <f t="shared" si="5"/>
        <v>0</v>
      </c>
    </row>
    <row r="187" spans="1:12" x14ac:dyDescent="0.2">
      <c r="A187" s="110">
        <v>41426</v>
      </c>
      <c r="B187">
        <f t="shared" si="2"/>
        <v>20</v>
      </c>
      <c r="C187">
        <v>0</v>
      </c>
      <c r="D187" s="151">
        <f t="shared" si="4"/>
        <v>20</v>
      </c>
      <c r="E187">
        <v>20</v>
      </c>
      <c r="F187">
        <f t="shared" si="5"/>
        <v>0</v>
      </c>
    </row>
    <row r="188" spans="1:12" x14ac:dyDescent="0.2">
      <c r="A188" s="110">
        <v>41456</v>
      </c>
      <c r="B188">
        <f t="shared" si="2"/>
        <v>23</v>
      </c>
      <c r="C188">
        <v>1</v>
      </c>
      <c r="D188" s="151">
        <f t="shared" si="4"/>
        <v>22</v>
      </c>
      <c r="E188">
        <v>22</v>
      </c>
      <c r="F188">
        <f t="shared" si="5"/>
        <v>0</v>
      </c>
    </row>
    <row r="189" spans="1:12" x14ac:dyDescent="0.2">
      <c r="A189" s="110">
        <v>41487</v>
      </c>
      <c r="B189">
        <f t="shared" si="2"/>
        <v>22</v>
      </c>
      <c r="C189">
        <v>1</v>
      </c>
      <c r="D189" s="151">
        <f t="shared" si="4"/>
        <v>21</v>
      </c>
      <c r="E189">
        <v>21</v>
      </c>
      <c r="F189">
        <f t="shared" si="5"/>
        <v>0</v>
      </c>
    </row>
    <row r="190" spans="1:12" x14ac:dyDescent="0.2">
      <c r="A190" s="110">
        <v>41518</v>
      </c>
      <c r="B190">
        <f t="shared" si="2"/>
        <v>21</v>
      </c>
      <c r="C190">
        <v>1</v>
      </c>
      <c r="D190" s="151">
        <f t="shared" si="4"/>
        <v>20</v>
      </c>
      <c r="E190">
        <v>20</v>
      </c>
      <c r="F190">
        <f t="shared" si="5"/>
        <v>0</v>
      </c>
    </row>
    <row r="191" spans="1:12" x14ac:dyDescent="0.2">
      <c r="A191" s="110">
        <v>41548</v>
      </c>
      <c r="B191">
        <f t="shared" si="2"/>
        <v>23</v>
      </c>
      <c r="C191">
        <v>1</v>
      </c>
      <c r="D191" s="151">
        <f t="shared" si="4"/>
        <v>22</v>
      </c>
      <c r="E191">
        <v>22</v>
      </c>
      <c r="F191">
        <f t="shared" si="5"/>
        <v>0</v>
      </c>
    </row>
    <row r="192" spans="1:12" x14ac:dyDescent="0.2">
      <c r="A192" s="110">
        <v>41579</v>
      </c>
      <c r="B192">
        <f t="shared" si="2"/>
        <v>21</v>
      </c>
      <c r="C192">
        <v>0</v>
      </c>
      <c r="D192" s="151">
        <f t="shared" si="4"/>
        <v>21</v>
      </c>
      <c r="E192">
        <v>21</v>
      </c>
      <c r="F192">
        <f t="shared" si="5"/>
        <v>0</v>
      </c>
    </row>
    <row r="193" spans="1:6" x14ac:dyDescent="0.2">
      <c r="A193" s="110">
        <v>41609</v>
      </c>
      <c r="B193">
        <f t="shared" si="2"/>
        <v>22</v>
      </c>
      <c r="C193">
        <v>2</v>
      </c>
      <c r="D193" s="151">
        <f t="shared" si="4"/>
        <v>20</v>
      </c>
      <c r="E193">
        <v>20</v>
      </c>
      <c r="F193">
        <f t="shared" si="5"/>
        <v>0</v>
      </c>
    </row>
    <row r="194" spans="1:6" x14ac:dyDescent="0.2">
      <c r="A194" s="110">
        <v>41640</v>
      </c>
      <c r="B194">
        <f t="shared" ref="B194:B203" si="6">NETWORKDAYS(A194,A195-1)</f>
        <v>23</v>
      </c>
      <c r="C194">
        <v>1</v>
      </c>
      <c r="D194" s="151">
        <f t="shared" si="4"/>
        <v>22</v>
      </c>
    </row>
    <row r="195" spans="1:6" x14ac:dyDescent="0.2">
      <c r="A195" s="110">
        <v>41671</v>
      </c>
      <c r="B195">
        <f t="shared" si="6"/>
        <v>20</v>
      </c>
      <c r="C195">
        <v>1</v>
      </c>
      <c r="D195" s="151">
        <f t="shared" si="4"/>
        <v>19</v>
      </c>
    </row>
    <row r="196" spans="1:6" x14ac:dyDescent="0.2">
      <c r="A196" s="110">
        <v>41699</v>
      </c>
      <c r="B196">
        <f t="shared" si="6"/>
        <v>21</v>
      </c>
      <c r="C196">
        <v>0</v>
      </c>
      <c r="D196" s="151">
        <f t="shared" si="4"/>
        <v>21</v>
      </c>
    </row>
    <row r="197" spans="1:6" x14ac:dyDescent="0.2">
      <c r="A197" s="110">
        <v>41730</v>
      </c>
      <c r="B197">
        <f t="shared" si="6"/>
        <v>22</v>
      </c>
      <c r="C197">
        <v>1</v>
      </c>
      <c r="D197" s="151">
        <f t="shared" si="4"/>
        <v>21</v>
      </c>
    </row>
    <row r="198" spans="1:6" x14ac:dyDescent="0.2">
      <c r="A198" s="110">
        <v>41760</v>
      </c>
      <c r="B198">
        <f t="shared" si="6"/>
        <v>22</v>
      </c>
      <c r="C198">
        <v>1</v>
      </c>
      <c r="D198" s="151">
        <f t="shared" si="4"/>
        <v>21</v>
      </c>
    </row>
    <row r="199" spans="1:6" x14ac:dyDescent="0.2">
      <c r="A199" s="110">
        <v>41791</v>
      </c>
      <c r="B199">
        <f t="shared" si="6"/>
        <v>21</v>
      </c>
      <c r="C199">
        <v>0</v>
      </c>
      <c r="D199" s="151">
        <f t="shared" si="4"/>
        <v>21</v>
      </c>
    </row>
    <row r="200" spans="1:6" x14ac:dyDescent="0.2">
      <c r="A200" s="110">
        <v>41821</v>
      </c>
      <c r="B200">
        <f t="shared" si="6"/>
        <v>23</v>
      </c>
      <c r="C200">
        <v>1</v>
      </c>
      <c r="D200" s="151">
        <f t="shared" si="4"/>
        <v>22</v>
      </c>
    </row>
    <row r="201" spans="1:6" x14ac:dyDescent="0.2">
      <c r="A201" s="110">
        <v>41852</v>
      </c>
      <c r="B201">
        <f t="shared" si="6"/>
        <v>21</v>
      </c>
      <c r="C201">
        <v>1</v>
      </c>
      <c r="D201" s="151">
        <f t="shared" si="4"/>
        <v>20</v>
      </c>
    </row>
    <row r="202" spans="1:6" x14ac:dyDescent="0.2">
      <c r="A202" s="110">
        <v>41883</v>
      </c>
      <c r="B202">
        <f t="shared" si="6"/>
        <v>22</v>
      </c>
      <c r="C202">
        <v>1</v>
      </c>
      <c r="D202" s="151">
        <f t="shared" si="4"/>
        <v>21</v>
      </c>
    </row>
    <row r="203" spans="1:6" x14ac:dyDescent="0.2">
      <c r="A203" s="110">
        <v>41913</v>
      </c>
      <c r="B203">
        <f t="shared" si="6"/>
        <v>23</v>
      </c>
      <c r="C203">
        <v>1</v>
      </c>
      <c r="D203" s="151">
        <f t="shared" si="4"/>
        <v>22</v>
      </c>
    </row>
    <row r="204" spans="1:6" x14ac:dyDescent="0.2">
      <c r="A204" s="110">
        <v>41944</v>
      </c>
      <c r="B204">
        <f>NETWORKDAYS(A204,A205-1)</f>
        <v>20</v>
      </c>
      <c r="C204">
        <v>0</v>
      </c>
      <c r="D204" s="151">
        <f t="shared" si="4"/>
        <v>20</v>
      </c>
    </row>
    <row r="205" spans="1:6" x14ac:dyDescent="0.2">
      <c r="A205" s="110">
        <v>41974</v>
      </c>
      <c r="B205">
        <f>NETWORKDAYS(A205,A206-1)</f>
        <v>23</v>
      </c>
      <c r="C205">
        <v>2</v>
      </c>
      <c r="D205" s="151">
        <f t="shared" si="4"/>
        <v>21</v>
      </c>
    </row>
    <row r="206" spans="1:6" x14ac:dyDescent="0.2">
      <c r="A206" s="110">
        <v>42005</v>
      </c>
    </row>
  </sheetData>
  <mergeCells count="44">
    <mergeCell ref="I161:I162"/>
    <mergeCell ref="J161:J162"/>
    <mergeCell ref="K161:K162"/>
    <mergeCell ref="L161:L162"/>
    <mergeCell ref="I163:I164"/>
    <mergeCell ref="J163:J164"/>
    <mergeCell ref="K163:K164"/>
    <mergeCell ref="L163:L164"/>
    <mergeCell ref="I165:I166"/>
    <mergeCell ref="J165:J166"/>
    <mergeCell ref="K165:K166"/>
    <mergeCell ref="L165:L166"/>
    <mergeCell ref="I167:I168"/>
    <mergeCell ref="J167:J168"/>
    <mergeCell ref="K167:K168"/>
    <mergeCell ref="L167:L168"/>
    <mergeCell ref="I169:I170"/>
    <mergeCell ref="J169:J170"/>
    <mergeCell ref="K169:K170"/>
    <mergeCell ref="L169:L170"/>
    <mergeCell ref="I171:I172"/>
    <mergeCell ref="J171:J172"/>
    <mergeCell ref="K171:K172"/>
    <mergeCell ref="L171:L172"/>
    <mergeCell ref="I173:I175"/>
    <mergeCell ref="J173:J175"/>
    <mergeCell ref="K173:K175"/>
    <mergeCell ref="L173:L175"/>
    <mergeCell ref="I176:I177"/>
    <mergeCell ref="J176:J177"/>
    <mergeCell ref="K176:K177"/>
    <mergeCell ref="L176:L177"/>
    <mergeCell ref="I182:I183"/>
    <mergeCell ref="J182:J183"/>
    <mergeCell ref="K182:K183"/>
    <mergeCell ref="L182:L183"/>
    <mergeCell ref="I178:I179"/>
    <mergeCell ref="J178:J179"/>
    <mergeCell ref="K178:K179"/>
    <mergeCell ref="L178:L179"/>
    <mergeCell ref="I180:I181"/>
    <mergeCell ref="J180:J181"/>
    <mergeCell ref="K180:K181"/>
    <mergeCell ref="L180:L181"/>
  </mergeCells>
  <hyperlinks>
    <hyperlink ref="H161" r:id="rId1" display="http://www.statutoryholidays.com/newyears.php"/>
    <hyperlink ref="H163" r:id="rId2" display="http://www.statutoryholidays.com/family-day.php"/>
    <hyperlink ref="H165" r:id="rId3" display="http://www.statutoryholidays.com/easter.php"/>
    <hyperlink ref="H167" r:id="rId4" display="http://www.statutoryholidays.com/easter.php"/>
    <hyperlink ref="H169" r:id="rId5" display="http://www.statutoryholidays.com/victoriaday.php"/>
    <hyperlink ref="H171" r:id="rId6" display="http://www.statutoryholidays.com/canadaday.php"/>
    <hyperlink ref="H176" r:id="rId7" display="http://www.statutoryholidays.com/labourday.php"/>
    <hyperlink ref="H178" r:id="rId8" display="http://www.statutoryholidays.com/thanksgiving.php"/>
    <hyperlink ref="H180" r:id="rId9" display="http://www.statutoryholidays.com/christmas.php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FFFF00"/>
    <pageSetUpPr fitToPage="1"/>
  </sheetPr>
  <dimension ref="A1:AD166"/>
  <sheetViews>
    <sheetView workbookViewId="0">
      <selection activeCell="A21" sqref="A21"/>
    </sheetView>
  </sheetViews>
  <sheetFormatPr defaultRowHeight="12.75" x14ac:dyDescent="0.2"/>
  <cols>
    <col min="1" max="1" width="13" style="71" customWidth="1"/>
    <col min="2" max="9" width="12.28515625" style="71" customWidth="1"/>
    <col min="10" max="22" width="9.7109375" customWidth="1"/>
    <col min="23" max="23" width="11.140625" customWidth="1"/>
    <col min="24" max="26" width="9.7109375" customWidth="1"/>
    <col min="27" max="27" width="11" customWidth="1"/>
    <col min="28" max="28" width="9.85546875" customWidth="1"/>
    <col min="29" max="29" width="10.5703125" customWidth="1"/>
    <col min="30" max="30" width="11" customWidth="1"/>
    <col min="31" max="31" width="17.140625" customWidth="1"/>
    <col min="32" max="33" width="15.7109375" customWidth="1"/>
    <col min="34" max="34" width="15" customWidth="1"/>
    <col min="35" max="36" width="14.140625" bestFit="1" customWidth="1"/>
    <col min="37" max="37" width="11.7109375" bestFit="1" customWidth="1"/>
    <col min="38" max="38" width="11.85546875" bestFit="1" customWidth="1"/>
    <col min="39" max="39" width="12.5703125" customWidth="1"/>
    <col min="40" max="40" width="11.28515625" customWidth="1"/>
    <col min="41" max="41" width="11.5703125" customWidth="1"/>
    <col min="42" max="42" width="9.28515625" customWidth="1"/>
    <col min="44" max="44" width="11.7109375" bestFit="1" customWidth="1"/>
    <col min="45" max="45" width="10.7109375" bestFit="1" customWidth="1"/>
    <col min="260" max="260" width="12.28515625" bestFit="1" customWidth="1"/>
    <col min="261" max="264" width="12.28515625" customWidth="1"/>
    <col min="265" max="265" width="11.7109375" customWidth="1"/>
    <col min="266" max="280" width="9.7109375" customWidth="1"/>
    <col min="281" max="281" width="11.5703125" bestFit="1" customWidth="1"/>
    <col min="282" max="282" width="8.140625" bestFit="1" customWidth="1"/>
    <col min="283" max="284" width="11.5703125" bestFit="1" customWidth="1"/>
    <col min="285" max="286" width="18" customWidth="1"/>
    <col min="287" max="287" width="17.140625" customWidth="1"/>
    <col min="288" max="289" width="15.7109375" customWidth="1"/>
    <col min="290" max="290" width="15" customWidth="1"/>
    <col min="291" max="292" width="14.140625" bestFit="1" customWidth="1"/>
    <col min="293" max="293" width="11.7109375" bestFit="1" customWidth="1"/>
    <col min="294" max="294" width="11.85546875" bestFit="1" customWidth="1"/>
    <col min="295" max="295" width="12.5703125" customWidth="1"/>
    <col min="296" max="296" width="11.28515625" customWidth="1"/>
    <col min="297" max="297" width="11.5703125" customWidth="1"/>
    <col min="298" max="298" width="9.28515625" customWidth="1"/>
    <col min="300" max="300" width="11.7109375" bestFit="1" customWidth="1"/>
    <col min="301" max="301" width="10.7109375" bestFit="1" customWidth="1"/>
    <col min="516" max="516" width="12.28515625" bestFit="1" customWidth="1"/>
    <col min="517" max="520" width="12.28515625" customWidth="1"/>
    <col min="521" max="521" width="11.7109375" customWidth="1"/>
    <col min="522" max="536" width="9.7109375" customWidth="1"/>
    <col min="537" max="537" width="11.5703125" bestFit="1" customWidth="1"/>
    <col min="538" max="538" width="8.140625" bestFit="1" customWidth="1"/>
    <col min="539" max="540" width="11.5703125" bestFit="1" customWidth="1"/>
    <col min="541" max="542" width="18" customWidth="1"/>
    <col min="543" max="543" width="17.140625" customWidth="1"/>
    <col min="544" max="545" width="15.7109375" customWidth="1"/>
    <col min="546" max="546" width="15" customWidth="1"/>
    <col min="547" max="548" width="14.140625" bestFit="1" customWidth="1"/>
    <col min="549" max="549" width="11.7109375" bestFit="1" customWidth="1"/>
    <col min="550" max="550" width="11.85546875" bestFit="1" customWidth="1"/>
    <col min="551" max="551" width="12.5703125" customWidth="1"/>
    <col min="552" max="552" width="11.28515625" customWidth="1"/>
    <col min="553" max="553" width="11.5703125" customWidth="1"/>
    <col min="554" max="554" width="9.28515625" customWidth="1"/>
    <col min="556" max="556" width="11.7109375" bestFit="1" customWidth="1"/>
    <col min="557" max="557" width="10.7109375" bestFit="1" customWidth="1"/>
    <col min="772" max="772" width="12.28515625" bestFit="1" customWidth="1"/>
    <col min="773" max="776" width="12.28515625" customWidth="1"/>
    <col min="777" max="777" width="11.7109375" customWidth="1"/>
    <col min="778" max="792" width="9.7109375" customWidth="1"/>
    <col min="793" max="793" width="11.5703125" bestFit="1" customWidth="1"/>
    <col min="794" max="794" width="8.140625" bestFit="1" customWidth="1"/>
    <col min="795" max="796" width="11.5703125" bestFit="1" customWidth="1"/>
    <col min="797" max="798" width="18" customWidth="1"/>
    <col min="799" max="799" width="17.140625" customWidth="1"/>
    <col min="800" max="801" width="15.7109375" customWidth="1"/>
    <col min="802" max="802" width="15" customWidth="1"/>
    <col min="803" max="804" width="14.140625" bestFit="1" customWidth="1"/>
    <col min="805" max="805" width="11.7109375" bestFit="1" customWidth="1"/>
    <col min="806" max="806" width="11.85546875" bestFit="1" customWidth="1"/>
    <col min="807" max="807" width="12.5703125" customWidth="1"/>
    <col min="808" max="808" width="11.28515625" customWidth="1"/>
    <col min="809" max="809" width="11.5703125" customWidth="1"/>
    <col min="810" max="810" width="9.28515625" customWidth="1"/>
    <col min="812" max="812" width="11.7109375" bestFit="1" customWidth="1"/>
    <col min="813" max="813" width="10.7109375" bestFit="1" customWidth="1"/>
    <col min="1028" max="1028" width="12.28515625" bestFit="1" customWidth="1"/>
    <col min="1029" max="1032" width="12.28515625" customWidth="1"/>
    <col min="1033" max="1033" width="11.7109375" customWidth="1"/>
    <col min="1034" max="1048" width="9.7109375" customWidth="1"/>
    <col min="1049" max="1049" width="11.5703125" bestFit="1" customWidth="1"/>
    <col min="1050" max="1050" width="8.140625" bestFit="1" customWidth="1"/>
    <col min="1051" max="1052" width="11.5703125" bestFit="1" customWidth="1"/>
    <col min="1053" max="1054" width="18" customWidth="1"/>
    <col min="1055" max="1055" width="17.140625" customWidth="1"/>
    <col min="1056" max="1057" width="15.7109375" customWidth="1"/>
    <col min="1058" max="1058" width="15" customWidth="1"/>
    <col min="1059" max="1060" width="14.140625" bestFit="1" customWidth="1"/>
    <col min="1061" max="1061" width="11.7109375" bestFit="1" customWidth="1"/>
    <col min="1062" max="1062" width="11.85546875" bestFit="1" customWidth="1"/>
    <col min="1063" max="1063" width="12.5703125" customWidth="1"/>
    <col min="1064" max="1064" width="11.28515625" customWidth="1"/>
    <col min="1065" max="1065" width="11.5703125" customWidth="1"/>
    <col min="1066" max="1066" width="9.28515625" customWidth="1"/>
    <col min="1068" max="1068" width="11.7109375" bestFit="1" customWidth="1"/>
    <col min="1069" max="1069" width="10.7109375" bestFit="1" customWidth="1"/>
    <col min="1284" max="1284" width="12.28515625" bestFit="1" customWidth="1"/>
    <col min="1285" max="1288" width="12.28515625" customWidth="1"/>
    <col min="1289" max="1289" width="11.7109375" customWidth="1"/>
    <col min="1290" max="1304" width="9.7109375" customWidth="1"/>
    <col min="1305" max="1305" width="11.5703125" bestFit="1" customWidth="1"/>
    <col min="1306" max="1306" width="8.140625" bestFit="1" customWidth="1"/>
    <col min="1307" max="1308" width="11.5703125" bestFit="1" customWidth="1"/>
    <col min="1309" max="1310" width="18" customWidth="1"/>
    <col min="1311" max="1311" width="17.140625" customWidth="1"/>
    <col min="1312" max="1313" width="15.7109375" customWidth="1"/>
    <col min="1314" max="1314" width="15" customWidth="1"/>
    <col min="1315" max="1316" width="14.140625" bestFit="1" customWidth="1"/>
    <col min="1317" max="1317" width="11.7109375" bestFit="1" customWidth="1"/>
    <col min="1318" max="1318" width="11.85546875" bestFit="1" customWidth="1"/>
    <col min="1319" max="1319" width="12.5703125" customWidth="1"/>
    <col min="1320" max="1320" width="11.28515625" customWidth="1"/>
    <col min="1321" max="1321" width="11.5703125" customWidth="1"/>
    <col min="1322" max="1322" width="9.28515625" customWidth="1"/>
    <col min="1324" max="1324" width="11.7109375" bestFit="1" customWidth="1"/>
    <col min="1325" max="1325" width="10.7109375" bestFit="1" customWidth="1"/>
    <col min="1540" max="1540" width="12.28515625" bestFit="1" customWidth="1"/>
    <col min="1541" max="1544" width="12.28515625" customWidth="1"/>
    <col min="1545" max="1545" width="11.7109375" customWidth="1"/>
    <col min="1546" max="1560" width="9.7109375" customWidth="1"/>
    <col min="1561" max="1561" width="11.5703125" bestFit="1" customWidth="1"/>
    <col min="1562" max="1562" width="8.140625" bestFit="1" customWidth="1"/>
    <col min="1563" max="1564" width="11.5703125" bestFit="1" customWidth="1"/>
    <col min="1565" max="1566" width="18" customWidth="1"/>
    <col min="1567" max="1567" width="17.140625" customWidth="1"/>
    <col min="1568" max="1569" width="15.7109375" customWidth="1"/>
    <col min="1570" max="1570" width="15" customWidth="1"/>
    <col min="1571" max="1572" width="14.140625" bestFit="1" customWidth="1"/>
    <col min="1573" max="1573" width="11.7109375" bestFit="1" customWidth="1"/>
    <col min="1574" max="1574" width="11.85546875" bestFit="1" customWidth="1"/>
    <col min="1575" max="1575" width="12.5703125" customWidth="1"/>
    <col min="1576" max="1576" width="11.28515625" customWidth="1"/>
    <col min="1577" max="1577" width="11.5703125" customWidth="1"/>
    <col min="1578" max="1578" width="9.28515625" customWidth="1"/>
    <col min="1580" max="1580" width="11.7109375" bestFit="1" customWidth="1"/>
    <col min="1581" max="1581" width="10.7109375" bestFit="1" customWidth="1"/>
    <col min="1796" max="1796" width="12.28515625" bestFit="1" customWidth="1"/>
    <col min="1797" max="1800" width="12.28515625" customWidth="1"/>
    <col min="1801" max="1801" width="11.7109375" customWidth="1"/>
    <col min="1802" max="1816" width="9.7109375" customWidth="1"/>
    <col min="1817" max="1817" width="11.5703125" bestFit="1" customWidth="1"/>
    <col min="1818" max="1818" width="8.140625" bestFit="1" customWidth="1"/>
    <col min="1819" max="1820" width="11.5703125" bestFit="1" customWidth="1"/>
    <col min="1821" max="1822" width="18" customWidth="1"/>
    <col min="1823" max="1823" width="17.140625" customWidth="1"/>
    <col min="1824" max="1825" width="15.7109375" customWidth="1"/>
    <col min="1826" max="1826" width="15" customWidth="1"/>
    <col min="1827" max="1828" width="14.140625" bestFit="1" customWidth="1"/>
    <col min="1829" max="1829" width="11.7109375" bestFit="1" customWidth="1"/>
    <col min="1830" max="1830" width="11.85546875" bestFit="1" customWidth="1"/>
    <col min="1831" max="1831" width="12.5703125" customWidth="1"/>
    <col min="1832" max="1832" width="11.28515625" customWidth="1"/>
    <col min="1833" max="1833" width="11.5703125" customWidth="1"/>
    <col min="1834" max="1834" width="9.28515625" customWidth="1"/>
    <col min="1836" max="1836" width="11.7109375" bestFit="1" customWidth="1"/>
    <col min="1837" max="1837" width="10.7109375" bestFit="1" customWidth="1"/>
    <col min="2052" max="2052" width="12.28515625" bestFit="1" customWidth="1"/>
    <col min="2053" max="2056" width="12.28515625" customWidth="1"/>
    <col min="2057" max="2057" width="11.7109375" customWidth="1"/>
    <col min="2058" max="2072" width="9.7109375" customWidth="1"/>
    <col min="2073" max="2073" width="11.5703125" bestFit="1" customWidth="1"/>
    <col min="2074" max="2074" width="8.140625" bestFit="1" customWidth="1"/>
    <col min="2075" max="2076" width="11.5703125" bestFit="1" customWidth="1"/>
    <col min="2077" max="2078" width="18" customWidth="1"/>
    <col min="2079" max="2079" width="17.140625" customWidth="1"/>
    <col min="2080" max="2081" width="15.7109375" customWidth="1"/>
    <col min="2082" max="2082" width="15" customWidth="1"/>
    <col min="2083" max="2084" width="14.140625" bestFit="1" customWidth="1"/>
    <col min="2085" max="2085" width="11.7109375" bestFit="1" customWidth="1"/>
    <col min="2086" max="2086" width="11.85546875" bestFit="1" customWidth="1"/>
    <col min="2087" max="2087" width="12.5703125" customWidth="1"/>
    <col min="2088" max="2088" width="11.28515625" customWidth="1"/>
    <col min="2089" max="2089" width="11.5703125" customWidth="1"/>
    <col min="2090" max="2090" width="9.28515625" customWidth="1"/>
    <col min="2092" max="2092" width="11.7109375" bestFit="1" customWidth="1"/>
    <col min="2093" max="2093" width="10.7109375" bestFit="1" customWidth="1"/>
    <col min="2308" max="2308" width="12.28515625" bestFit="1" customWidth="1"/>
    <col min="2309" max="2312" width="12.28515625" customWidth="1"/>
    <col min="2313" max="2313" width="11.7109375" customWidth="1"/>
    <col min="2314" max="2328" width="9.7109375" customWidth="1"/>
    <col min="2329" max="2329" width="11.5703125" bestFit="1" customWidth="1"/>
    <col min="2330" max="2330" width="8.140625" bestFit="1" customWidth="1"/>
    <col min="2331" max="2332" width="11.5703125" bestFit="1" customWidth="1"/>
    <col min="2333" max="2334" width="18" customWidth="1"/>
    <col min="2335" max="2335" width="17.140625" customWidth="1"/>
    <col min="2336" max="2337" width="15.7109375" customWidth="1"/>
    <col min="2338" max="2338" width="15" customWidth="1"/>
    <col min="2339" max="2340" width="14.140625" bestFit="1" customWidth="1"/>
    <col min="2341" max="2341" width="11.7109375" bestFit="1" customWidth="1"/>
    <col min="2342" max="2342" width="11.85546875" bestFit="1" customWidth="1"/>
    <col min="2343" max="2343" width="12.5703125" customWidth="1"/>
    <col min="2344" max="2344" width="11.28515625" customWidth="1"/>
    <col min="2345" max="2345" width="11.5703125" customWidth="1"/>
    <col min="2346" max="2346" width="9.28515625" customWidth="1"/>
    <col min="2348" max="2348" width="11.7109375" bestFit="1" customWidth="1"/>
    <col min="2349" max="2349" width="10.7109375" bestFit="1" customWidth="1"/>
    <col min="2564" max="2564" width="12.28515625" bestFit="1" customWidth="1"/>
    <col min="2565" max="2568" width="12.28515625" customWidth="1"/>
    <col min="2569" max="2569" width="11.7109375" customWidth="1"/>
    <col min="2570" max="2584" width="9.7109375" customWidth="1"/>
    <col min="2585" max="2585" width="11.5703125" bestFit="1" customWidth="1"/>
    <col min="2586" max="2586" width="8.140625" bestFit="1" customWidth="1"/>
    <col min="2587" max="2588" width="11.5703125" bestFit="1" customWidth="1"/>
    <col min="2589" max="2590" width="18" customWidth="1"/>
    <col min="2591" max="2591" width="17.140625" customWidth="1"/>
    <col min="2592" max="2593" width="15.7109375" customWidth="1"/>
    <col min="2594" max="2594" width="15" customWidth="1"/>
    <col min="2595" max="2596" width="14.140625" bestFit="1" customWidth="1"/>
    <col min="2597" max="2597" width="11.7109375" bestFit="1" customWidth="1"/>
    <col min="2598" max="2598" width="11.85546875" bestFit="1" customWidth="1"/>
    <col min="2599" max="2599" width="12.5703125" customWidth="1"/>
    <col min="2600" max="2600" width="11.28515625" customWidth="1"/>
    <col min="2601" max="2601" width="11.5703125" customWidth="1"/>
    <col min="2602" max="2602" width="9.28515625" customWidth="1"/>
    <col min="2604" max="2604" width="11.7109375" bestFit="1" customWidth="1"/>
    <col min="2605" max="2605" width="10.7109375" bestFit="1" customWidth="1"/>
    <col min="2820" max="2820" width="12.28515625" bestFit="1" customWidth="1"/>
    <col min="2821" max="2824" width="12.28515625" customWidth="1"/>
    <col min="2825" max="2825" width="11.7109375" customWidth="1"/>
    <col min="2826" max="2840" width="9.7109375" customWidth="1"/>
    <col min="2841" max="2841" width="11.5703125" bestFit="1" customWidth="1"/>
    <col min="2842" max="2842" width="8.140625" bestFit="1" customWidth="1"/>
    <col min="2843" max="2844" width="11.5703125" bestFit="1" customWidth="1"/>
    <col min="2845" max="2846" width="18" customWidth="1"/>
    <col min="2847" max="2847" width="17.140625" customWidth="1"/>
    <col min="2848" max="2849" width="15.7109375" customWidth="1"/>
    <col min="2850" max="2850" width="15" customWidth="1"/>
    <col min="2851" max="2852" width="14.140625" bestFit="1" customWidth="1"/>
    <col min="2853" max="2853" width="11.7109375" bestFit="1" customWidth="1"/>
    <col min="2854" max="2854" width="11.85546875" bestFit="1" customWidth="1"/>
    <col min="2855" max="2855" width="12.5703125" customWidth="1"/>
    <col min="2856" max="2856" width="11.28515625" customWidth="1"/>
    <col min="2857" max="2857" width="11.5703125" customWidth="1"/>
    <col min="2858" max="2858" width="9.28515625" customWidth="1"/>
    <col min="2860" max="2860" width="11.7109375" bestFit="1" customWidth="1"/>
    <col min="2861" max="2861" width="10.7109375" bestFit="1" customWidth="1"/>
    <col min="3076" max="3076" width="12.28515625" bestFit="1" customWidth="1"/>
    <col min="3077" max="3080" width="12.28515625" customWidth="1"/>
    <col min="3081" max="3081" width="11.7109375" customWidth="1"/>
    <col min="3082" max="3096" width="9.7109375" customWidth="1"/>
    <col min="3097" max="3097" width="11.5703125" bestFit="1" customWidth="1"/>
    <col min="3098" max="3098" width="8.140625" bestFit="1" customWidth="1"/>
    <col min="3099" max="3100" width="11.5703125" bestFit="1" customWidth="1"/>
    <col min="3101" max="3102" width="18" customWidth="1"/>
    <col min="3103" max="3103" width="17.140625" customWidth="1"/>
    <col min="3104" max="3105" width="15.7109375" customWidth="1"/>
    <col min="3106" max="3106" width="15" customWidth="1"/>
    <col min="3107" max="3108" width="14.140625" bestFit="1" customWidth="1"/>
    <col min="3109" max="3109" width="11.7109375" bestFit="1" customWidth="1"/>
    <col min="3110" max="3110" width="11.85546875" bestFit="1" customWidth="1"/>
    <col min="3111" max="3111" width="12.5703125" customWidth="1"/>
    <col min="3112" max="3112" width="11.28515625" customWidth="1"/>
    <col min="3113" max="3113" width="11.5703125" customWidth="1"/>
    <col min="3114" max="3114" width="9.28515625" customWidth="1"/>
    <col min="3116" max="3116" width="11.7109375" bestFit="1" customWidth="1"/>
    <col min="3117" max="3117" width="10.7109375" bestFit="1" customWidth="1"/>
    <col min="3332" max="3332" width="12.28515625" bestFit="1" customWidth="1"/>
    <col min="3333" max="3336" width="12.28515625" customWidth="1"/>
    <col min="3337" max="3337" width="11.7109375" customWidth="1"/>
    <col min="3338" max="3352" width="9.7109375" customWidth="1"/>
    <col min="3353" max="3353" width="11.5703125" bestFit="1" customWidth="1"/>
    <col min="3354" max="3354" width="8.140625" bestFit="1" customWidth="1"/>
    <col min="3355" max="3356" width="11.5703125" bestFit="1" customWidth="1"/>
    <col min="3357" max="3358" width="18" customWidth="1"/>
    <col min="3359" max="3359" width="17.140625" customWidth="1"/>
    <col min="3360" max="3361" width="15.7109375" customWidth="1"/>
    <col min="3362" max="3362" width="15" customWidth="1"/>
    <col min="3363" max="3364" width="14.140625" bestFit="1" customWidth="1"/>
    <col min="3365" max="3365" width="11.7109375" bestFit="1" customWidth="1"/>
    <col min="3366" max="3366" width="11.85546875" bestFit="1" customWidth="1"/>
    <col min="3367" max="3367" width="12.5703125" customWidth="1"/>
    <col min="3368" max="3368" width="11.28515625" customWidth="1"/>
    <col min="3369" max="3369" width="11.5703125" customWidth="1"/>
    <col min="3370" max="3370" width="9.28515625" customWidth="1"/>
    <col min="3372" max="3372" width="11.7109375" bestFit="1" customWidth="1"/>
    <col min="3373" max="3373" width="10.7109375" bestFit="1" customWidth="1"/>
    <col min="3588" max="3588" width="12.28515625" bestFit="1" customWidth="1"/>
    <col min="3589" max="3592" width="12.28515625" customWidth="1"/>
    <col min="3593" max="3593" width="11.7109375" customWidth="1"/>
    <col min="3594" max="3608" width="9.7109375" customWidth="1"/>
    <col min="3609" max="3609" width="11.5703125" bestFit="1" customWidth="1"/>
    <col min="3610" max="3610" width="8.140625" bestFit="1" customWidth="1"/>
    <col min="3611" max="3612" width="11.5703125" bestFit="1" customWidth="1"/>
    <col min="3613" max="3614" width="18" customWidth="1"/>
    <col min="3615" max="3615" width="17.140625" customWidth="1"/>
    <col min="3616" max="3617" width="15.7109375" customWidth="1"/>
    <col min="3618" max="3618" width="15" customWidth="1"/>
    <col min="3619" max="3620" width="14.140625" bestFit="1" customWidth="1"/>
    <col min="3621" max="3621" width="11.7109375" bestFit="1" customWidth="1"/>
    <col min="3622" max="3622" width="11.85546875" bestFit="1" customWidth="1"/>
    <col min="3623" max="3623" width="12.5703125" customWidth="1"/>
    <col min="3624" max="3624" width="11.28515625" customWidth="1"/>
    <col min="3625" max="3625" width="11.5703125" customWidth="1"/>
    <col min="3626" max="3626" width="9.28515625" customWidth="1"/>
    <col min="3628" max="3628" width="11.7109375" bestFit="1" customWidth="1"/>
    <col min="3629" max="3629" width="10.7109375" bestFit="1" customWidth="1"/>
    <col min="3844" max="3844" width="12.28515625" bestFit="1" customWidth="1"/>
    <col min="3845" max="3848" width="12.28515625" customWidth="1"/>
    <col min="3849" max="3849" width="11.7109375" customWidth="1"/>
    <col min="3850" max="3864" width="9.7109375" customWidth="1"/>
    <col min="3865" max="3865" width="11.5703125" bestFit="1" customWidth="1"/>
    <col min="3866" max="3866" width="8.140625" bestFit="1" customWidth="1"/>
    <col min="3867" max="3868" width="11.5703125" bestFit="1" customWidth="1"/>
    <col min="3869" max="3870" width="18" customWidth="1"/>
    <col min="3871" max="3871" width="17.140625" customWidth="1"/>
    <col min="3872" max="3873" width="15.7109375" customWidth="1"/>
    <col min="3874" max="3874" width="15" customWidth="1"/>
    <col min="3875" max="3876" width="14.140625" bestFit="1" customWidth="1"/>
    <col min="3877" max="3877" width="11.7109375" bestFit="1" customWidth="1"/>
    <col min="3878" max="3878" width="11.85546875" bestFit="1" customWidth="1"/>
    <col min="3879" max="3879" width="12.5703125" customWidth="1"/>
    <col min="3880" max="3880" width="11.28515625" customWidth="1"/>
    <col min="3881" max="3881" width="11.5703125" customWidth="1"/>
    <col min="3882" max="3882" width="9.28515625" customWidth="1"/>
    <col min="3884" max="3884" width="11.7109375" bestFit="1" customWidth="1"/>
    <col min="3885" max="3885" width="10.7109375" bestFit="1" customWidth="1"/>
    <col min="4100" max="4100" width="12.28515625" bestFit="1" customWidth="1"/>
    <col min="4101" max="4104" width="12.28515625" customWidth="1"/>
    <col min="4105" max="4105" width="11.7109375" customWidth="1"/>
    <col min="4106" max="4120" width="9.7109375" customWidth="1"/>
    <col min="4121" max="4121" width="11.5703125" bestFit="1" customWidth="1"/>
    <col min="4122" max="4122" width="8.140625" bestFit="1" customWidth="1"/>
    <col min="4123" max="4124" width="11.5703125" bestFit="1" customWidth="1"/>
    <col min="4125" max="4126" width="18" customWidth="1"/>
    <col min="4127" max="4127" width="17.140625" customWidth="1"/>
    <col min="4128" max="4129" width="15.7109375" customWidth="1"/>
    <col min="4130" max="4130" width="15" customWidth="1"/>
    <col min="4131" max="4132" width="14.140625" bestFit="1" customWidth="1"/>
    <col min="4133" max="4133" width="11.7109375" bestFit="1" customWidth="1"/>
    <col min="4134" max="4134" width="11.85546875" bestFit="1" customWidth="1"/>
    <col min="4135" max="4135" width="12.5703125" customWidth="1"/>
    <col min="4136" max="4136" width="11.28515625" customWidth="1"/>
    <col min="4137" max="4137" width="11.5703125" customWidth="1"/>
    <col min="4138" max="4138" width="9.28515625" customWidth="1"/>
    <col min="4140" max="4140" width="11.7109375" bestFit="1" customWidth="1"/>
    <col min="4141" max="4141" width="10.7109375" bestFit="1" customWidth="1"/>
    <col min="4356" max="4356" width="12.28515625" bestFit="1" customWidth="1"/>
    <col min="4357" max="4360" width="12.28515625" customWidth="1"/>
    <col min="4361" max="4361" width="11.7109375" customWidth="1"/>
    <col min="4362" max="4376" width="9.7109375" customWidth="1"/>
    <col min="4377" max="4377" width="11.5703125" bestFit="1" customWidth="1"/>
    <col min="4378" max="4378" width="8.140625" bestFit="1" customWidth="1"/>
    <col min="4379" max="4380" width="11.5703125" bestFit="1" customWidth="1"/>
    <col min="4381" max="4382" width="18" customWidth="1"/>
    <col min="4383" max="4383" width="17.140625" customWidth="1"/>
    <col min="4384" max="4385" width="15.7109375" customWidth="1"/>
    <col min="4386" max="4386" width="15" customWidth="1"/>
    <col min="4387" max="4388" width="14.140625" bestFit="1" customWidth="1"/>
    <col min="4389" max="4389" width="11.7109375" bestFit="1" customWidth="1"/>
    <col min="4390" max="4390" width="11.85546875" bestFit="1" customWidth="1"/>
    <col min="4391" max="4391" width="12.5703125" customWidth="1"/>
    <col min="4392" max="4392" width="11.28515625" customWidth="1"/>
    <col min="4393" max="4393" width="11.5703125" customWidth="1"/>
    <col min="4394" max="4394" width="9.28515625" customWidth="1"/>
    <col min="4396" max="4396" width="11.7109375" bestFit="1" customWidth="1"/>
    <col min="4397" max="4397" width="10.7109375" bestFit="1" customWidth="1"/>
    <col min="4612" max="4612" width="12.28515625" bestFit="1" customWidth="1"/>
    <col min="4613" max="4616" width="12.28515625" customWidth="1"/>
    <col min="4617" max="4617" width="11.7109375" customWidth="1"/>
    <col min="4618" max="4632" width="9.7109375" customWidth="1"/>
    <col min="4633" max="4633" width="11.5703125" bestFit="1" customWidth="1"/>
    <col min="4634" max="4634" width="8.140625" bestFit="1" customWidth="1"/>
    <col min="4635" max="4636" width="11.5703125" bestFit="1" customWidth="1"/>
    <col min="4637" max="4638" width="18" customWidth="1"/>
    <col min="4639" max="4639" width="17.140625" customWidth="1"/>
    <col min="4640" max="4641" width="15.7109375" customWidth="1"/>
    <col min="4642" max="4642" width="15" customWidth="1"/>
    <col min="4643" max="4644" width="14.140625" bestFit="1" customWidth="1"/>
    <col min="4645" max="4645" width="11.7109375" bestFit="1" customWidth="1"/>
    <col min="4646" max="4646" width="11.85546875" bestFit="1" customWidth="1"/>
    <col min="4647" max="4647" width="12.5703125" customWidth="1"/>
    <col min="4648" max="4648" width="11.28515625" customWidth="1"/>
    <col min="4649" max="4649" width="11.5703125" customWidth="1"/>
    <col min="4650" max="4650" width="9.28515625" customWidth="1"/>
    <col min="4652" max="4652" width="11.7109375" bestFit="1" customWidth="1"/>
    <col min="4653" max="4653" width="10.7109375" bestFit="1" customWidth="1"/>
    <col min="4868" max="4868" width="12.28515625" bestFit="1" customWidth="1"/>
    <col min="4869" max="4872" width="12.28515625" customWidth="1"/>
    <col min="4873" max="4873" width="11.7109375" customWidth="1"/>
    <col min="4874" max="4888" width="9.7109375" customWidth="1"/>
    <col min="4889" max="4889" width="11.5703125" bestFit="1" customWidth="1"/>
    <col min="4890" max="4890" width="8.140625" bestFit="1" customWidth="1"/>
    <col min="4891" max="4892" width="11.5703125" bestFit="1" customWidth="1"/>
    <col min="4893" max="4894" width="18" customWidth="1"/>
    <col min="4895" max="4895" width="17.140625" customWidth="1"/>
    <col min="4896" max="4897" width="15.7109375" customWidth="1"/>
    <col min="4898" max="4898" width="15" customWidth="1"/>
    <col min="4899" max="4900" width="14.140625" bestFit="1" customWidth="1"/>
    <col min="4901" max="4901" width="11.7109375" bestFit="1" customWidth="1"/>
    <col min="4902" max="4902" width="11.85546875" bestFit="1" customWidth="1"/>
    <col min="4903" max="4903" width="12.5703125" customWidth="1"/>
    <col min="4904" max="4904" width="11.28515625" customWidth="1"/>
    <col min="4905" max="4905" width="11.5703125" customWidth="1"/>
    <col min="4906" max="4906" width="9.28515625" customWidth="1"/>
    <col min="4908" max="4908" width="11.7109375" bestFit="1" customWidth="1"/>
    <col min="4909" max="4909" width="10.7109375" bestFit="1" customWidth="1"/>
    <col min="5124" max="5124" width="12.28515625" bestFit="1" customWidth="1"/>
    <col min="5125" max="5128" width="12.28515625" customWidth="1"/>
    <col min="5129" max="5129" width="11.7109375" customWidth="1"/>
    <col min="5130" max="5144" width="9.7109375" customWidth="1"/>
    <col min="5145" max="5145" width="11.5703125" bestFit="1" customWidth="1"/>
    <col min="5146" max="5146" width="8.140625" bestFit="1" customWidth="1"/>
    <col min="5147" max="5148" width="11.5703125" bestFit="1" customWidth="1"/>
    <col min="5149" max="5150" width="18" customWidth="1"/>
    <col min="5151" max="5151" width="17.140625" customWidth="1"/>
    <col min="5152" max="5153" width="15.7109375" customWidth="1"/>
    <col min="5154" max="5154" width="15" customWidth="1"/>
    <col min="5155" max="5156" width="14.140625" bestFit="1" customWidth="1"/>
    <col min="5157" max="5157" width="11.7109375" bestFit="1" customWidth="1"/>
    <col min="5158" max="5158" width="11.85546875" bestFit="1" customWidth="1"/>
    <col min="5159" max="5159" width="12.5703125" customWidth="1"/>
    <col min="5160" max="5160" width="11.28515625" customWidth="1"/>
    <col min="5161" max="5161" width="11.5703125" customWidth="1"/>
    <col min="5162" max="5162" width="9.28515625" customWidth="1"/>
    <col min="5164" max="5164" width="11.7109375" bestFit="1" customWidth="1"/>
    <col min="5165" max="5165" width="10.7109375" bestFit="1" customWidth="1"/>
    <col min="5380" max="5380" width="12.28515625" bestFit="1" customWidth="1"/>
    <col min="5381" max="5384" width="12.28515625" customWidth="1"/>
    <col min="5385" max="5385" width="11.7109375" customWidth="1"/>
    <col min="5386" max="5400" width="9.7109375" customWidth="1"/>
    <col min="5401" max="5401" width="11.5703125" bestFit="1" customWidth="1"/>
    <col min="5402" max="5402" width="8.140625" bestFit="1" customWidth="1"/>
    <col min="5403" max="5404" width="11.5703125" bestFit="1" customWidth="1"/>
    <col min="5405" max="5406" width="18" customWidth="1"/>
    <col min="5407" max="5407" width="17.140625" customWidth="1"/>
    <col min="5408" max="5409" width="15.7109375" customWidth="1"/>
    <col min="5410" max="5410" width="15" customWidth="1"/>
    <col min="5411" max="5412" width="14.140625" bestFit="1" customWidth="1"/>
    <col min="5413" max="5413" width="11.7109375" bestFit="1" customWidth="1"/>
    <col min="5414" max="5414" width="11.85546875" bestFit="1" customWidth="1"/>
    <col min="5415" max="5415" width="12.5703125" customWidth="1"/>
    <col min="5416" max="5416" width="11.28515625" customWidth="1"/>
    <col min="5417" max="5417" width="11.5703125" customWidth="1"/>
    <col min="5418" max="5418" width="9.28515625" customWidth="1"/>
    <col min="5420" max="5420" width="11.7109375" bestFit="1" customWidth="1"/>
    <col min="5421" max="5421" width="10.7109375" bestFit="1" customWidth="1"/>
    <col min="5636" max="5636" width="12.28515625" bestFit="1" customWidth="1"/>
    <col min="5637" max="5640" width="12.28515625" customWidth="1"/>
    <col min="5641" max="5641" width="11.7109375" customWidth="1"/>
    <col min="5642" max="5656" width="9.7109375" customWidth="1"/>
    <col min="5657" max="5657" width="11.5703125" bestFit="1" customWidth="1"/>
    <col min="5658" max="5658" width="8.140625" bestFit="1" customWidth="1"/>
    <col min="5659" max="5660" width="11.5703125" bestFit="1" customWidth="1"/>
    <col min="5661" max="5662" width="18" customWidth="1"/>
    <col min="5663" max="5663" width="17.140625" customWidth="1"/>
    <col min="5664" max="5665" width="15.7109375" customWidth="1"/>
    <col min="5666" max="5666" width="15" customWidth="1"/>
    <col min="5667" max="5668" width="14.140625" bestFit="1" customWidth="1"/>
    <col min="5669" max="5669" width="11.7109375" bestFit="1" customWidth="1"/>
    <col min="5670" max="5670" width="11.85546875" bestFit="1" customWidth="1"/>
    <col min="5671" max="5671" width="12.5703125" customWidth="1"/>
    <col min="5672" max="5672" width="11.28515625" customWidth="1"/>
    <col min="5673" max="5673" width="11.5703125" customWidth="1"/>
    <col min="5674" max="5674" width="9.28515625" customWidth="1"/>
    <col min="5676" max="5676" width="11.7109375" bestFit="1" customWidth="1"/>
    <col min="5677" max="5677" width="10.7109375" bestFit="1" customWidth="1"/>
    <col min="5892" max="5892" width="12.28515625" bestFit="1" customWidth="1"/>
    <col min="5893" max="5896" width="12.28515625" customWidth="1"/>
    <col min="5897" max="5897" width="11.7109375" customWidth="1"/>
    <col min="5898" max="5912" width="9.7109375" customWidth="1"/>
    <col min="5913" max="5913" width="11.5703125" bestFit="1" customWidth="1"/>
    <col min="5914" max="5914" width="8.140625" bestFit="1" customWidth="1"/>
    <col min="5915" max="5916" width="11.5703125" bestFit="1" customWidth="1"/>
    <col min="5917" max="5918" width="18" customWidth="1"/>
    <col min="5919" max="5919" width="17.140625" customWidth="1"/>
    <col min="5920" max="5921" width="15.7109375" customWidth="1"/>
    <col min="5922" max="5922" width="15" customWidth="1"/>
    <col min="5923" max="5924" width="14.140625" bestFit="1" customWidth="1"/>
    <col min="5925" max="5925" width="11.7109375" bestFit="1" customWidth="1"/>
    <col min="5926" max="5926" width="11.85546875" bestFit="1" customWidth="1"/>
    <col min="5927" max="5927" width="12.5703125" customWidth="1"/>
    <col min="5928" max="5928" width="11.28515625" customWidth="1"/>
    <col min="5929" max="5929" width="11.5703125" customWidth="1"/>
    <col min="5930" max="5930" width="9.28515625" customWidth="1"/>
    <col min="5932" max="5932" width="11.7109375" bestFit="1" customWidth="1"/>
    <col min="5933" max="5933" width="10.7109375" bestFit="1" customWidth="1"/>
    <col min="6148" max="6148" width="12.28515625" bestFit="1" customWidth="1"/>
    <col min="6149" max="6152" width="12.28515625" customWidth="1"/>
    <col min="6153" max="6153" width="11.7109375" customWidth="1"/>
    <col min="6154" max="6168" width="9.7109375" customWidth="1"/>
    <col min="6169" max="6169" width="11.5703125" bestFit="1" customWidth="1"/>
    <col min="6170" max="6170" width="8.140625" bestFit="1" customWidth="1"/>
    <col min="6171" max="6172" width="11.5703125" bestFit="1" customWidth="1"/>
    <col min="6173" max="6174" width="18" customWidth="1"/>
    <col min="6175" max="6175" width="17.140625" customWidth="1"/>
    <col min="6176" max="6177" width="15.7109375" customWidth="1"/>
    <col min="6178" max="6178" width="15" customWidth="1"/>
    <col min="6179" max="6180" width="14.140625" bestFit="1" customWidth="1"/>
    <col min="6181" max="6181" width="11.7109375" bestFit="1" customWidth="1"/>
    <col min="6182" max="6182" width="11.85546875" bestFit="1" customWidth="1"/>
    <col min="6183" max="6183" width="12.5703125" customWidth="1"/>
    <col min="6184" max="6184" width="11.28515625" customWidth="1"/>
    <col min="6185" max="6185" width="11.5703125" customWidth="1"/>
    <col min="6186" max="6186" width="9.28515625" customWidth="1"/>
    <col min="6188" max="6188" width="11.7109375" bestFit="1" customWidth="1"/>
    <col min="6189" max="6189" width="10.7109375" bestFit="1" customWidth="1"/>
    <col min="6404" max="6404" width="12.28515625" bestFit="1" customWidth="1"/>
    <col min="6405" max="6408" width="12.28515625" customWidth="1"/>
    <col min="6409" max="6409" width="11.7109375" customWidth="1"/>
    <col min="6410" max="6424" width="9.7109375" customWidth="1"/>
    <col min="6425" max="6425" width="11.5703125" bestFit="1" customWidth="1"/>
    <col min="6426" max="6426" width="8.140625" bestFit="1" customWidth="1"/>
    <col min="6427" max="6428" width="11.5703125" bestFit="1" customWidth="1"/>
    <col min="6429" max="6430" width="18" customWidth="1"/>
    <col min="6431" max="6431" width="17.140625" customWidth="1"/>
    <col min="6432" max="6433" width="15.7109375" customWidth="1"/>
    <col min="6434" max="6434" width="15" customWidth="1"/>
    <col min="6435" max="6436" width="14.140625" bestFit="1" customWidth="1"/>
    <col min="6437" max="6437" width="11.7109375" bestFit="1" customWidth="1"/>
    <col min="6438" max="6438" width="11.85546875" bestFit="1" customWidth="1"/>
    <col min="6439" max="6439" width="12.5703125" customWidth="1"/>
    <col min="6440" max="6440" width="11.28515625" customWidth="1"/>
    <col min="6441" max="6441" width="11.5703125" customWidth="1"/>
    <col min="6442" max="6442" width="9.28515625" customWidth="1"/>
    <col min="6444" max="6444" width="11.7109375" bestFit="1" customWidth="1"/>
    <col min="6445" max="6445" width="10.7109375" bestFit="1" customWidth="1"/>
    <col min="6660" max="6660" width="12.28515625" bestFit="1" customWidth="1"/>
    <col min="6661" max="6664" width="12.28515625" customWidth="1"/>
    <col min="6665" max="6665" width="11.7109375" customWidth="1"/>
    <col min="6666" max="6680" width="9.7109375" customWidth="1"/>
    <col min="6681" max="6681" width="11.5703125" bestFit="1" customWidth="1"/>
    <col min="6682" max="6682" width="8.140625" bestFit="1" customWidth="1"/>
    <col min="6683" max="6684" width="11.5703125" bestFit="1" customWidth="1"/>
    <col min="6685" max="6686" width="18" customWidth="1"/>
    <col min="6687" max="6687" width="17.140625" customWidth="1"/>
    <col min="6688" max="6689" width="15.7109375" customWidth="1"/>
    <col min="6690" max="6690" width="15" customWidth="1"/>
    <col min="6691" max="6692" width="14.140625" bestFit="1" customWidth="1"/>
    <col min="6693" max="6693" width="11.7109375" bestFit="1" customWidth="1"/>
    <col min="6694" max="6694" width="11.85546875" bestFit="1" customWidth="1"/>
    <col min="6695" max="6695" width="12.5703125" customWidth="1"/>
    <col min="6696" max="6696" width="11.28515625" customWidth="1"/>
    <col min="6697" max="6697" width="11.5703125" customWidth="1"/>
    <col min="6698" max="6698" width="9.28515625" customWidth="1"/>
    <col min="6700" max="6700" width="11.7109375" bestFit="1" customWidth="1"/>
    <col min="6701" max="6701" width="10.7109375" bestFit="1" customWidth="1"/>
    <col min="6916" max="6916" width="12.28515625" bestFit="1" customWidth="1"/>
    <col min="6917" max="6920" width="12.28515625" customWidth="1"/>
    <col min="6921" max="6921" width="11.7109375" customWidth="1"/>
    <col min="6922" max="6936" width="9.7109375" customWidth="1"/>
    <col min="6937" max="6937" width="11.5703125" bestFit="1" customWidth="1"/>
    <col min="6938" max="6938" width="8.140625" bestFit="1" customWidth="1"/>
    <col min="6939" max="6940" width="11.5703125" bestFit="1" customWidth="1"/>
    <col min="6941" max="6942" width="18" customWidth="1"/>
    <col min="6943" max="6943" width="17.140625" customWidth="1"/>
    <col min="6944" max="6945" width="15.7109375" customWidth="1"/>
    <col min="6946" max="6946" width="15" customWidth="1"/>
    <col min="6947" max="6948" width="14.140625" bestFit="1" customWidth="1"/>
    <col min="6949" max="6949" width="11.7109375" bestFit="1" customWidth="1"/>
    <col min="6950" max="6950" width="11.85546875" bestFit="1" customWidth="1"/>
    <col min="6951" max="6951" width="12.5703125" customWidth="1"/>
    <col min="6952" max="6952" width="11.28515625" customWidth="1"/>
    <col min="6953" max="6953" width="11.5703125" customWidth="1"/>
    <col min="6954" max="6954" width="9.28515625" customWidth="1"/>
    <col min="6956" max="6956" width="11.7109375" bestFit="1" customWidth="1"/>
    <col min="6957" max="6957" width="10.7109375" bestFit="1" customWidth="1"/>
    <col min="7172" max="7172" width="12.28515625" bestFit="1" customWidth="1"/>
    <col min="7173" max="7176" width="12.28515625" customWidth="1"/>
    <col min="7177" max="7177" width="11.7109375" customWidth="1"/>
    <col min="7178" max="7192" width="9.7109375" customWidth="1"/>
    <col min="7193" max="7193" width="11.5703125" bestFit="1" customWidth="1"/>
    <col min="7194" max="7194" width="8.140625" bestFit="1" customWidth="1"/>
    <col min="7195" max="7196" width="11.5703125" bestFit="1" customWidth="1"/>
    <col min="7197" max="7198" width="18" customWidth="1"/>
    <col min="7199" max="7199" width="17.140625" customWidth="1"/>
    <col min="7200" max="7201" width="15.7109375" customWidth="1"/>
    <col min="7202" max="7202" width="15" customWidth="1"/>
    <col min="7203" max="7204" width="14.140625" bestFit="1" customWidth="1"/>
    <col min="7205" max="7205" width="11.7109375" bestFit="1" customWidth="1"/>
    <col min="7206" max="7206" width="11.85546875" bestFit="1" customWidth="1"/>
    <col min="7207" max="7207" width="12.5703125" customWidth="1"/>
    <col min="7208" max="7208" width="11.28515625" customWidth="1"/>
    <col min="7209" max="7209" width="11.5703125" customWidth="1"/>
    <col min="7210" max="7210" width="9.28515625" customWidth="1"/>
    <col min="7212" max="7212" width="11.7109375" bestFit="1" customWidth="1"/>
    <col min="7213" max="7213" width="10.7109375" bestFit="1" customWidth="1"/>
    <col min="7428" max="7428" width="12.28515625" bestFit="1" customWidth="1"/>
    <col min="7429" max="7432" width="12.28515625" customWidth="1"/>
    <col min="7433" max="7433" width="11.7109375" customWidth="1"/>
    <col min="7434" max="7448" width="9.7109375" customWidth="1"/>
    <col min="7449" max="7449" width="11.5703125" bestFit="1" customWidth="1"/>
    <col min="7450" max="7450" width="8.140625" bestFit="1" customWidth="1"/>
    <col min="7451" max="7452" width="11.5703125" bestFit="1" customWidth="1"/>
    <col min="7453" max="7454" width="18" customWidth="1"/>
    <col min="7455" max="7455" width="17.140625" customWidth="1"/>
    <col min="7456" max="7457" width="15.7109375" customWidth="1"/>
    <col min="7458" max="7458" width="15" customWidth="1"/>
    <col min="7459" max="7460" width="14.140625" bestFit="1" customWidth="1"/>
    <col min="7461" max="7461" width="11.7109375" bestFit="1" customWidth="1"/>
    <col min="7462" max="7462" width="11.85546875" bestFit="1" customWidth="1"/>
    <col min="7463" max="7463" width="12.5703125" customWidth="1"/>
    <col min="7464" max="7464" width="11.28515625" customWidth="1"/>
    <col min="7465" max="7465" width="11.5703125" customWidth="1"/>
    <col min="7466" max="7466" width="9.28515625" customWidth="1"/>
    <col min="7468" max="7468" width="11.7109375" bestFit="1" customWidth="1"/>
    <col min="7469" max="7469" width="10.7109375" bestFit="1" customWidth="1"/>
    <col min="7684" max="7684" width="12.28515625" bestFit="1" customWidth="1"/>
    <col min="7685" max="7688" width="12.28515625" customWidth="1"/>
    <col min="7689" max="7689" width="11.7109375" customWidth="1"/>
    <col min="7690" max="7704" width="9.7109375" customWidth="1"/>
    <col min="7705" max="7705" width="11.5703125" bestFit="1" customWidth="1"/>
    <col min="7706" max="7706" width="8.140625" bestFit="1" customWidth="1"/>
    <col min="7707" max="7708" width="11.5703125" bestFit="1" customWidth="1"/>
    <col min="7709" max="7710" width="18" customWidth="1"/>
    <col min="7711" max="7711" width="17.140625" customWidth="1"/>
    <col min="7712" max="7713" width="15.7109375" customWidth="1"/>
    <col min="7714" max="7714" width="15" customWidth="1"/>
    <col min="7715" max="7716" width="14.140625" bestFit="1" customWidth="1"/>
    <col min="7717" max="7717" width="11.7109375" bestFit="1" customWidth="1"/>
    <col min="7718" max="7718" width="11.85546875" bestFit="1" customWidth="1"/>
    <col min="7719" max="7719" width="12.5703125" customWidth="1"/>
    <col min="7720" max="7720" width="11.28515625" customWidth="1"/>
    <col min="7721" max="7721" width="11.5703125" customWidth="1"/>
    <col min="7722" max="7722" width="9.28515625" customWidth="1"/>
    <col min="7724" max="7724" width="11.7109375" bestFit="1" customWidth="1"/>
    <col min="7725" max="7725" width="10.7109375" bestFit="1" customWidth="1"/>
    <col min="7940" max="7940" width="12.28515625" bestFit="1" customWidth="1"/>
    <col min="7941" max="7944" width="12.28515625" customWidth="1"/>
    <col min="7945" max="7945" width="11.7109375" customWidth="1"/>
    <col min="7946" max="7960" width="9.7109375" customWidth="1"/>
    <col min="7961" max="7961" width="11.5703125" bestFit="1" customWidth="1"/>
    <col min="7962" max="7962" width="8.140625" bestFit="1" customWidth="1"/>
    <col min="7963" max="7964" width="11.5703125" bestFit="1" customWidth="1"/>
    <col min="7965" max="7966" width="18" customWidth="1"/>
    <col min="7967" max="7967" width="17.140625" customWidth="1"/>
    <col min="7968" max="7969" width="15.7109375" customWidth="1"/>
    <col min="7970" max="7970" width="15" customWidth="1"/>
    <col min="7971" max="7972" width="14.140625" bestFit="1" customWidth="1"/>
    <col min="7973" max="7973" width="11.7109375" bestFit="1" customWidth="1"/>
    <col min="7974" max="7974" width="11.85546875" bestFit="1" customWidth="1"/>
    <col min="7975" max="7975" width="12.5703125" customWidth="1"/>
    <col min="7976" max="7976" width="11.28515625" customWidth="1"/>
    <col min="7977" max="7977" width="11.5703125" customWidth="1"/>
    <col min="7978" max="7978" width="9.28515625" customWidth="1"/>
    <col min="7980" max="7980" width="11.7109375" bestFit="1" customWidth="1"/>
    <col min="7981" max="7981" width="10.7109375" bestFit="1" customWidth="1"/>
    <col min="8196" max="8196" width="12.28515625" bestFit="1" customWidth="1"/>
    <col min="8197" max="8200" width="12.28515625" customWidth="1"/>
    <col min="8201" max="8201" width="11.7109375" customWidth="1"/>
    <col min="8202" max="8216" width="9.7109375" customWidth="1"/>
    <col min="8217" max="8217" width="11.5703125" bestFit="1" customWidth="1"/>
    <col min="8218" max="8218" width="8.140625" bestFit="1" customWidth="1"/>
    <col min="8219" max="8220" width="11.5703125" bestFit="1" customWidth="1"/>
    <col min="8221" max="8222" width="18" customWidth="1"/>
    <col min="8223" max="8223" width="17.140625" customWidth="1"/>
    <col min="8224" max="8225" width="15.7109375" customWidth="1"/>
    <col min="8226" max="8226" width="15" customWidth="1"/>
    <col min="8227" max="8228" width="14.140625" bestFit="1" customWidth="1"/>
    <col min="8229" max="8229" width="11.7109375" bestFit="1" customWidth="1"/>
    <col min="8230" max="8230" width="11.85546875" bestFit="1" customWidth="1"/>
    <col min="8231" max="8231" width="12.5703125" customWidth="1"/>
    <col min="8232" max="8232" width="11.28515625" customWidth="1"/>
    <col min="8233" max="8233" width="11.5703125" customWidth="1"/>
    <col min="8234" max="8234" width="9.28515625" customWidth="1"/>
    <col min="8236" max="8236" width="11.7109375" bestFit="1" customWidth="1"/>
    <col min="8237" max="8237" width="10.7109375" bestFit="1" customWidth="1"/>
    <col min="8452" max="8452" width="12.28515625" bestFit="1" customWidth="1"/>
    <col min="8453" max="8456" width="12.28515625" customWidth="1"/>
    <col min="8457" max="8457" width="11.7109375" customWidth="1"/>
    <col min="8458" max="8472" width="9.7109375" customWidth="1"/>
    <col min="8473" max="8473" width="11.5703125" bestFit="1" customWidth="1"/>
    <col min="8474" max="8474" width="8.140625" bestFit="1" customWidth="1"/>
    <col min="8475" max="8476" width="11.5703125" bestFit="1" customWidth="1"/>
    <col min="8477" max="8478" width="18" customWidth="1"/>
    <col min="8479" max="8479" width="17.140625" customWidth="1"/>
    <col min="8480" max="8481" width="15.7109375" customWidth="1"/>
    <col min="8482" max="8482" width="15" customWidth="1"/>
    <col min="8483" max="8484" width="14.140625" bestFit="1" customWidth="1"/>
    <col min="8485" max="8485" width="11.7109375" bestFit="1" customWidth="1"/>
    <col min="8486" max="8486" width="11.85546875" bestFit="1" customWidth="1"/>
    <col min="8487" max="8487" width="12.5703125" customWidth="1"/>
    <col min="8488" max="8488" width="11.28515625" customWidth="1"/>
    <col min="8489" max="8489" width="11.5703125" customWidth="1"/>
    <col min="8490" max="8490" width="9.28515625" customWidth="1"/>
    <col min="8492" max="8492" width="11.7109375" bestFit="1" customWidth="1"/>
    <col min="8493" max="8493" width="10.7109375" bestFit="1" customWidth="1"/>
    <col min="8708" max="8708" width="12.28515625" bestFit="1" customWidth="1"/>
    <col min="8709" max="8712" width="12.28515625" customWidth="1"/>
    <col min="8713" max="8713" width="11.7109375" customWidth="1"/>
    <col min="8714" max="8728" width="9.7109375" customWidth="1"/>
    <col min="8729" max="8729" width="11.5703125" bestFit="1" customWidth="1"/>
    <col min="8730" max="8730" width="8.140625" bestFit="1" customWidth="1"/>
    <col min="8731" max="8732" width="11.5703125" bestFit="1" customWidth="1"/>
    <col min="8733" max="8734" width="18" customWidth="1"/>
    <col min="8735" max="8735" width="17.140625" customWidth="1"/>
    <col min="8736" max="8737" width="15.7109375" customWidth="1"/>
    <col min="8738" max="8738" width="15" customWidth="1"/>
    <col min="8739" max="8740" width="14.140625" bestFit="1" customWidth="1"/>
    <col min="8741" max="8741" width="11.7109375" bestFit="1" customWidth="1"/>
    <col min="8742" max="8742" width="11.85546875" bestFit="1" customWidth="1"/>
    <col min="8743" max="8743" width="12.5703125" customWidth="1"/>
    <col min="8744" max="8744" width="11.28515625" customWidth="1"/>
    <col min="8745" max="8745" width="11.5703125" customWidth="1"/>
    <col min="8746" max="8746" width="9.28515625" customWidth="1"/>
    <col min="8748" max="8748" width="11.7109375" bestFit="1" customWidth="1"/>
    <col min="8749" max="8749" width="10.7109375" bestFit="1" customWidth="1"/>
    <col min="8964" max="8964" width="12.28515625" bestFit="1" customWidth="1"/>
    <col min="8965" max="8968" width="12.28515625" customWidth="1"/>
    <col min="8969" max="8969" width="11.7109375" customWidth="1"/>
    <col min="8970" max="8984" width="9.7109375" customWidth="1"/>
    <col min="8985" max="8985" width="11.5703125" bestFit="1" customWidth="1"/>
    <col min="8986" max="8986" width="8.140625" bestFit="1" customWidth="1"/>
    <col min="8987" max="8988" width="11.5703125" bestFit="1" customWidth="1"/>
    <col min="8989" max="8990" width="18" customWidth="1"/>
    <col min="8991" max="8991" width="17.140625" customWidth="1"/>
    <col min="8992" max="8993" width="15.7109375" customWidth="1"/>
    <col min="8994" max="8994" width="15" customWidth="1"/>
    <col min="8995" max="8996" width="14.140625" bestFit="1" customWidth="1"/>
    <col min="8997" max="8997" width="11.7109375" bestFit="1" customWidth="1"/>
    <col min="8998" max="8998" width="11.85546875" bestFit="1" customWidth="1"/>
    <col min="8999" max="8999" width="12.5703125" customWidth="1"/>
    <col min="9000" max="9000" width="11.28515625" customWidth="1"/>
    <col min="9001" max="9001" width="11.5703125" customWidth="1"/>
    <col min="9002" max="9002" width="9.28515625" customWidth="1"/>
    <col min="9004" max="9004" width="11.7109375" bestFit="1" customWidth="1"/>
    <col min="9005" max="9005" width="10.7109375" bestFit="1" customWidth="1"/>
    <col min="9220" max="9220" width="12.28515625" bestFit="1" customWidth="1"/>
    <col min="9221" max="9224" width="12.28515625" customWidth="1"/>
    <col min="9225" max="9225" width="11.7109375" customWidth="1"/>
    <col min="9226" max="9240" width="9.7109375" customWidth="1"/>
    <col min="9241" max="9241" width="11.5703125" bestFit="1" customWidth="1"/>
    <col min="9242" max="9242" width="8.140625" bestFit="1" customWidth="1"/>
    <col min="9243" max="9244" width="11.5703125" bestFit="1" customWidth="1"/>
    <col min="9245" max="9246" width="18" customWidth="1"/>
    <col min="9247" max="9247" width="17.140625" customWidth="1"/>
    <col min="9248" max="9249" width="15.7109375" customWidth="1"/>
    <col min="9250" max="9250" width="15" customWidth="1"/>
    <col min="9251" max="9252" width="14.140625" bestFit="1" customWidth="1"/>
    <col min="9253" max="9253" width="11.7109375" bestFit="1" customWidth="1"/>
    <col min="9254" max="9254" width="11.85546875" bestFit="1" customWidth="1"/>
    <col min="9255" max="9255" width="12.5703125" customWidth="1"/>
    <col min="9256" max="9256" width="11.28515625" customWidth="1"/>
    <col min="9257" max="9257" width="11.5703125" customWidth="1"/>
    <col min="9258" max="9258" width="9.28515625" customWidth="1"/>
    <col min="9260" max="9260" width="11.7109375" bestFit="1" customWidth="1"/>
    <col min="9261" max="9261" width="10.7109375" bestFit="1" customWidth="1"/>
    <col min="9476" max="9476" width="12.28515625" bestFit="1" customWidth="1"/>
    <col min="9477" max="9480" width="12.28515625" customWidth="1"/>
    <col min="9481" max="9481" width="11.7109375" customWidth="1"/>
    <col min="9482" max="9496" width="9.7109375" customWidth="1"/>
    <col min="9497" max="9497" width="11.5703125" bestFit="1" customWidth="1"/>
    <col min="9498" max="9498" width="8.140625" bestFit="1" customWidth="1"/>
    <col min="9499" max="9500" width="11.5703125" bestFit="1" customWidth="1"/>
    <col min="9501" max="9502" width="18" customWidth="1"/>
    <col min="9503" max="9503" width="17.140625" customWidth="1"/>
    <col min="9504" max="9505" width="15.7109375" customWidth="1"/>
    <col min="9506" max="9506" width="15" customWidth="1"/>
    <col min="9507" max="9508" width="14.140625" bestFit="1" customWidth="1"/>
    <col min="9509" max="9509" width="11.7109375" bestFit="1" customWidth="1"/>
    <col min="9510" max="9510" width="11.85546875" bestFit="1" customWidth="1"/>
    <col min="9511" max="9511" width="12.5703125" customWidth="1"/>
    <col min="9512" max="9512" width="11.28515625" customWidth="1"/>
    <col min="9513" max="9513" width="11.5703125" customWidth="1"/>
    <col min="9514" max="9514" width="9.28515625" customWidth="1"/>
    <col min="9516" max="9516" width="11.7109375" bestFit="1" customWidth="1"/>
    <col min="9517" max="9517" width="10.7109375" bestFit="1" customWidth="1"/>
    <col min="9732" max="9732" width="12.28515625" bestFit="1" customWidth="1"/>
    <col min="9733" max="9736" width="12.28515625" customWidth="1"/>
    <col min="9737" max="9737" width="11.7109375" customWidth="1"/>
    <col min="9738" max="9752" width="9.7109375" customWidth="1"/>
    <col min="9753" max="9753" width="11.5703125" bestFit="1" customWidth="1"/>
    <col min="9754" max="9754" width="8.140625" bestFit="1" customWidth="1"/>
    <col min="9755" max="9756" width="11.5703125" bestFit="1" customWidth="1"/>
    <col min="9757" max="9758" width="18" customWidth="1"/>
    <col min="9759" max="9759" width="17.140625" customWidth="1"/>
    <col min="9760" max="9761" width="15.7109375" customWidth="1"/>
    <col min="9762" max="9762" width="15" customWidth="1"/>
    <col min="9763" max="9764" width="14.140625" bestFit="1" customWidth="1"/>
    <col min="9765" max="9765" width="11.7109375" bestFit="1" customWidth="1"/>
    <col min="9766" max="9766" width="11.85546875" bestFit="1" customWidth="1"/>
    <col min="9767" max="9767" width="12.5703125" customWidth="1"/>
    <col min="9768" max="9768" width="11.28515625" customWidth="1"/>
    <col min="9769" max="9769" width="11.5703125" customWidth="1"/>
    <col min="9770" max="9770" width="9.28515625" customWidth="1"/>
    <col min="9772" max="9772" width="11.7109375" bestFit="1" customWidth="1"/>
    <col min="9773" max="9773" width="10.7109375" bestFit="1" customWidth="1"/>
    <col min="9988" max="9988" width="12.28515625" bestFit="1" customWidth="1"/>
    <col min="9989" max="9992" width="12.28515625" customWidth="1"/>
    <col min="9993" max="9993" width="11.7109375" customWidth="1"/>
    <col min="9994" max="10008" width="9.7109375" customWidth="1"/>
    <col min="10009" max="10009" width="11.5703125" bestFit="1" customWidth="1"/>
    <col min="10010" max="10010" width="8.140625" bestFit="1" customWidth="1"/>
    <col min="10011" max="10012" width="11.5703125" bestFit="1" customWidth="1"/>
    <col min="10013" max="10014" width="18" customWidth="1"/>
    <col min="10015" max="10015" width="17.140625" customWidth="1"/>
    <col min="10016" max="10017" width="15.7109375" customWidth="1"/>
    <col min="10018" max="10018" width="15" customWidth="1"/>
    <col min="10019" max="10020" width="14.140625" bestFit="1" customWidth="1"/>
    <col min="10021" max="10021" width="11.7109375" bestFit="1" customWidth="1"/>
    <col min="10022" max="10022" width="11.85546875" bestFit="1" customWidth="1"/>
    <col min="10023" max="10023" width="12.5703125" customWidth="1"/>
    <col min="10024" max="10024" width="11.28515625" customWidth="1"/>
    <col min="10025" max="10025" width="11.5703125" customWidth="1"/>
    <col min="10026" max="10026" width="9.28515625" customWidth="1"/>
    <col min="10028" max="10028" width="11.7109375" bestFit="1" customWidth="1"/>
    <col min="10029" max="10029" width="10.7109375" bestFit="1" customWidth="1"/>
    <col min="10244" max="10244" width="12.28515625" bestFit="1" customWidth="1"/>
    <col min="10245" max="10248" width="12.28515625" customWidth="1"/>
    <col min="10249" max="10249" width="11.7109375" customWidth="1"/>
    <col min="10250" max="10264" width="9.7109375" customWidth="1"/>
    <col min="10265" max="10265" width="11.5703125" bestFit="1" customWidth="1"/>
    <col min="10266" max="10266" width="8.140625" bestFit="1" customWidth="1"/>
    <col min="10267" max="10268" width="11.5703125" bestFit="1" customWidth="1"/>
    <col min="10269" max="10270" width="18" customWidth="1"/>
    <col min="10271" max="10271" width="17.140625" customWidth="1"/>
    <col min="10272" max="10273" width="15.7109375" customWidth="1"/>
    <col min="10274" max="10274" width="15" customWidth="1"/>
    <col min="10275" max="10276" width="14.140625" bestFit="1" customWidth="1"/>
    <col min="10277" max="10277" width="11.7109375" bestFit="1" customWidth="1"/>
    <col min="10278" max="10278" width="11.85546875" bestFit="1" customWidth="1"/>
    <col min="10279" max="10279" width="12.5703125" customWidth="1"/>
    <col min="10280" max="10280" width="11.28515625" customWidth="1"/>
    <col min="10281" max="10281" width="11.5703125" customWidth="1"/>
    <col min="10282" max="10282" width="9.28515625" customWidth="1"/>
    <col min="10284" max="10284" width="11.7109375" bestFit="1" customWidth="1"/>
    <col min="10285" max="10285" width="10.7109375" bestFit="1" customWidth="1"/>
    <col min="10500" max="10500" width="12.28515625" bestFit="1" customWidth="1"/>
    <col min="10501" max="10504" width="12.28515625" customWidth="1"/>
    <col min="10505" max="10505" width="11.7109375" customWidth="1"/>
    <col min="10506" max="10520" width="9.7109375" customWidth="1"/>
    <col min="10521" max="10521" width="11.5703125" bestFit="1" customWidth="1"/>
    <col min="10522" max="10522" width="8.140625" bestFit="1" customWidth="1"/>
    <col min="10523" max="10524" width="11.5703125" bestFit="1" customWidth="1"/>
    <col min="10525" max="10526" width="18" customWidth="1"/>
    <col min="10527" max="10527" width="17.140625" customWidth="1"/>
    <col min="10528" max="10529" width="15.7109375" customWidth="1"/>
    <col min="10530" max="10530" width="15" customWidth="1"/>
    <col min="10531" max="10532" width="14.140625" bestFit="1" customWidth="1"/>
    <col min="10533" max="10533" width="11.7109375" bestFit="1" customWidth="1"/>
    <col min="10534" max="10534" width="11.85546875" bestFit="1" customWidth="1"/>
    <col min="10535" max="10535" width="12.5703125" customWidth="1"/>
    <col min="10536" max="10536" width="11.28515625" customWidth="1"/>
    <col min="10537" max="10537" width="11.5703125" customWidth="1"/>
    <col min="10538" max="10538" width="9.28515625" customWidth="1"/>
    <col min="10540" max="10540" width="11.7109375" bestFit="1" customWidth="1"/>
    <col min="10541" max="10541" width="10.7109375" bestFit="1" customWidth="1"/>
    <col min="10756" max="10756" width="12.28515625" bestFit="1" customWidth="1"/>
    <col min="10757" max="10760" width="12.28515625" customWidth="1"/>
    <col min="10761" max="10761" width="11.7109375" customWidth="1"/>
    <col min="10762" max="10776" width="9.7109375" customWidth="1"/>
    <col min="10777" max="10777" width="11.5703125" bestFit="1" customWidth="1"/>
    <col min="10778" max="10778" width="8.140625" bestFit="1" customWidth="1"/>
    <col min="10779" max="10780" width="11.5703125" bestFit="1" customWidth="1"/>
    <col min="10781" max="10782" width="18" customWidth="1"/>
    <col min="10783" max="10783" width="17.140625" customWidth="1"/>
    <col min="10784" max="10785" width="15.7109375" customWidth="1"/>
    <col min="10786" max="10786" width="15" customWidth="1"/>
    <col min="10787" max="10788" width="14.140625" bestFit="1" customWidth="1"/>
    <col min="10789" max="10789" width="11.7109375" bestFit="1" customWidth="1"/>
    <col min="10790" max="10790" width="11.85546875" bestFit="1" customWidth="1"/>
    <col min="10791" max="10791" width="12.5703125" customWidth="1"/>
    <col min="10792" max="10792" width="11.28515625" customWidth="1"/>
    <col min="10793" max="10793" width="11.5703125" customWidth="1"/>
    <col min="10794" max="10794" width="9.28515625" customWidth="1"/>
    <col min="10796" max="10796" width="11.7109375" bestFit="1" customWidth="1"/>
    <col min="10797" max="10797" width="10.7109375" bestFit="1" customWidth="1"/>
    <col min="11012" max="11012" width="12.28515625" bestFit="1" customWidth="1"/>
    <col min="11013" max="11016" width="12.28515625" customWidth="1"/>
    <col min="11017" max="11017" width="11.7109375" customWidth="1"/>
    <col min="11018" max="11032" width="9.7109375" customWidth="1"/>
    <col min="11033" max="11033" width="11.5703125" bestFit="1" customWidth="1"/>
    <col min="11034" max="11034" width="8.140625" bestFit="1" customWidth="1"/>
    <col min="11035" max="11036" width="11.5703125" bestFit="1" customWidth="1"/>
    <col min="11037" max="11038" width="18" customWidth="1"/>
    <col min="11039" max="11039" width="17.140625" customWidth="1"/>
    <col min="11040" max="11041" width="15.7109375" customWidth="1"/>
    <col min="11042" max="11042" width="15" customWidth="1"/>
    <col min="11043" max="11044" width="14.140625" bestFit="1" customWidth="1"/>
    <col min="11045" max="11045" width="11.7109375" bestFit="1" customWidth="1"/>
    <col min="11046" max="11046" width="11.85546875" bestFit="1" customWidth="1"/>
    <col min="11047" max="11047" width="12.5703125" customWidth="1"/>
    <col min="11048" max="11048" width="11.28515625" customWidth="1"/>
    <col min="11049" max="11049" width="11.5703125" customWidth="1"/>
    <col min="11050" max="11050" width="9.28515625" customWidth="1"/>
    <col min="11052" max="11052" width="11.7109375" bestFit="1" customWidth="1"/>
    <col min="11053" max="11053" width="10.7109375" bestFit="1" customWidth="1"/>
    <col min="11268" max="11268" width="12.28515625" bestFit="1" customWidth="1"/>
    <col min="11269" max="11272" width="12.28515625" customWidth="1"/>
    <col min="11273" max="11273" width="11.7109375" customWidth="1"/>
    <col min="11274" max="11288" width="9.7109375" customWidth="1"/>
    <col min="11289" max="11289" width="11.5703125" bestFit="1" customWidth="1"/>
    <col min="11290" max="11290" width="8.140625" bestFit="1" customWidth="1"/>
    <col min="11291" max="11292" width="11.5703125" bestFit="1" customWidth="1"/>
    <col min="11293" max="11294" width="18" customWidth="1"/>
    <col min="11295" max="11295" width="17.140625" customWidth="1"/>
    <col min="11296" max="11297" width="15.7109375" customWidth="1"/>
    <col min="11298" max="11298" width="15" customWidth="1"/>
    <col min="11299" max="11300" width="14.140625" bestFit="1" customWidth="1"/>
    <col min="11301" max="11301" width="11.7109375" bestFit="1" customWidth="1"/>
    <col min="11302" max="11302" width="11.85546875" bestFit="1" customWidth="1"/>
    <col min="11303" max="11303" width="12.5703125" customWidth="1"/>
    <col min="11304" max="11304" width="11.28515625" customWidth="1"/>
    <col min="11305" max="11305" width="11.5703125" customWidth="1"/>
    <col min="11306" max="11306" width="9.28515625" customWidth="1"/>
    <col min="11308" max="11308" width="11.7109375" bestFit="1" customWidth="1"/>
    <col min="11309" max="11309" width="10.7109375" bestFit="1" customWidth="1"/>
    <col min="11524" max="11524" width="12.28515625" bestFit="1" customWidth="1"/>
    <col min="11525" max="11528" width="12.28515625" customWidth="1"/>
    <col min="11529" max="11529" width="11.7109375" customWidth="1"/>
    <col min="11530" max="11544" width="9.7109375" customWidth="1"/>
    <col min="11545" max="11545" width="11.5703125" bestFit="1" customWidth="1"/>
    <col min="11546" max="11546" width="8.140625" bestFit="1" customWidth="1"/>
    <col min="11547" max="11548" width="11.5703125" bestFit="1" customWidth="1"/>
    <col min="11549" max="11550" width="18" customWidth="1"/>
    <col min="11551" max="11551" width="17.140625" customWidth="1"/>
    <col min="11552" max="11553" width="15.7109375" customWidth="1"/>
    <col min="11554" max="11554" width="15" customWidth="1"/>
    <col min="11555" max="11556" width="14.140625" bestFit="1" customWidth="1"/>
    <col min="11557" max="11557" width="11.7109375" bestFit="1" customWidth="1"/>
    <col min="11558" max="11558" width="11.85546875" bestFit="1" customWidth="1"/>
    <col min="11559" max="11559" width="12.5703125" customWidth="1"/>
    <col min="11560" max="11560" width="11.28515625" customWidth="1"/>
    <col min="11561" max="11561" width="11.5703125" customWidth="1"/>
    <col min="11562" max="11562" width="9.28515625" customWidth="1"/>
    <col min="11564" max="11564" width="11.7109375" bestFit="1" customWidth="1"/>
    <col min="11565" max="11565" width="10.7109375" bestFit="1" customWidth="1"/>
    <col min="11780" max="11780" width="12.28515625" bestFit="1" customWidth="1"/>
    <col min="11781" max="11784" width="12.28515625" customWidth="1"/>
    <col min="11785" max="11785" width="11.7109375" customWidth="1"/>
    <col min="11786" max="11800" width="9.7109375" customWidth="1"/>
    <col min="11801" max="11801" width="11.5703125" bestFit="1" customWidth="1"/>
    <col min="11802" max="11802" width="8.140625" bestFit="1" customWidth="1"/>
    <col min="11803" max="11804" width="11.5703125" bestFit="1" customWidth="1"/>
    <col min="11805" max="11806" width="18" customWidth="1"/>
    <col min="11807" max="11807" width="17.140625" customWidth="1"/>
    <col min="11808" max="11809" width="15.7109375" customWidth="1"/>
    <col min="11810" max="11810" width="15" customWidth="1"/>
    <col min="11811" max="11812" width="14.140625" bestFit="1" customWidth="1"/>
    <col min="11813" max="11813" width="11.7109375" bestFit="1" customWidth="1"/>
    <col min="11814" max="11814" width="11.85546875" bestFit="1" customWidth="1"/>
    <col min="11815" max="11815" width="12.5703125" customWidth="1"/>
    <col min="11816" max="11816" width="11.28515625" customWidth="1"/>
    <col min="11817" max="11817" width="11.5703125" customWidth="1"/>
    <col min="11818" max="11818" width="9.28515625" customWidth="1"/>
    <col min="11820" max="11820" width="11.7109375" bestFit="1" customWidth="1"/>
    <col min="11821" max="11821" width="10.7109375" bestFit="1" customWidth="1"/>
    <col min="12036" max="12036" width="12.28515625" bestFit="1" customWidth="1"/>
    <col min="12037" max="12040" width="12.28515625" customWidth="1"/>
    <col min="12041" max="12041" width="11.7109375" customWidth="1"/>
    <col min="12042" max="12056" width="9.7109375" customWidth="1"/>
    <col min="12057" max="12057" width="11.5703125" bestFit="1" customWidth="1"/>
    <col min="12058" max="12058" width="8.140625" bestFit="1" customWidth="1"/>
    <col min="12059" max="12060" width="11.5703125" bestFit="1" customWidth="1"/>
    <col min="12061" max="12062" width="18" customWidth="1"/>
    <col min="12063" max="12063" width="17.140625" customWidth="1"/>
    <col min="12064" max="12065" width="15.7109375" customWidth="1"/>
    <col min="12066" max="12066" width="15" customWidth="1"/>
    <col min="12067" max="12068" width="14.140625" bestFit="1" customWidth="1"/>
    <col min="12069" max="12069" width="11.7109375" bestFit="1" customWidth="1"/>
    <col min="12070" max="12070" width="11.85546875" bestFit="1" customWidth="1"/>
    <col min="12071" max="12071" width="12.5703125" customWidth="1"/>
    <col min="12072" max="12072" width="11.28515625" customWidth="1"/>
    <col min="12073" max="12073" width="11.5703125" customWidth="1"/>
    <col min="12074" max="12074" width="9.28515625" customWidth="1"/>
    <col min="12076" max="12076" width="11.7109375" bestFit="1" customWidth="1"/>
    <col min="12077" max="12077" width="10.7109375" bestFit="1" customWidth="1"/>
    <col min="12292" max="12292" width="12.28515625" bestFit="1" customWidth="1"/>
    <col min="12293" max="12296" width="12.28515625" customWidth="1"/>
    <col min="12297" max="12297" width="11.7109375" customWidth="1"/>
    <col min="12298" max="12312" width="9.7109375" customWidth="1"/>
    <col min="12313" max="12313" width="11.5703125" bestFit="1" customWidth="1"/>
    <col min="12314" max="12314" width="8.140625" bestFit="1" customWidth="1"/>
    <col min="12315" max="12316" width="11.5703125" bestFit="1" customWidth="1"/>
    <col min="12317" max="12318" width="18" customWidth="1"/>
    <col min="12319" max="12319" width="17.140625" customWidth="1"/>
    <col min="12320" max="12321" width="15.7109375" customWidth="1"/>
    <col min="12322" max="12322" width="15" customWidth="1"/>
    <col min="12323" max="12324" width="14.140625" bestFit="1" customWidth="1"/>
    <col min="12325" max="12325" width="11.7109375" bestFit="1" customWidth="1"/>
    <col min="12326" max="12326" width="11.85546875" bestFit="1" customWidth="1"/>
    <col min="12327" max="12327" width="12.5703125" customWidth="1"/>
    <col min="12328" max="12328" width="11.28515625" customWidth="1"/>
    <col min="12329" max="12329" width="11.5703125" customWidth="1"/>
    <col min="12330" max="12330" width="9.28515625" customWidth="1"/>
    <col min="12332" max="12332" width="11.7109375" bestFit="1" customWidth="1"/>
    <col min="12333" max="12333" width="10.7109375" bestFit="1" customWidth="1"/>
    <col min="12548" max="12548" width="12.28515625" bestFit="1" customWidth="1"/>
    <col min="12549" max="12552" width="12.28515625" customWidth="1"/>
    <col min="12553" max="12553" width="11.7109375" customWidth="1"/>
    <col min="12554" max="12568" width="9.7109375" customWidth="1"/>
    <col min="12569" max="12569" width="11.5703125" bestFit="1" customWidth="1"/>
    <col min="12570" max="12570" width="8.140625" bestFit="1" customWidth="1"/>
    <col min="12571" max="12572" width="11.5703125" bestFit="1" customWidth="1"/>
    <col min="12573" max="12574" width="18" customWidth="1"/>
    <col min="12575" max="12575" width="17.140625" customWidth="1"/>
    <col min="12576" max="12577" width="15.7109375" customWidth="1"/>
    <col min="12578" max="12578" width="15" customWidth="1"/>
    <col min="12579" max="12580" width="14.140625" bestFit="1" customWidth="1"/>
    <col min="12581" max="12581" width="11.7109375" bestFit="1" customWidth="1"/>
    <col min="12582" max="12582" width="11.85546875" bestFit="1" customWidth="1"/>
    <col min="12583" max="12583" width="12.5703125" customWidth="1"/>
    <col min="12584" max="12584" width="11.28515625" customWidth="1"/>
    <col min="12585" max="12585" width="11.5703125" customWidth="1"/>
    <col min="12586" max="12586" width="9.28515625" customWidth="1"/>
    <col min="12588" max="12588" width="11.7109375" bestFit="1" customWidth="1"/>
    <col min="12589" max="12589" width="10.7109375" bestFit="1" customWidth="1"/>
    <col min="12804" max="12804" width="12.28515625" bestFit="1" customWidth="1"/>
    <col min="12805" max="12808" width="12.28515625" customWidth="1"/>
    <col min="12809" max="12809" width="11.7109375" customWidth="1"/>
    <col min="12810" max="12824" width="9.7109375" customWidth="1"/>
    <col min="12825" max="12825" width="11.5703125" bestFit="1" customWidth="1"/>
    <col min="12826" max="12826" width="8.140625" bestFit="1" customWidth="1"/>
    <col min="12827" max="12828" width="11.5703125" bestFit="1" customWidth="1"/>
    <col min="12829" max="12830" width="18" customWidth="1"/>
    <col min="12831" max="12831" width="17.140625" customWidth="1"/>
    <col min="12832" max="12833" width="15.7109375" customWidth="1"/>
    <col min="12834" max="12834" width="15" customWidth="1"/>
    <col min="12835" max="12836" width="14.140625" bestFit="1" customWidth="1"/>
    <col min="12837" max="12837" width="11.7109375" bestFit="1" customWidth="1"/>
    <col min="12838" max="12838" width="11.85546875" bestFit="1" customWidth="1"/>
    <col min="12839" max="12839" width="12.5703125" customWidth="1"/>
    <col min="12840" max="12840" width="11.28515625" customWidth="1"/>
    <col min="12841" max="12841" width="11.5703125" customWidth="1"/>
    <col min="12842" max="12842" width="9.28515625" customWidth="1"/>
    <col min="12844" max="12844" width="11.7109375" bestFit="1" customWidth="1"/>
    <col min="12845" max="12845" width="10.7109375" bestFit="1" customWidth="1"/>
    <col min="13060" max="13060" width="12.28515625" bestFit="1" customWidth="1"/>
    <col min="13061" max="13064" width="12.28515625" customWidth="1"/>
    <col min="13065" max="13065" width="11.7109375" customWidth="1"/>
    <col min="13066" max="13080" width="9.7109375" customWidth="1"/>
    <col min="13081" max="13081" width="11.5703125" bestFit="1" customWidth="1"/>
    <col min="13082" max="13082" width="8.140625" bestFit="1" customWidth="1"/>
    <col min="13083" max="13084" width="11.5703125" bestFit="1" customWidth="1"/>
    <col min="13085" max="13086" width="18" customWidth="1"/>
    <col min="13087" max="13087" width="17.140625" customWidth="1"/>
    <col min="13088" max="13089" width="15.7109375" customWidth="1"/>
    <col min="13090" max="13090" width="15" customWidth="1"/>
    <col min="13091" max="13092" width="14.140625" bestFit="1" customWidth="1"/>
    <col min="13093" max="13093" width="11.7109375" bestFit="1" customWidth="1"/>
    <col min="13094" max="13094" width="11.85546875" bestFit="1" customWidth="1"/>
    <col min="13095" max="13095" width="12.5703125" customWidth="1"/>
    <col min="13096" max="13096" width="11.28515625" customWidth="1"/>
    <col min="13097" max="13097" width="11.5703125" customWidth="1"/>
    <col min="13098" max="13098" width="9.28515625" customWidth="1"/>
    <col min="13100" max="13100" width="11.7109375" bestFit="1" customWidth="1"/>
    <col min="13101" max="13101" width="10.7109375" bestFit="1" customWidth="1"/>
    <col min="13316" max="13316" width="12.28515625" bestFit="1" customWidth="1"/>
    <col min="13317" max="13320" width="12.28515625" customWidth="1"/>
    <col min="13321" max="13321" width="11.7109375" customWidth="1"/>
    <col min="13322" max="13336" width="9.7109375" customWidth="1"/>
    <col min="13337" max="13337" width="11.5703125" bestFit="1" customWidth="1"/>
    <col min="13338" max="13338" width="8.140625" bestFit="1" customWidth="1"/>
    <col min="13339" max="13340" width="11.5703125" bestFit="1" customWidth="1"/>
    <col min="13341" max="13342" width="18" customWidth="1"/>
    <col min="13343" max="13343" width="17.140625" customWidth="1"/>
    <col min="13344" max="13345" width="15.7109375" customWidth="1"/>
    <col min="13346" max="13346" width="15" customWidth="1"/>
    <col min="13347" max="13348" width="14.140625" bestFit="1" customWidth="1"/>
    <col min="13349" max="13349" width="11.7109375" bestFit="1" customWidth="1"/>
    <col min="13350" max="13350" width="11.85546875" bestFit="1" customWidth="1"/>
    <col min="13351" max="13351" width="12.5703125" customWidth="1"/>
    <col min="13352" max="13352" width="11.28515625" customWidth="1"/>
    <col min="13353" max="13353" width="11.5703125" customWidth="1"/>
    <col min="13354" max="13354" width="9.28515625" customWidth="1"/>
    <col min="13356" max="13356" width="11.7109375" bestFit="1" customWidth="1"/>
    <col min="13357" max="13357" width="10.7109375" bestFit="1" customWidth="1"/>
    <col min="13572" max="13572" width="12.28515625" bestFit="1" customWidth="1"/>
    <col min="13573" max="13576" width="12.28515625" customWidth="1"/>
    <col min="13577" max="13577" width="11.7109375" customWidth="1"/>
    <col min="13578" max="13592" width="9.7109375" customWidth="1"/>
    <col min="13593" max="13593" width="11.5703125" bestFit="1" customWidth="1"/>
    <col min="13594" max="13594" width="8.140625" bestFit="1" customWidth="1"/>
    <col min="13595" max="13596" width="11.5703125" bestFit="1" customWidth="1"/>
    <col min="13597" max="13598" width="18" customWidth="1"/>
    <col min="13599" max="13599" width="17.140625" customWidth="1"/>
    <col min="13600" max="13601" width="15.7109375" customWidth="1"/>
    <col min="13602" max="13602" width="15" customWidth="1"/>
    <col min="13603" max="13604" width="14.140625" bestFit="1" customWidth="1"/>
    <col min="13605" max="13605" width="11.7109375" bestFit="1" customWidth="1"/>
    <col min="13606" max="13606" width="11.85546875" bestFit="1" customWidth="1"/>
    <col min="13607" max="13607" width="12.5703125" customWidth="1"/>
    <col min="13608" max="13608" width="11.28515625" customWidth="1"/>
    <col min="13609" max="13609" width="11.5703125" customWidth="1"/>
    <col min="13610" max="13610" width="9.28515625" customWidth="1"/>
    <col min="13612" max="13612" width="11.7109375" bestFit="1" customWidth="1"/>
    <col min="13613" max="13613" width="10.7109375" bestFit="1" customWidth="1"/>
    <col min="13828" max="13828" width="12.28515625" bestFit="1" customWidth="1"/>
    <col min="13829" max="13832" width="12.28515625" customWidth="1"/>
    <col min="13833" max="13833" width="11.7109375" customWidth="1"/>
    <col min="13834" max="13848" width="9.7109375" customWidth="1"/>
    <col min="13849" max="13849" width="11.5703125" bestFit="1" customWidth="1"/>
    <col min="13850" max="13850" width="8.140625" bestFit="1" customWidth="1"/>
    <col min="13851" max="13852" width="11.5703125" bestFit="1" customWidth="1"/>
    <col min="13853" max="13854" width="18" customWidth="1"/>
    <col min="13855" max="13855" width="17.140625" customWidth="1"/>
    <col min="13856" max="13857" width="15.7109375" customWidth="1"/>
    <col min="13858" max="13858" width="15" customWidth="1"/>
    <col min="13859" max="13860" width="14.140625" bestFit="1" customWidth="1"/>
    <col min="13861" max="13861" width="11.7109375" bestFit="1" customWidth="1"/>
    <col min="13862" max="13862" width="11.85546875" bestFit="1" customWidth="1"/>
    <col min="13863" max="13863" width="12.5703125" customWidth="1"/>
    <col min="13864" max="13864" width="11.28515625" customWidth="1"/>
    <col min="13865" max="13865" width="11.5703125" customWidth="1"/>
    <col min="13866" max="13866" width="9.28515625" customWidth="1"/>
    <col min="13868" max="13868" width="11.7109375" bestFit="1" customWidth="1"/>
    <col min="13869" max="13869" width="10.7109375" bestFit="1" customWidth="1"/>
    <col min="14084" max="14084" width="12.28515625" bestFit="1" customWidth="1"/>
    <col min="14085" max="14088" width="12.28515625" customWidth="1"/>
    <col min="14089" max="14089" width="11.7109375" customWidth="1"/>
    <col min="14090" max="14104" width="9.7109375" customWidth="1"/>
    <col min="14105" max="14105" width="11.5703125" bestFit="1" customWidth="1"/>
    <col min="14106" max="14106" width="8.140625" bestFit="1" customWidth="1"/>
    <col min="14107" max="14108" width="11.5703125" bestFit="1" customWidth="1"/>
    <col min="14109" max="14110" width="18" customWidth="1"/>
    <col min="14111" max="14111" width="17.140625" customWidth="1"/>
    <col min="14112" max="14113" width="15.7109375" customWidth="1"/>
    <col min="14114" max="14114" width="15" customWidth="1"/>
    <col min="14115" max="14116" width="14.140625" bestFit="1" customWidth="1"/>
    <col min="14117" max="14117" width="11.7109375" bestFit="1" customWidth="1"/>
    <col min="14118" max="14118" width="11.85546875" bestFit="1" customWidth="1"/>
    <col min="14119" max="14119" width="12.5703125" customWidth="1"/>
    <col min="14120" max="14120" width="11.28515625" customWidth="1"/>
    <col min="14121" max="14121" width="11.5703125" customWidth="1"/>
    <col min="14122" max="14122" width="9.28515625" customWidth="1"/>
    <col min="14124" max="14124" width="11.7109375" bestFit="1" customWidth="1"/>
    <col min="14125" max="14125" width="10.7109375" bestFit="1" customWidth="1"/>
    <col min="14340" max="14340" width="12.28515625" bestFit="1" customWidth="1"/>
    <col min="14341" max="14344" width="12.28515625" customWidth="1"/>
    <col min="14345" max="14345" width="11.7109375" customWidth="1"/>
    <col min="14346" max="14360" width="9.7109375" customWidth="1"/>
    <col min="14361" max="14361" width="11.5703125" bestFit="1" customWidth="1"/>
    <col min="14362" max="14362" width="8.140625" bestFit="1" customWidth="1"/>
    <col min="14363" max="14364" width="11.5703125" bestFit="1" customWidth="1"/>
    <col min="14365" max="14366" width="18" customWidth="1"/>
    <col min="14367" max="14367" width="17.140625" customWidth="1"/>
    <col min="14368" max="14369" width="15.7109375" customWidth="1"/>
    <col min="14370" max="14370" width="15" customWidth="1"/>
    <col min="14371" max="14372" width="14.140625" bestFit="1" customWidth="1"/>
    <col min="14373" max="14373" width="11.7109375" bestFit="1" customWidth="1"/>
    <col min="14374" max="14374" width="11.85546875" bestFit="1" customWidth="1"/>
    <col min="14375" max="14375" width="12.5703125" customWidth="1"/>
    <col min="14376" max="14376" width="11.28515625" customWidth="1"/>
    <col min="14377" max="14377" width="11.5703125" customWidth="1"/>
    <col min="14378" max="14378" width="9.28515625" customWidth="1"/>
    <col min="14380" max="14380" width="11.7109375" bestFit="1" customWidth="1"/>
    <col min="14381" max="14381" width="10.7109375" bestFit="1" customWidth="1"/>
    <col min="14596" max="14596" width="12.28515625" bestFit="1" customWidth="1"/>
    <col min="14597" max="14600" width="12.28515625" customWidth="1"/>
    <col min="14601" max="14601" width="11.7109375" customWidth="1"/>
    <col min="14602" max="14616" width="9.7109375" customWidth="1"/>
    <col min="14617" max="14617" width="11.5703125" bestFit="1" customWidth="1"/>
    <col min="14618" max="14618" width="8.140625" bestFit="1" customWidth="1"/>
    <col min="14619" max="14620" width="11.5703125" bestFit="1" customWidth="1"/>
    <col min="14621" max="14622" width="18" customWidth="1"/>
    <col min="14623" max="14623" width="17.140625" customWidth="1"/>
    <col min="14624" max="14625" width="15.7109375" customWidth="1"/>
    <col min="14626" max="14626" width="15" customWidth="1"/>
    <col min="14627" max="14628" width="14.140625" bestFit="1" customWidth="1"/>
    <col min="14629" max="14629" width="11.7109375" bestFit="1" customWidth="1"/>
    <col min="14630" max="14630" width="11.85546875" bestFit="1" customWidth="1"/>
    <col min="14631" max="14631" width="12.5703125" customWidth="1"/>
    <col min="14632" max="14632" width="11.28515625" customWidth="1"/>
    <col min="14633" max="14633" width="11.5703125" customWidth="1"/>
    <col min="14634" max="14634" width="9.28515625" customWidth="1"/>
    <col min="14636" max="14636" width="11.7109375" bestFit="1" customWidth="1"/>
    <col min="14637" max="14637" width="10.7109375" bestFit="1" customWidth="1"/>
    <col min="14852" max="14852" width="12.28515625" bestFit="1" customWidth="1"/>
    <col min="14853" max="14856" width="12.28515625" customWidth="1"/>
    <col min="14857" max="14857" width="11.7109375" customWidth="1"/>
    <col min="14858" max="14872" width="9.7109375" customWidth="1"/>
    <col min="14873" max="14873" width="11.5703125" bestFit="1" customWidth="1"/>
    <col min="14874" max="14874" width="8.140625" bestFit="1" customWidth="1"/>
    <col min="14875" max="14876" width="11.5703125" bestFit="1" customWidth="1"/>
    <col min="14877" max="14878" width="18" customWidth="1"/>
    <col min="14879" max="14879" width="17.140625" customWidth="1"/>
    <col min="14880" max="14881" width="15.7109375" customWidth="1"/>
    <col min="14882" max="14882" width="15" customWidth="1"/>
    <col min="14883" max="14884" width="14.140625" bestFit="1" customWidth="1"/>
    <col min="14885" max="14885" width="11.7109375" bestFit="1" customWidth="1"/>
    <col min="14886" max="14886" width="11.85546875" bestFit="1" customWidth="1"/>
    <col min="14887" max="14887" width="12.5703125" customWidth="1"/>
    <col min="14888" max="14888" width="11.28515625" customWidth="1"/>
    <col min="14889" max="14889" width="11.5703125" customWidth="1"/>
    <col min="14890" max="14890" width="9.28515625" customWidth="1"/>
    <col min="14892" max="14892" width="11.7109375" bestFit="1" customWidth="1"/>
    <col min="14893" max="14893" width="10.7109375" bestFit="1" customWidth="1"/>
    <col min="15108" max="15108" width="12.28515625" bestFit="1" customWidth="1"/>
    <col min="15109" max="15112" width="12.28515625" customWidth="1"/>
    <col min="15113" max="15113" width="11.7109375" customWidth="1"/>
    <col min="15114" max="15128" width="9.7109375" customWidth="1"/>
    <col min="15129" max="15129" width="11.5703125" bestFit="1" customWidth="1"/>
    <col min="15130" max="15130" width="8.140625" bestFit="1" customWidth="1"/>
    <col min="15131" max="15132" width="11.5703125" bestFit="1" customWidth="1"/>
    <col min="15133" max="15134" width="18" customWidth="1"/>
    <col min="15135" max="15135" width="17.140625" customWidth="1"/>
    <col min="15136" max="15137" width="15.7109375" customWidth="1"/>
    <col min="15138" max="15138" width="15" customWidth="1"/>
    <col min="15139" max="15140" width="14.140625" bestFit="1" customWidth="1"/>
    <col min="15141" max="15141" width="11.7109375" bestFit="1" customWidth="1"/>
    <col min="15142" max="15142" width="11.85546875" bestFit="1" customWidth="1"/>
    <col min="15143" max="15143" width="12.5703125" customWidth="1"/>
    <col min="15144" max="15144" width="11.28515625" customWidth="1"/>
    <col min="15145" max="15145" width="11.5703125" customWidth="1"/>
    <col min="15146" max="15146" width="9.28515625" customWidth="1"/>
    <col min="15148" max="15148" width="11.7109375" bestFit="1" customWidth="1"/>
    <col min="15149" max="15149" width="10.7109375" bestFit="1" customWidth="1"/>
    <col min="15364" max="15364" width="12.28515625" bestFit="1" customWidth="1"/>
    <col min="15365" max="15368" width="12.28515625" customWidth="1"/>
    <col min="15369" max="15369" width="11.7109375" customWidth="1"/>
    <col min="15370" max="15384" width="9.7109375" customWidth="1"/>
    <col min="15385" max="15385" width="11.5703125" bestFit="1" customWidth="1"/>
    <col min="15386" max="15386" width="8.140625" bestFit="1" customWidth="1"/>
    <col min="15387" max="15388" width="11.5703125" bestFit="1" customWidth="1"/>
    <col min="15389" max="15390" width="18" customWidth="1"/>
    <col min="15391" max="15391" width="17.140625" customWidth="1"/>
    <col min="15392" max="15393" width="15.7109375" customWidth="1"/>
    <col min="15394" max="15394" width="15" customWidth="1"/>
    <col min="15395" max="15396" width="14.140625" bestFit="1" customWidth="1"/>
    <col min="15397" max="15397" width="11.7109375" bestFit="1" customWidth="1"/>
    <col min="15398" max="15398" width="11.85546875" bestFit="1" customWidth="1"/>
    <col min="15399" max="15399" width="12.5703125" customWidth="1"/>
    <col min="15400" max="15400" width="11.28515625" customWidth="1"/>
    <col min="15401" max="15401" width="11.5703125" customWidth="1"/>
    <col min="15402" max="15402" width="9.28515625" customWidth="1"/>
    <col min="15404" max="15404" width="11.7109375" bestFit="1" customWidth="1"/>
    <col min="15405" max="15405" width="10.7109375" bestFit="1" customWidth="1"/>
    <col min="15620" max="15620" width="12.28515625" bestFit="1" customWidth="1"/>
    <col min="15621" max="15624" width="12.28515625" customWidth="1"/>
    <col min="15625" max="15625" width="11.7109375" customWidth="1"/>
    <col min="15626" max="15640" width="9.7109375" customWidth="1"/>
    <col min="15641" max="15641" width="11.5703125" bestFit="1" customWidth="1"/>
    <col min="15642" max="15642" width="8.140625" bestFit="1" customWidth="1"/>
    <col min="15643" max="15644" width="11.5703125" bestFit="1" customWidth="1"/>
    <col min="15645" max="15646" width="18" customWidth="1"/>
    <col min="15647" max="15647" width="17.140625" customWidth="1"/>
    <col min="15648" max="15649" width="15.7109375" customWidth="1"/>
    <col min="15650" max="15650" width="15" customWidth="1"/>
    <col min="15651" max="15652" width="14.140625" bestFit="1" customWidth="1"/>
    <col min="15653" max="15653" width="11.7109375" bestFit="1" customWidth="1"/>
    <col min="15654" max="15654" width="11.85546875" bestFit="1" customWidth="1"/>
    <col min="15655" max="15655" width="12.5703125" customWidth="1"/>
    <col min="15656" max="15656" width="11.28515625" customWidth="1"/>
    <col min="15657" max="15657" width="11.5703125" customWidth="1"/>
    <col min="15658" max="15658" width="9.28515625" customWidth="1"/>
    <col min="15660" max="15660" width="11.7109375" bestFit="1" customWidth="1"/>
    <col min="15661" max="15661" width="10.7109375" bestFit="1" customWidth="1"/>
    <col min="15876" max="15876" width="12.28515625" bestFit="1" customWidth="1"/>
    <col min="15877" max="15880" width="12.28515625" customWidth="1"/>
    <col min="15881" max="15881" width="11.7109375" customWidth="1"/>
    <col min="15882" max="15896" width="9.7109375" customWidth="1"/>
    <col min="15897" max="15897" width="11.5703125" bestFit="1" customWidth="1"/>
    <col min="15898" max="15898" width="8.140625" bestFit="1" customWidth="1"/>
    <col min="15899" max="15900" width="11.5703125" bestFit="1" customWidth="1"/>
    <col min="15901" max="15902" width="18" customWidth="1"/>
    <col min="15903" max="15903" width="17.140625" customWidth="1"/>
    <col min="15904" max="15905" width="15.7109375" customWidth="1"/>
    <col min="15906" max="15906" width="15" customWidth="1"/>
    <col min="15907" max="15908" width="14.140625" bestFit="1" customWidth="1"/>
    <col min="15909" max="15909" width="11.7109375" bestFit="1" customWidth="1"/>
    <col min="15910" max="15910" width="11.85546875" bestFit="1" customWidth="1"/>
    <col min="15911" max="15911" width="12.5703125" customWidth="1"/>
    <col min="15912" max="15912" width="11.28515625" customWidth="1"/>
    <col min="15913" max="15913" width="11.5703125" customWidth="1"/>
    <col min="15914" max="15914" width="9.28515625" customWidth="1"/>
    <col min="15916" max="15916" width="11.7109375" bestFit="1" customWidth="1"/>
    <col min="15917" max="15917" width="10.7109375" bestFit="1" customWidth="1"/>
    <col min="16132" max="16132" width="12.28515625" bestFit="1" customWidth="1"/>
    <col min="16133" max="16136" width="12.28515625" customWidth="1"/>
    <col min="16137" max="16137" width="11.7109375" customWidth="1"/>
    <col min="16138" max="16152" width="9.7109375" customWidth="1"/>
    <col min="16153" max="16153" width="11.5703125" bestFit="1" customWidth="1"/>
    <col min="16154" max="16154" width="8.140625" bestFit="1" customWidth="1"/>
    <col min="16155" max="16156" width="11.5703125" bestFit="1" customWidth="1"/>
    <col min="16157" max="16158" width="18" customWidth="1"/>
    <col min="16159" max="16159" width="17.140625" customWidth="1"/>
    <col min="16160" max="16161" width="15.7109375" customWidth="1"/>
    <col min="16162" max="16162" width="15" customWidth="1"/>
    <col min="16163" max="16164" width="14.140625" bestFit="1" customWidth="1"/>
    <col min="16165" max="16165" width="11.7109375" bestFit="1" customWidth="1"/>
    <col min="16166" max="16166" width="11.85546875" bestFit="1" customWidth="1"/>
    <col min="16167" max="16167" width="12.5703125" customWidth="1"/>
    <col min="16168" max="16168" width="11.28515625" customWidth="1"/>
    <col min="16169" max="16169" width="11.5703125" customWidth="1"/>
    <col min="16170" max="16170" width="9.28515625" customWidth="1"/>
    <col min="16172" max="16172" width="11.7109375" bestFit="1" customWidth="1"/>
    <col min="16173" max="16173" width="10.7109375" bestFit="1" customWidth="1"/>
  </cols>
  <sheetData>
    <row r="1" spans="1:28" x14ac:dyDescent="0.2">
      <c r="B1" s="71">
        <v>1</v>
      </c>
      <c r="C1" s="71">
        <v>2</v>
      </c>
      <c r="D1" s="71">
        <v>3</v>
      </c>
      <c r="E1" s="71">
        <v>4</v>
      </c>
      <c r="F1" s="71">
        <v>5</v>
      </c>
      <c r="G1" s="71">
        <v>6</v>
      </c>
      <c r="H1" s="71">
        <v>7</v>
      </c>
      <c r="I1" s="71">
        <v>8</v>
      </c>
      <c r="J1" s="71">
        <v>9</v>
      </c>
      <c r="K1" s="71">
        <v>10</v>
      </c>
      <c r="L1" s="128">
        <v>11</v>
      </c>
      <c r="M1" s="71">
        <v>12</v>
      </c>
      <c r="N1" s="71">
        <v>13</v>
      </c>
      <c r="O1" s="71">
        <v>14</v>
      </c>
      <c r="P1" s="71">
        <v>15</v>
      </c>
      <c r="Q1" s="71">
        <v>16</v>
      </c>
      <c r="R1" s="71">
        <v>17</v>
      </c>
      <c r="S1" s="71">
        <v>18</v>
      </c>
      <c r="T1" s="71">
        <v>19</v>
      </c>
      <c r="U1" s="71">
        <v>20</v>
      </c>
      <c r="V1" s="71"/>
      <c r="W1" s="71"/>
      <c r="X1" s="71"/>
      <c r="Y1" s="71"/>
      <c r="Z1" s="71"/>
    </row>
    <row r="3" spans="1:28" x14ac:dyDescent="0.2">
      <c r="A3" s="16" t="s">
        <v>170</v>
      </c>
      <c r="B3" s="16" t="s">
        <v>219</v>
      </c>
      <c r="C3" s="16"/>
      <c r="D3" s="16"/>
      <c r="E3" s="16"/>
      <c r="F3" s="16"/>
      <c r="G3"/>
      <c r="H3"/>
      <c r="I3"/>
    </row>
    <row r="4" spans="1:28" ht="25.5" x14ac:dyDescent="0.2">
      <c r="V4" s="127" t="s">
        <v>316</v>
      </c>
      <c r="W4" s="127" t="s">
        <v>316</v>
      </c>
      <c r="X4" s="85" t="s">
        <v>218</v>
      </c>
      <c r="Y4" s="85" t="s">
        <v>218</v>
      </c>
      <c r="Z4" s="85" t="s">
        <v>171</v>
      </c>
      <c r="AA4" s="85" t="s">
        <v>171</v>
      </c>
    </row>
    <row r="5" spans="1:28" ht="24" x14ac:dyDescent="0.2">
      <c r="A5" s="73" t="s">
        <v>2</v>
      </c>
      <c r="B5" s="74">
        <f>'[14]Weather data'!K1</f>
        <v>1993</v>
      </c>
      <c r="C5" s="74">
        <f>'[14]Weather data'!L1</f>
        <v>1994</v>
      </c>
      <c r="D5" s="74">
        <f>'[14]Weather data'!M1</f>
        <v>1995</v>
      </c>
      <c r="E5" s="74">
        <f>'[14]Weather data'!N1</f>
        <v>1996</v>
      </c>
      <c r="F5" s="74">
        <f>'[14]Weather data'!O1</f>
        <v>1997</v>
      </c>
      <c r="G5" s="119">
        <v>1998</v>
      </c>
      <c r="H5" s="74">
        <v>1999</v>
      </c>
      <c r="I5" s="74">
        <v>2000</v>
      </c>
      <c r="J5" s="74">
        <v>2001</v>
      </c>
      <c r="K5" s="74">
        <v>2002</v>
      </c>
      <c r="L5" s="126">
        <v>2003</v>
      </c>
      <c r="M5" s="74">
        <v>2004</v>
      </c>
      <c r="N5" s="74">
        <v>2005</v>
      </c>
      <c r="O5" s="74">
        <v>2006</v>
      </c>
      <c r="P5" s="74">
        <v>2007</v>
      </c>
      <c r="Q5" s="74">
        <v>2008</v>
      </c>
      <c r="R5" s="74">
        <v>2009</v>
      </c>
      <c r="S5" s="74">
        <v>2010</v>
      </c>
      <c r="T5" s="74">
        <v>2011</v>
      </c>
      <c r="U5" s="74">
        <v>2012</v>
      </c>
      <c r="V5" s="120">
        <v>2013</v>
      </c>
      <c r="W5" s="120">
        <v>2014</v>
      </c>
      <c r="X5" s="74">
        <v>2013</v>
      </c>
      <c r="Y5" s="74">
        <v>2014</v>
      </c>
      <c r="Z5" s="74">
        <v>2013</v>
      </c>
      <c r="AA5" s="74">
        <v>2014</v>
      </c>
      <c r="AB5" s="74"/>
    </row>
    <row r="6" spans="1:28" x14ac:dyDescent="0.2">
      <c r="A6" s="75" t="s">
        <v>81</v>
      </c>
      <c r="B6" s="76">
        <f>'[14]Weather data'!K2</f>
        <v>743.4</v>
      </c>
      <c r="C6" s="76">
        <f>'[14]Weather data'!L2</f>
        <v>995.6</v>
      </c>
      <c r="D6" s="76">
        <f>'[14]Weather data'!M2</f>
        <v>701.1</v>
      </c>
      <c r="E6" s="76">
        <f>'[14]Weather data'!N2</f>
        <v>830.4</v>
      </c>
      <c r="F6" s="76">
        <f>'[14]Weather data'!O2</f>
        <v>817.9</v>
      </c>
      <c r="G6" s="76">
        <f>'[14]Purchased Power Model'!$C3</f>
        <v>696.8</v>
      </c>
      <c r="H6" s="76">
        <f>'[14]Purchased Power Model'!$C15</f>
        <v>776.7</v>
      </c>
      <c r="I6" s="76">
        <f>'[14]Purchased Power Model'!$C27</f>
        <v>777.4</v>
      </c>
      <c r="J6" s="76">
        <f>'[14]Purchased Power Model'!$C39</f>
        <v>738.8</v>
      </c>
      <c r="K6" s="76">
        <f>'[14]Purchased Power Model'!$C51</f>
        <v>644.29999999999995</v>
      </c>
      <c r="L6" s="76">
        <f>'[14]Purchased Power Model'!$C63</f>
        <v>871.4</v>
      </c>
      <c r="M6" s="76">
        <f>'[14]Purchased Power Model'!$C75</f>
        <v>904</v>
      </c>
      <c r="N6" s="76">
        <f>'[14]Purchased Power Model'!$C87</f>
        <v>837.6</v>
      </c>
      <c r="O6" s="76">
        <f>'[14]Purchased Power Model'!$C99</f>
        <v>626.6</v>
      </c>
      <c r="P6" s="282">
        <f>'[26]Orangeville HDD 2007'!L396</f>
        <v>697.39999999999986</v>
      </c>
      <c r="Q6" s="282">
        <f>'[26]Orangeville HDD 2008'!L396</f>
        <v>669.5</v>
      </c>
      <c r="R6" s="76">
        <f>'[27]Orangeville HDD 2009 '!L396</f>
        <v>877</v>
      </c>
      <c r="S6" s="76">
        <f>'[27]Orangeville HDD2010'!L396</f>
        <v>787.69999999999993</v>
      </c>
      <c r="T6" s="76">
        <f>'[27]Orangeville HDD2011'!L396</f>
        <v>872.49999999999977</v>
      </c>
      <c r="U6" s="76">
        <f>'[27]Orangeville HDD2012'!L396</f>
        <v>707.2</v>
      </c>
      <c r="V6" s="121">
        <f>AVERAGE(L6:U6)</f>
        <v>785.08999999999992</v>
      </c>
      <c r="W6" s="121">
        <f>V6</f>
        <v>785.08999999999992</v>
      </c>
      <c r="X6" s="113">
        <f>AVERAGE(L6:U6)</f>
        <v>785.08999999999992</v>
      </c>
      <c r="Y6" s="113">
        <f>X6</f>
        <v>785.08999999999992</v>
      </c>
      <c r="Z6" s="112">
        <f t="shared" ref="Z6:Z17" si="0">TREND(B6:U6,$B$5:$U$5,$Z$5)</f>
        <v>758.6936842105265</v>
      </c>
      <c r="AA6" s="112">
        <f t="shared" ref="AA6:AA17" si="1">TREND(B6:U6,$B$5:$U$5,$AA$5)</f>
        <v>756.79165413533883</v>
      </c>
    </row>
    <row r="7" spans="1:28" x14ac:dyDescent="0.2">
      <c r="A7" s="75" t="s">
        <v>82</v>
      </c>
      <c r="B7" s="76">
        <f>'[14]Weather data'!K3</f>
        <v>811</v>
      </c>
      <c r="C7" s="76">
        <f>'[14]Weather data'!L3</f>
        <v>799.6</v>
      </c>
      <c r="D7" s="76">
        <f>'[14]Weather data'!M3</f>
        <v>770.6</v>
      </c>
      <c r="E7" s="76">
        <f>'[14]Weather data'!N3</f>
        <v>741.2</v>
      </c>
      <c r="F7" s="76">
        <f>'[14]Weather data'!O3</f>
        <v>644</v>
      </c>
      <c r="G7" s="76">
        <f>'[14]Purchased Power Model'!$C4</f>
        <v>569.70000000000005</v>
      </c>
      <c r="H7" s="76">
        <f>'[14]Purchased Power Model'!$C16</f>
        <v>696.76666666666665</v>
      </c>
      <c r="I7" s="76">
        <f>'[14]Purchased Power Model'!$C28</f>
        <v>642.20000000000005</v>
      </c>
      <c r="J7" s="76">
        <f>'[14]Purchased Power Model'!$C40</f>
        <v>667.7</v>
      </c>
      <c r="K7" s="76">
        <f>'[14]Purchased Power Model'!$C52</f>
        <v>606.70000000000005</v>
      </c>
      <c r="L7" s="76">
        <f>'[14]Purchased Power Model'!$C64</f>
        <v>779.6</v>
      </c>
      <c r="M7" s="76">
        <f>'[14]Purchased Power Model'!$C76</f>
        <v>696.9</v>
      </c>
      <c r="N7" s="76">
        <f>'[14]Purchased Power Model'!$C88</f>
        <v>676.6</v>
      </c>
      <c r="O7" s="76">
        <f>'[14]Purchased Power Model'!$C100</f>
        <v>684.8</v>
      </c>
      <c r="P7" s="282">
        <f>'[26]Orangeville HDD 2007'!L397</f>
        <v>781</v>
      </c>
      <c r="Q7" s="282">
        <f>'[26]Orangeville HDD 2008'!L397</f>
        <v>735.4</v>
      </c>
      <c r="R7" s="76">
        <f>'[27]Orangeville HDD 2009 '!L397</f>
        <v>689.19999999999993</v>
      </c>
      <c r="S7" s="76">
        <f>'[27]Orangeville HDD2010'!L397</f>
        <v>665.69999999999993</v>
      </c>
      <c r="T7" s="76">
        <f>'[27]Orangeville HDD2011'!L397</f>
        <v>712.3</v>
      </c>
      <c r="U7" s="76">
        <f>'[27]Orangeville HDD2012'!L397</f>
        <v>626.69999999999982</v>
      </c>
      <c r="V7" s="121">
        <f t="shared" ref="V7:V17" si="2">AVERAGE(L7:U7)</f>
        <v>704.81999999999994</v>
      </c>
      <c r="W7" s="121">
        <f t="shared" ref="W7:W17" si="3">V7</f>
        <v>704.81999999999994</v>
      </c>
      <c r="X7" s="113">
        <f t="shared" ref="X7:X17" si="4">AVERAGE(L7:U7)</f>
        <v>704.81999999999994</v>
      </c>
      <c r="Y7" s="113">
        <f t="shared" ref="Y7:Y17" si="5">X7</f>
        <v>704.81999999999994</v>
      </c>
      <c r="Z7" s="112">
        <f t="shared" si="0"/>
        <v>668.46649122807048</v>
      </c>
      <c r="AA7" s="112">
        <f t="shared" si="1"/>
        <v>665.47441102756875</v>
      </c>
    </row>
    <row r="8" spans="1:28" x14ac:dyDescent="0.2">
      <c r="A8" s="75" t="s">
        <v>83</v>
      </c>
      <c r="B8" s="76">
        <f>'[14]Weather data'!K4</f>
        <v>694.6</v>
      </c>
      <c r="C8" s="76">
        <f>'[14]Weather data'!L4</f>
        <v>649.6</v>
      </c>
      <c r="D8" s="76">
        <f>'[14]Weather data'!M4</f>
        <v>563.6</v>
      </c>
      <c r="E8" s="76">
        <f>'[14]Weather data'!N4</f>
        <v>701.4</v>
      </c>
      <c r="F8" s="76">
        <f>'[14]Weather data'!O4</f>
        <v>662.2</v>
      </c>
      <c r="G8" s="76">
        <f>'[14]Purchased Power Model'!$C5</f>
        <v>572.1</v>
      </c>
      <c r="H8" s="76">
        <f>'[14]Purchased Power Model'!$C17</f>
        <v>610.45555555555563</v>
      </c>
      <c r="I8" s="76">
        <f>'[14]Purchased Power Model'!$C29</f>
        <v>490.6</v>
      </c>
      <c r="J8" s="76">
        <f>'[14]Purchased Power Model'!$C41</f>
        <v>645.20000000000005</v>
      </c>
      <c r="K8" s="76">
        <f>'[14]Purchased Power Model'!$C53</f>
        <v>604.79999999999995</v>
      </c>
      <c r="L8" s="76">
        <f>'[14]Purchased Power Model'!$C65</f>
        <v>629.29999999999995</v>
      </c>
      <c r="M8" s="76">
        <f>'[14]Purchased Power Model'!$C77</f>
        <v>567.29999999999995</v>
      </c>
      <c r="N8" s="76">
        <f>'[14]Purchased Power Model'!$C89</f>
        <v>674.5</v>
      </c>
      <c r="O8" s="76">
        <f>'[14]Purchased Power Model'!$C101</f>
        <v>597.79999999999995</v>
      </c>
      <c r="P8" s="282">
        <f>'[26]Orangeville HDD 2007'!L398</f>
        <v>594.80000000000018</v>
      </c>
      <c r="Q8" s="282">
        <f>'[26]Orangeville HDD 2008'!L398</f>
        <v>689.8</v>
      </c>
      <c r="R8" s="76">
        <f>'[27]Orangeville HDD 2009 '!L398</f>
        <v>597.60000000000014</v>
      </c>
      <c r="S8" s="76">
        <f>'[27]Orangeville HDD2010'!L398</f>
        <v>505.19999999999993</v>
      </c>
      <c r="T8" s="76">
        <f>'[27]Orangeville HDD2011'!L398</f>
        <v>645.49999999999989</v>
      </c>
      <c r="U8" s="76">
        <f>'[27]Orangeville HDD2012'!L398</f>
        <v>436.49999999999989</v>
      </c>
      <c r="V8" s="121">
        <f t="shared" si="2"/>
        <v>593.83000000000004</v>
      </c>
      <c r="W8" s="121">
        <f t="shared" si="3"/>
        <v>593.83000000000004</v>
      </c>
      <c r="X8" s="113">
        <f t="shared" si="4"/>
        <v>593.83000000000004</v>
      </c>
      <c r="Y8" s="113">
        <f t="shared" si="5"/>
        <v>593.83000000000004</v>
      </c>
      <c r="Z8" s="112">
        <f t="shared" si="0"/>
        <v>558.72654970760232</v>
      </c>
      <c r="AA8" s="112">
        <f t="shared" si="1"/>
        <v>554.16309941520376</v>
      </c>
    </row>
    <row r="9" spans="1:28" x14ac:dyDescent="0.2">
      <c r="A9" s="75" t="s">
        <v>84</v>
      </c>
      <c r="B9" s="76">
        <f>'[14]Weather data'!K5</f>
        <v>382.8</v>
      </c>
      <c r="C9" s="76">
        <f>'[14]Weather data'!L5</f>
        <v>361.7</v>
      </c>
      <c r="D9" s="76">
        <f>'[14]Weather data'!M5</f>
        <v>474.6</v>
      </c>
      <c r="E9" s="76">
        <f>'[14]Weather data'!N5</f>
        <v>461.1</v>
      </c>
      <c r="F9" s="76">
        <f>'[14]Weather data'!O5</f>
        <v>416.9</v>
      </c>
      <c r="G9" s="76">
        <f>'[14]Purchased Power Model'!$C6</f>
        <v>342.8</v>
      </c>
      <c r="H9" s="76">
        <f>'[14]Purchased Power Model'!$C18</f>
        <v>377.9111111111111</v>
      </c>
      <c r="I9" s="76">
        <f>'[14]Purchased Power Model'!$C30</f>
        <v>398.1</v>
      </c>
      <c r="J9" s="76">
        <f>'[14]Purchased Power Model'!$C42</f>
        <v>348.3</v>
      </c>
      <c r="K9" s="76">
        <f>'[14]Purchased Power Model'!$C54</f>
        <v>367.9</v>
      </c>
      <c r="L9" s="76">
        <f>'[14]Purchased Power Model'!$C66</f>
        <v>425.3</v>
      </c>
      <c r="M9" s="76">
        <f>'[14]Purchased Power Model'!$C78</f>
        <v>386.9</v>
      </c>
      <c r="N9" s="76">
        <f>'[14]Purchased Power Model'!$C90</f>
        <v>377</v>
      </c>
      <c r="O9" s="76">
        <f>'[14]Purchased Power Model'!$C102</f>
        <v>351.6</v>
      </c>
      <c r="P9" s="282">
        <f>'[26]Orangeville HDD 2007'!L399</f>
        <v>427.99999999999989</v>
      </c>
      <c r="Q9" s="282">
        <f>'[26]Orangeville HDD 2008'!L399</f>
        <v>318.09999999999991</v>
      </c>
      <c r="R9" s="123">
        <f>'[27]Orangeville HDD 2009 '!L399</f>
        <v>368.39336726571935</v>
      </c>
      <c r="S9" s="76">
        <f>'[27]Orangeville HDD2010'!L399</f>
        <v>265.09999999999997</v>
      </c>
      <c r="T9" s="76">
        <f>'[27]Orangeville HDD2011'!L399</f>
        <v>395.2999999999999</v>
      </c>
      <c r="U9" s="76">
        <f>'[27]Orangeville HDD2012'!L399</f>
        <v>411.99999999999989</v>
      </c>
      <c r="V9" s="121">
        <f t="shared" si="2"/>
        <v>372.76933672657191</v>
      </c>
      <c r="W9" s="121">
        <f t="shared" si="3"/>
        <v>372.76933672657191</v>
      </c>
      <c r="X9" s="113">
        <f t="shared" si="4"/>
        <v>372.76933672657191</v>
      </c>
      <c r="Y9" s="113">
        <f t="shared" si="5"/>
        <v>372.76933672657191</v>
      </c>
      <c r="Z9" s="112">
        <f t="shared" si="0"/>
        <v>354.10998178734008</v>
      </c>
      <c r="AA9" s="112">
        <f t="shared" si="1"/>
        <v>351.35948253672177</v>
      </c>
    </row>
    <row r="10" spans="1:28" x14ac:dyDescent="0.2">
      <c r="A10" s="75" t="s">
        <v>85</v>
      </c>
      <c r="B10" s="76">
        <f>'[14]Weather data'!K6</f>
        <v>224</v>
      </c>
      <c r="C10" s="76">
        <f>'[14]Weather data'!L6</f>
        <v>252.7</v>
      </c>
      <c r="D10" s="76">
        <f>'[14]Weather data'!M6</f>
        <v>209.2</v>
      </c>
      <c r="E10" s="76">
        <f>'[14]Weather data'!N6</f>
        <v>249.9</v>
      </c>
      <c r="F10" s="76">
        <f>'[14]Weather data'!O6</f>
        <v>319.60000000000002</v>
      </c>
      <c r="G10" s="76">
        <f>'[14]Purchased Power Model'!$C7</f>
        <v>90.5</v>
      </c>
      <c r="H10" s="76">
        <f>'[14]Purchased Power Model'!$C19</f>
        <v>213.14444444444447</v>
      </c>
      <c r="I10" s="76">
        <f>'[14]Purchased Power Model'!$C31</f>
        <v>178.8</v>
      </c>
      <c r="J10" s="76">
        <f>'[14]Purchased Power Model'!$C43</f>
        <v>161.5</v>
      </c>
      <c r="K10" s="76">
        <f>'[14]Purchased Power Model'!$C55</f>
        <v>281.7</v>
      </c>
      <c r="L10" s="76">
        <f>'[14]Purchased Power Model'!$C67</f>
        <v>225.1</v>
      </c>
      <c r="M10" s="76">
        <f>'[14]Purchased Power Model'!$C79</f>
        <v>207.2</v>
      </c>
      <c r="N10" s="76">
        <f>'[14]Purchased Power Model'!$C91</f>
        <v>269.3</v>
      </c>
      <c r="O10" s="76">
        <f>'[14]Purchased Power Model'!$C103</f>
        <v>185.4</v>
      </c>
      <c r="P10" s="282">
        <f>'[26]Orangeville HDD 2007'!L400</f>
        <v>174.89999999999998</v>
      </c>
      <c r="Q10" s="282">
        <f>'[26]Orangeville HDD 2008'!L400</f>
        <v>255.79999999999998</v>
      </c>
      <c r="R10" s="76">
        <f>'[27]Orangeville HDD 2009 '!L400</f>
        <v>207.29999999999993</v>
      </c>
      <c r="S10" s="76">
        <f>'[27]Orangeville HDD2010'!L400</f>
        <v>141.49999999999997</v>
      </c>
      <c r="T10" s="76">
        <f>'[27]Orangeville HDD2011'!L400</f>
        <v>192.99999999999994</v>
      </c>
      <c r="U10" s="76">
        <f>'[27]Orangeville HDD2012'!L400</f>
        <v>141.00000000000003</v>
      </c>
      <c r="V10" s="121">
        <f t="shared" si="2"/>
        <v>200.04999999999998</v>
      </c>
      <c r="W10" s="121">
        <f t="shared" si="3"/>
        <v>200.04999999999998</v>
      </c>
      <c r="X10" s="113">
        <f t="shared" si="4"/>
        <v>200.04999999999998</v>
      </c>
      <c r="Y10" s="113">
        <f t="shared" si="5"/>
        <v>200.04999999999998</v>
      </c>
      <c r="Z10" s="112">
        <f t="shared" si="0"/>
        <v>179.35660818713404</v>
      </c>
      <c r="AA10" s="112">
        <f t="shared" si="1"/>
        <v>176.52607351712595</v>
      </c>
    </row>
    <row r="11" spans="1:28" x14ac:dyDescent="0.2">
      <c r="A11" s="75" t="s">
        <v>86</v>
      </c>
      <c r="B11" s="76">
        <f>'[14]Weather data'!K7</f>
        <v>85</v>
      </c>
      <c r="C11" s="76">
        <f>'[14]Weather data'!L7</f>
        <v>63.2</v>
      </c>
      <c r="D11" s="76">
        <f>'[14]Weather data'!M7</f>
        <v>42.2</v>
      </c>
      <c r="E11" s="76">
        <f>'[14]Weather data'!N7</f>
        <v>43.1</v>
      </c>
      <c r="F11" s="76">
        <f>'[14]Weather data'!O7</f>
        <v>32.5</v>
      </c>
      <c r="G11" s="76">
        <f>'[14]Purchased Power Model'!$C8</f>
        <v>80</v>
      </c>
      <c r="H11" s="76">
        <f>'[14]Purchased Power Model'!$C20</f>
        <v>56.433333333333337</v>
      </c>
      <c r="I11" s="76">
        <f>'[14]Purchased Power Model'!$C32</f>
        <v>59.7</v>
      </c>
      <c r="J11" s="76">
        <f>'[14]Purchased Power Model'!$C44</f>
        <v>65.599999999999994</v>
      </c>
      <c r="K11" s="76">
        <f>'[14]Purchased Power Model'!$C56</f>
        <v>64.400000000000006</v>
      </c>
      <c r="L11" s="76">
        <f>'[14]Purchased Power Model'!$C68</f>
        <v>65.400000000000006</v>
      </c>
      <c r="M11" s="76">
        <f>'[14]Purchased Power Model'!$C80</f>
        <v>88.6</v>
      </c>
      <c r="N11" s="76">
        <f>'[14]Purchased Power Model'!$C92</f>
        <v>23</v>
      </c>
      <c r="O11" s="76">
        <f>'[14]Purchased Power Model'!$C104</f>
        <v>49.6</v>
      </c>
      <c r="P11" s="282">
        <f>'[26]Orangeville HDD 2007'!L401</f>
        <v>45.800000000000004</v>
      </c>
      <c r="Q11" s="282">
        <f>'[26]Orangeville HDD 2008'!L401</f>
        <v>45.800000000000011</v>
      </c>
      <c r="R11" s="76">
        <f>'[27]Orangeville HDD 2009 '!L401</f>
        <v>83.200000000000017</v>
      </c>
      <c r="S11" s="76">
        <f>'[27]Orangeville HDD2010'!L401</f>
        <v>46.900000000000006</v>
      </c>
      <c r="T11" s="76">
        <f>'[27]Orangeville HDD2011'!L401</f>
        <v>65.600000000000023</v>
      </c>
      <c r="U11" s="76">
        <f>'[27]Orangeville HDD2012'!L401</f>
        <v>59.900000000000006</v>
      </c>
      <c r="V11" s="121">
        <f t="shared" si="2"/>
        <v>57.379999999999995</v>
      </c>
      <c r="W11" s="121">
        <f t="shared" si="3"/>
        <v>57.379999999999995</v>
      </c>
      <c r="X11" s="113">
        <f t="shared" si="4"/>
        <v>57.379999999999995</v>
      </c>
      <c r="Y11" s="113">
        <f t="shared" si="5"/>
        <v>57.379999999999995</v>
      </c>
      <c r="Z11" s="112">
        <f t="shared" si="0"/>
        <v>56.97719298245616</v>
      </c>
      <c r="AA11" s="112">
        <f t="shared" si="1"/>
        <v>56.851528822055172</v>
      </c>
    </row>
    <row r="12" spans="1:28" x14ac:dyDescent="0.2">
      <c r="A12" s="75" t="s">
        <v>87</v>
      </c>
      <c r="B12" s="76">
        <f>'[14]Weather data'!K8</f>
        <v>12.3</v>
      </c>
      <c r="C12" s="76">
        <f>'[14]Weather data'!L8</f>
        <v>17.899999999999999</v>
      </c>
      <c r="D12" s="76">
        <f>'[14]Weather data'!M8</f>
        <v>22.4</v>
      </c>
      <c r="E12" s="76">
        <f>'[14]Weather data'!N8</f>
        <v>28</v>
      </c>
      <c r="F12" s="76">
        <f>'[14]Weather data'!O8</f>
        <v>36</v>
      </c>
      <c r="G12" s="76">
        <f>'[14]Purchased Power Model'!$C9</f>
        <v>23.4</v>
      </c>
      <c r="H12" s="76">
        <f>'[14]Purchased Power Model'!$C21</f>
        <v>3.9</v>
      </c>
      <c r="I12" s="76">
        <f>'[14]Purchased Power Model'!$C33</f>
        <v>38.799999999999997</v>
      </c>
      <c r="J12" s="76">
        <f>'[14]Purchased Power Model'!$C45</f>
        <v>34</v>
      </c>
      <c r="K12" s="76">
        <f>'[14]Purchased Power Model'!$C57</f>
        <v>11.6</v>
      </c>
      <c r="L12" s="76">
        <f>'[14]Purchased Power Model'!$C69</f>
        <v>14.2</v>
      </c>
      <c r="M12" s="76">
        <f>'[14]Purchased Power Model'!$C81</f>
        <v>25.7</v>
      </c>
      <c r="N12" s="76">
        <f>'[14]Purchased Power Model'!$C93</f>
        <v>9.5</v>
      </c>
      <c r="O12" s="76">
        <f>'[14]Purchased Power Model'!$C105</f>
        <v>6.3</v>
      </c>
      <c r="P12" s="282">
        <f>'[26]Orangeville HDD 2007'!L402</f>
        <v>27.599999999999994</v>
      </c>
      <c r="Q12" s="282">
        <f>'[26]Orangeville HDD 2008'!L402</f>
        <v>10.099999999999998</v>
      </c>
      <c r="R12" s="76">
        <f>'[27]Orangeville HDD 2009 '!L402</f>
        <v>43.500000000000007</v>
      </c>
      <c r="S12" s="76">
        <f>'[27]Orangeville HDD2010'!L402</f>
        <v>7.6000000000000005</v>
      </c>
      <c r="T12" s="76">
        <f>'[27]Orangeville HDD2011'!L402</f>
        <v>6.4</v>
      </c>
      <c r="U12" s="76">
        <f>'[27]Orangeville HDD2012'!L402</f>
        <v>1.2</v>
      </c>
      <c r="V12" s="121">
        <f t="shared" si="2"/>
        <v>15.209999999999997</v>
      </c>
      <c r="W12" s="121">
        <f t="shared" si="3"/>
        <v>15.209999999999997</v>
      </c>
      <c r="X12" s="113">
        <f t="shared" si="4"/>
        <v>15.209999999999997</v>
      </c>
      <c r="Y12" s="113">
        <f t="shared" si="5"/>
        <v>15.209999999999997</v>
      </c>
      <c r="Z12" s="112">
        <f t="shared" si="0"/>
        <v>12.498947368421113</v>
      </c>
      <c r="AA12" s="112">
        <f t="shared" si="1"/>
        <v>11.877894736842109</v>
      </c>
    </row>
    <row r="13" spans="1:28" x14ac:dyDescent="0.2">
      <c r="A13" s="75" t="s">
        <v>88</v>
      </c>
      <c r="B13" s="76">
        <f>'[14]Weather data'!K9</f>
        <v>24.3</v>
      </c>
      <c r="C13" s="76">
        <f>'[14]Weather data'!L9</f>
        <v>58.5</v>
      </c>
      <c r="D13" s="76">
        <f>'[14]Weather data'!M9</f>
        <v>11.6</v>
      </c>
      <c r="E13" s="76">
        <f>'[14]Weather data'!N9</f>
        <v>18.100000000000001</v>
      </c>
      <c r="F13" s="76">
        <f>'[14]Weather data'!O9</f>
        <v>58.1</v>
      </c>
      <c r="G13" s="76">
        <f>'[14]Purchased Power Model'!$C10</f>
        <v>17.7</v>
      </c>
      <c r="H13" s="76">
        <f>'[14]Purchased Power Model'!$C22</f>
        <v>43.6</v>
      </c>
      <c r="I13" s="76">
        <f>'[14]Purchased Power Model'!$C34</f>
        <v>43.3</v>
      </c>
      <c r="J13" s="76">
        <f>'[14]Purchased Power Model'!$C46</f>
        <v>10.199999999999999</v>
      </c>
      <c r="K13" s="76">
        <f>'[14]Purchased Power Model'!$C58</f>
        <v>20.3</v>
      </c>
      <c r="L13" s="76">
        <f>'[14]Purchased Power Model'!$C70</f>
        <v>14.9</v>
      </c>
      <c r="M13" s="76">
        <f>'[14]Purchased Power Model'!$C82</f>
        <v>66</v>
      </c>
      <c r="N13" s="76">
        <f>'[14]Purchased Power Model'!$C94</f>
        <v>13</v>
      </c>
      <c r="O13" s="76">
        <f>'[14]Purchased Power Model'!$C106</f>
        <v>28</v>
      </c>
      <c r="P13" s="282">
        <f>'[26]Orangeville HDD 2007'!L403</f>
        <v>24.6</v>
      </c>
      <c r="Q13" s="282">
        <f>'[26]Orangeville HDD 2008'!L403</f>
        <v>41.5</v>
      </c>
      <c r="R13" s="76">
        <f>'[27]Orangeville HDD 2009 '!L403</f>
        <v>21.2</v>
      </c>
      <c r="S13" s="76">
        <f>'[27]Orangeville HDD2010'!L403</f>
        <v>13.9</v>
      </c>
      <c r="T13" s="76">
        <f>'[27]Orangeville HDD2011'!L403</f>
        <v>17.5</v>
      </c>
      <c r="U13" s="76">
        <f>'[27]Orangeville HDD2012'!L403</f>
        <v>21</v>
      </c>
      <c r="V13" s="121">
        <f t="shared" si="2"/>
        <v>26.160000000000004</v>
      </c>
      <c r="W13" s="121">
        <f t="shared" si="3"/>
        <v>26.160000000000004</v>
      </c>
      <c r="X13" s="113">
        <f t="shared" si="4"/>
        <v>26.160000000000004</v>
      </c>
      <c r="Y13" s="113">
        <f t="shared" si="5"/>
        <v>26.160000000000004</v>
      </c>
      <c r="Z13" s="112">
        <f t="shared" si="0"/>
        <v>21.227368421052688</v>
      </c>
      <c r="AA13" s="112">
        <f t="shared" si="1"/>
        <v>20.547593984962305</v>
      </c>
    </row>
    <row r="14" spans="1:28" x14ac:dyDescent="0.2">
      <c r="A14" s="75" t="s">
        <v>89</v>
      </c>
      <c r="B14" s="76">
        <f>'[14]Weather data'!K10</f>
        <v>197.9</v>
      </c>
      <c r="C14" s="76">
        <f>'[14]Weather data'!L10</f>
        <v>132.80000000000001</v>
      </c>
      <c r="D14" s="76">
        <f>'[14]Weather data'!M10</f>
        <v>172.8</v>
      </c>
      <c r="E14" s="76">
        <f>'[14]Weather data'!N10</f>
        <v>118</v>
      </c>
      <c r="F14" s="76">
        <f>'[14]Weather data'!O10</f>
        <v>107.1</v>
      </c>
      <c r="G14" s="76">
        <f>'[14]Purchased Power Model'!$C11</f>
        <v>91.1</v>
      </c>
      <c r="H14" s="76">
        <f>'[14]Purchased Power Model'!$C23</f>
        <v>102.6</v>
      </c>
      <c r="I14" s="76">
        <f>'[14]Purchased Power Model'!$C35</f>
        <v>130</v>
      </c>
      <c r="J14" s="76">
        <f>'[14]Purchased Power Model'!$C47</f>
        <v>126.7</v>
      </c>
      <c r="K14" s="76">
        <f>'[14]Purchased Power Model'!$C59</f>
        <v>53.5</v>
      </c>
      <c r="L14" s="76">
        <f>'[14]Purchased Power Model'!$C71</f>
        <v>107.9</v>
      </c>
      <c r="M14" s="76">
        <f>'[14]Purchased Power Model'!$C83</f>
        <v>72.3</v>
      </c>
      <c r="N14" s="76">
        <f>'[14]Purchased Power Model'!$C95</f>
        <v>68.099999999999994</v>
      </c>
      <c r="O14" s="76">
        <f>'[14]Purchased Power Model'!$C107</f>
        <v>137.5</v>
      </c>
      <c r="P14" s="282">
        <f>'[26]Orangeville HDD 2007'!L404</f>
        <v>91.500000000000014</v>
      </c>
      <c r="Q14" s="282">
        <f>'[26]Orangeville HDD 2008'!L404</f>
        <v>100.80000000000001</v>
      </c>
      <c r="R14" s="76">
        <f>'[27]Orangeville HDD 2009 '!L404</f>
        <v>118.60000000000001</v>
      </c>
      <c r="S14" s="76">
        <f>'[27]Orangeville HDD2010'!L404</f>
        <v>128.60000000000002</v>
      </c>
      <c r="T14" s="76">
        <f>'[27]Orangeville HDD2011'!L404</f>
        <v>136.00000000000003</v>
      </c>
      <c r="U14" s="76">
        <f>'[27]Orangeville HDD2012'!L404</f>
        <v>136.70000000000002</v>
      </c>
      <c r="V14" s="121">
        <f t="shared" si="2"/>
        <v>109.8</v>
      </c>
      <c r="W14" s="121">
        <f t="shared" si="3"/>
        <v>109.8</v>
      </c>
      <c r="X14" s="113">
        <f t="shared" si="4"/>
        <v>109.8</v>
      </c>
      <c r="Y14" s="113">
        <f t="shared" si="5"/>
        <v>109.8</v>
      </c>
      <c r="Z14" s="112">
        <f t="shared" si="0"/>
        <v>100.70947368421048</v>
      </c>
      <c r="AA14" s="112">
        <f t="shared" si="1"/>
        <v>99.203233082706902</v>
      </c>
    </row>
    <row r="15" spans="1:28" x14ac:dyDescent="0.2">
      <c r="A15" s="75" t="s">
        <v>90</v>
      </c>
      <c r="B15" s="76">
        <f>'[14]Weather data'!K11</f>
        <v>351.7</v>
      </c>
      <c r="C15" s="76">
        <f>'[14]Weather data'!L11</f>
        <v>296.5</v>
      </c>
      <c r="D15" s="76">
        <f>'[14]Weather data'!M11</f>
        <v>262.60000000000002</v>
      </c>
      <c r="E15" s="76">
        <f>'[14]Weather data'!N11</f>
        <v>314</v>
      </c>
      <c r="F15" s="76">
        <f>'[14]Weather data'!O11</f>
        <v>299.89999999999998</v>
      </c>
      <c r="G15" s="76">
        <f>'[14]Purchased Power Model'!$C12</f>
        <v>294.3</v>
      </c>
      <c r="H15" s="76">
        <f>'[14]Purchased Power Model'!$C24</f>
        <v>314.5</v>
      </c>
      <c r="I15" s="76">
        <f>'[14]Purchased Power Model'!$C36</f>
        <v>253.3</v>
      </c>
      <c r="J15" s="76">
        <f>'[14]Purchased Power Model'!$C48</f>
        <v>295.2</v>
      </c>
      <c r="K15" s="76">
        <f>'[14]Purchased Power Model'!$C60</f>
        <v>357.8</v>
      </c>
      <c r="L15" s="76">
        <f>'[14]Purchased Power Model'!$C72</f>
        <v>341.1</v>
      </c>
      <c r="M15" s="76">
        <f>'[14]Purchased Power Model'!$C84</f>
        <v>297.60000000000002</v>
      </c>
      <c r="N15" s="76">
        <f>'[14]Purchased Power Model'!$C96</f>
        <v>274</v>
      </c>
      <c r="O15" s="76">
        <f>'[14]Purchased Power Model'!$C108</f>
        <v>331.3</v>
      </c>
      <c r="P15" s="282">
        <f>'[26]Orangeville HDD 2007'!L405</f>
        <v>193.4</v>
      </c>
      <c r="Q15" s="282">
        <f>'[26]Orangeville HDD 2008'!L405</f>
        <v>329.7</v>
      </c>
      <c r="R15" s="76">
        <f>'[27]Orangeville HDD 2009 '!L405</f>
        <v>355.59999999999997</v>
      </c>
      <c r="S15" s="76">
        <f>'[27]Orangeville HDD2010'!L405</f>
        <v>296.69999999999993</v>
      </c>
      <c r="T15" s="76">
        <f>'[27]Orangeville HDD2011'!L405</f>
        <v>306.39999999999992</v>
      </c>
      <c r="U15" s="76">
        <f>'[27]Orangeville HDD2012'!L405</f>
        <v>301.39999999999992</v>
      </c>
      <c r="V15" s="121">
        <f t="shared" si="2"/>
        <v>302.72000000000003</v>
      </c>
      <c r="W15" s="121">
        <f t="shared" si="3"/>
        <v>302.72000000000003</v>
      </c>
      <c r="X15" s="113">
        <f t="shared" si="4"/>
        <v>302.72000000000003</v>
      </c>
      <c r="Y15" s="113">
        <f t="shared" si="5"/>
        <v>302.72000000000003</v>
      </c>
      <c r="Z15" s="112">
        <f t="shared" si="0"/>
        <v>302.53052631578942</v>
      </c>
      <c r="AA15" s="112">
        <f t="shared" si="1"/>
        <v>302.45248120300744</v>
      </c>
    </row>
    <row r="16" spans="1:28" x14ac:dyDescent="0.2">
      <c r="A16" s="75" t="s">
        <v>91</v>
      </c>
      <c r="B16" s="76">
        <f>'[14]Weather data'!K12</f>
        <v>511.3</v>
      </c>
      <c r="C16" s="76">
        <f>'[14]Weather data'!L12</f>
        <v>427.3</v>
      </c>
      <c r="D16" s="76">
        <f>'[14]Weather data'!M12</f>
        <v>580.1</v>
      </c>
      <c r="E16" s="76">
        <f>'[14]Weather data'!N12</f>
        <v>563.29999999999995</v>
      </c>
      <c r="F16" s="76">
        <f>'[14]Weather data'!O12</f>
        <v>526.5</v>
      </c>
      <c r="G16" s="76">
        <f>'[14]Purchased Power Model'!$C13</f>
        <v>431.1</v>
      </c>
      <c r="H16" s="76">
        <f>'[14]Purchased Power Model'!$C25</f>
        <v>420.1</v>
      </c>
      <c r="I16" s="76">
        <f>'[14]Purchased Power Model'!$C37</f>
        <v>496.5</v>
      </c>
      <c r="J16" s="76">
        <f>'[14]Purchased Power Model'!$C49</f>
        <v>371.1</v>
      </c>
      <c r="K16" s="76">
        <f>'[14]Purchased Power Model'!$C61</f>
        <v>517.4</v>
      </c>
      <c r="L16" s="76">
        <f>'[14]Purchased Power Model'!$C73</f>
        <v>444.3</v>
      </c>
      <c r="M16" s="76">
        <f>'[14]Purchased Power Model'!$C85</f>
        <v>452.1</v>
      </c>
      <c r="N16" s="76">
        <f>'[14]Purchased Power Model'!$C97</f>
        <v>445.4</v>
      </c>
      <c r="O16" s="76">
        <f>'[14]Purchased Power Model'!$C109</f>
        <v>418.4</v>
      </c>
      <c r="P16" s="282">
        <f>'[26]Orangeville HDD 2007'!L406</f>
        <v>535.70000000000005</v>
      </c>
      <c r="Q16" s="282">
        <f>'[26]Orangeville HDD 2008'!L406</f>
        <v>500.7000000000001</v>
      </c>
      <c r="R16" s="76">
        <f>'[27]Orangeville HDD 2009 '!L406</f>
        <v>400.4</v>
      </c>
      <c r="S16" s="76">
        <f>'[27]Orangeville HDD2010'!L406</f>
        <v>474.39999999999992</v>
      </c>
      <c r="T16" s="76">
        <f>'[27]Orangeville HDD2011'!L406</f>
        <v>418.2999999999999</v>
      </c>
      <c r="U16" s="76">
        <f>'[27]Orangeville HDD2012'!L406</f>
        <v>474.09999999999997</v>
      </c>
      <c r="V16" s="121">
        <f t="shared" si="2"/>
        <v>456.38000000000011</v>
      </c>
      <c r="W16" s="121">
        <f t="shared" si="3"/>
        <v>456.38000000000011</v>
      </c>
      <c r="X16" s="113">
        <f t="shared" si="4"/>
        <v>456.38000000000011</v>
      </c>
      <c r="Y16" s="113">
        <f t="shared" si="5"/>
        <v>456.38000000000011</v>
      </c>
      <c r="Z16" s="112">
        <f t="shared" si="0"/>
        <v>438.82315789473705</v>
      </c>
      <c r="AA16" s="112">
        <f t="shared" si="1"/>
        <v>435.81345864661671</v>
      </c>
    </row>
    <row r="17" spans="1:27" x14ac:dyDescent="0.2">
      <c r="A17" s="75" t="s">
        <v>93</v>
      </c>
      <c r="B17" s="76">
        <f>'[14]Weather data'!K13</f>
        <v>695</v>
      </c>
      <c r="C17" s="76">
        <f>'[14]Weather data'!L13</f>
        <v>622.1</v>
      </c>
      <c r="D17" s="76">
        <f>'[14]Weather data'!M13</f>
        <v>776.8</v>
      </c>
      <c r="E17" s="76">
        <f>'[14]Weather data'!N13</f>
        <v>620.1</v>
      </c>
      <c r="F17" s="76">
        <f>'[14]Weather data'!O13</f>
        <v>645.6</v>
      </c>
      <c r="G17" s="76">
        <f>'[14]Purchased Power Model'!$C14</f>
        <v>664.37999999999988</v>
      </c>
      <c r="H17" s="76">
        <f>'[14]Purchased Power Model'!$C26</f>
        <v>643.70000000000005</v>
      </c>
      <c r="I17" s="76">
        <f>'[14]Purchased Power Model'!$C38</f>
        <v>833.7</v>
      </c>
      <c r="J17" s="76">
        <f>'[14]Purchased Power Model'!$C50</f>
        <v>574.29999999999995</v>
      </c>
      <c r="K17" s="76">
        <f>'[14]Purchased Power Model'!$C62</f>
        <v>678.1</v>
      </c>
      <c r="L17" s="76">
        <f>'[14]Purchased Power Model'!$C74</f>
        <v>634.79999999999995</v>
      </c>
      <c r="M17" s="76">
        <f>'[14]Purchased Power Model'!$C86</f>
        <v>736</v>
      </c>
      <c r="N17" s="76">
        <f>'[14]Purchased Power Model'!$C98</f>
        <v>724.7</v>
      </c>
      <c r="O17" s="76">
        <f>'[14]Purchased Power Model'!$C110</f>
        <v>548</v>
      </c>
      <c r="P17" s="282">
        <f>'[26]Orangeville HDD 2007'!L407</f>
        <v>688.8</v>
      </c>
      <c r="Q17" s="282">
        <f>'[26]Orangeville HDD 2008'!L407</f>
        <v>682.1</v>
      </c>
      <c r="R17" s="76">
        <f>'[27]Orangeville HDD 2009 '!L407</f>
        <v>690.2</v>
      </c>
      <c r="S17" s="76">
        <f>'[27]Orangeville HDD2010'!L407</f>
        <v>729.09999999999968</v>
      </c>
      <c r="T17" s="76">
        <f>'[27]Orangeville HDD2011'!L407</f>
        <v>625.20000000000005</v>
      </c>
      <c r="U17" s="76">
        <f>'[27]Orangeville HDD2012'!L407</f>
        <v>596.59999999999991</v>
      </c>
      <c r="V17" s="121">
        <f t="shared" si="2"/>
        <v>665.55</v>
      </c>
      <c r="W17" s="121">
        <f t="shared" si="3"/>
        <v>665.55</v>
      </c>
      <c r="X17" s="113">
        <f t="shared" si="4"/>
        <v>665.55</v>
      </c>
      <c r="Y17" s="113">
        <f t="shared" si="5"/>
        <v>665.55</v>
      </c>
      <c r="Z17" s="112">
        <f t="shared" si="0"/>
        <v>656.46726315789465</v>
      </c>
      <c r="AA17" s="112">
        <f t="shared" si="1"/>
        <v>655.13424060150373</v>
      </c>
    </row>
    <row r="18" spans="1:27" x14ac:dyDescent="0.2">
      <c r="A18" s="75"/>
      <c r="B18" s="75"/>
      <c r="C18" s="75"/>
      <c r="D18" s="75"/>
      <c r="E18" s="75"/>
      <c r="F18" s="75"/>
      <c r="G18"/>
      <c r="H18"/>
      <c r="I18"/>
      <c r="P18" s="193"/>
      <c r="Q18" s="193"/>
      <c r="U18" s="118">
        <f>SUM(U6:U17)</f>
        <v>3914.2999999999993</v>
      </c>
      <c r="V18" s="118">
        <f>SUM(V6:V17)</f>
        <v>4289.7593367265727</v>
      </c>
      <c r="W18" s="118">
        <f t="shared" ref="W18" si="6">SUM(W6:W17)</f>
        <v>4289.7593367265727</v>
      </c>
      <c r="X18" s="118">
        <f>SUM(X6:X17)</f>
        <v>4289.7593367265727</v>
      </c>
      <c r="Y18" s="118">
        <f>SUM(Y6:Y17)</f>
        <v>4289.7593367265727</v>
      </c>
      <c r="Z18" s="118">
        <f>SUM(Z6:Z17)</f>
        <v>4108.5872449452345</v>
      </c>
      <c r="AA18" s="118">
        <f>SUM(AA6:AA17)</f>
        <v>4086.1951517096531</v>
      </c>
    </row>
    <row r="19" spans="1:27" x14ac:dyDescent="0.2">
      <c r="A19" s="75"/>
      <c r="B19" s="75"/>
      <c r="C19" s="75"/>
      <c r="D19" s="75"/>
      <c r="E19" s="75"/>
      <c r="F19" s="75"/>
      <c r="G19"/>
      <c r="H19"/>
      <c r="I19"/>
      <c r="P19" s="193"/>
      <c r="Q19" s="193"/>
      <c r="V19" s="26"/>
      <c r="W19" s="26"/>
    </row>
    <row r="20" spans="1:27" ht="24" x14ac:dyDescent="0.2">
      <c r="A20" s="73" t="s">
        <v>3</v>
      </c>
      <c r="B20" s="74">
        <f>'[14]Weather data'!K17</f>
        <v>1993</v>
      </c>
      <c r="C20" s="74">
        <f>'[14]Weather data'!L17</f>
        <v>1994</v>
      </c>
      <c r="D20" s="74">
        <f>'[14]Weather data'!M17</f>
        <v>1995</v>
      </c>
      <c r="E20" s="74">
        <f>'[14]Weather data'!N17</f>
        <v>1996</v>
      </c>
      <c r="F20" s="74">
        <f>'[14]Weather data'!O17</f>
        <v>1997</v>
      </c>
      <c r="G20" s="126">
        <f>'[14]Weather data'!P17</f>
        <v>1998</v>
      </c>
      <c r="H20" s="74">
        <f>H5</f>
        <v>1999</v>
      </c>
      <c r="I20" s="74">
        <f t="shared" ref="I20:U20" si="7">I5</f>
        <v>2000</v>
      </c>
      <c r="J20" s="74">
        <f t="shared" si="7"/>
        <v>2001</v>
      </c>
      <c r="K20" s="74">
        <f t="shared" si="7"/>
        <v>2002</v>
      </c>
      <c r="L20" s="126">
        <f t="shared" si="7"/>
        <v>2003</v>
      </c>
      <c r="M20" s="74">
        <f t="shared" si="7"/>
        <v>2004</v>
      </c>
      <c r="N20" s="74">
        <f t="shared" si="7"/>
        <v>2005</v>
      </c>
      <c r="O20" s="74">
        <f t="shared" si="7"/>
        <v>2006</v>
      </c>
      <c r="P20" s="283">
        <f t="shared" si="7"/>
        <v>2007</v>
      </c>
      <c r="Q20" s="283">
        <f t="shared" si="7"/>
        <v>2008</v>
      </c>
      <c r="R20" s="74">
        <f t="shared" si="7"/>
        <v>2009</v>
      </c>
      <c r="S20" s="74">
        <f t="shared" si="7"/>
        <v>2010</v>
      </c>
      <c r="T20" s="74">
        <f t="shared" si="7"/>
        <v>2011</v>
      </c>
      <c r="U20" s="74">
        <f t="shared" si="7"/>
        <v>2012</v>
      </c>
      <c r="V20" s="120">
        <v>2013</v>
      </c>
      <c r="W20" s="120">
        <v>2014</v>
      </c>
      <c r="X20" s="74">
        <v>2013</v>
      </c>
      <c r="Y20" s="74">
        <v>2014</v>
      </c>
      <c r="Z20" s="74">
        <v>2013</v>
      </c>
      <c r="AA20" s="74">
        <v>2014</v>
      </c>
    </row>
    <row r="21" spans="1:27" x14ac:dyDescent="0.2">
      <c r="A21" s="75" t="s">
        <v>81</v>
      </c>
      <c r="B21" s="76">
        <f>'[14]Weather data'!K18</f>
        <v>0</v>
      </c>
      <c r="C21" s="76">
        <f>'[14]Weather data'!L18</f>
        <v>0</v>
      </c>
      <c r="D21" s="76">
        <f>'[14]Weather data'!M18</f>
        <v>0</v>
      </c>
      <c r="E21" s="76">
        <f>'[14]Weather data'!N18</f>
        <v>0</v>
      </c>
      <c r="F21" s="76">
        <f>'[14]Weather data'!O18</f>
        <v>0</v>
      </c>
      <c r="G21" s="76">
        <f>'[14]Purchased Power Model'!D3</f>
        <v>0</v>
      </c>
      <c r="H21" s="76">
        <f>'[14]Purchased Power Model'!D15</f>
        <v>0</v>
      </c>
      <c r="I21" s="76">
        <f>'[14]Purchased Power Model'!D27</f>
        <v>0</v>
      </c>
      <c r="J21" s="76">
        <f>'[14]Purchased Power Model'!D39</f>
        <v>0</v>
      </c>
      <c r="K21" s="76">
        <f>'[14]Purchased Power Model'!D51</f>
        <v>0</v>
      </c>
      <c r="L21" s="77">
        <f>'[14]Purchased Power Model'!D63</f>
        <v>0</v>
      </c>
      <c r="M21" s="77">
        <f>'[14]Purchased Power Model'!D75</f>
        <v>0</v>
      </c>
      <c r="N21" s="77">
        <f>'[14]Purchased Power Model'!D87</f>
        <v>0</v>
      </c>
      <c r="O21" s="77">
        <f>'[14]Purchased Power Model'!D99</f>
        <v>0</v>
      </c>
      <c r="P21" s="284">
        <f>'[26]Orangeville HDD 2007'!N396</f>
        <v>0</v>
      </c>
      <c r="Q21" s="285">
        <f>'[26]Orangeville HDD 2008'!N396</f>
        <v>0</v>
      </c>
      <c r="R21" s="76">
        <f>'[27]Orangeville HDD 2009 '!N396</f>
        <v>0</v>
      </c>
      <c r="S21" s="76">
        <f>'[27]Orangeville HDD2010'!N396</f>
        <v>0</v>
      </c>
      <c r="T21" s="76">
        <f>'[27]Orangeville HDD2011'!N396</f>
        <v>0</v>
      </c>
      <c r="U21" s="76">
        <f>'[27]Orangeville HDD2012'!N396</f>
        <v>0</v>
      </c>
      <c r="V21" s="121">
        <f>AVERAGE(L21:U21)</f>
        <v>0</v>
      </c>
      <c r="W21" s="121">
        <f>V21</f>
        <v>0</v>
      </c>
      <c r="X21" s="113">
        <f t="shared" ref="X21:X32" si="8">AVERAGE(L21:U21)</f>
        <v>0</v>
      </c>
      <c r="Y21" s="113">
        <f>X21</f>
        <v>0</v>
      </c>
      <c r="Z21" s="112">
        <f t="shared" ref="Z21:Z32" si="9">TREND(B21:U21,$B$5:$U$5,$Z$5)</f>
        <v>0</v>
      </c>
      <c r="AA21" s="112">
        <f t="shared" ref="AA21:AA32" si="10">TREND(B21:U21,$B$5:$U$5,$AA$5)</f>
        <v>0</v>
      </c>
    </row>
    <row r="22" spans="1:27" x14ac:dyDescent="0.2">
      <c r="A22" s="75" t="s">
        <v>82</v>
      </c>
      <c r="B22" s="76">
        <f>'[14]Weather data'!K19</f>
        <v>0</v>
      </c>
      <c r="C22" s="76">
        <f>'[14]Weather data'!L19</f>
        <v>0</v>
      </c>
      <c r="D22" s="76">
        <f>'[14]Weather data'!M19</f>
        <v>0</v>
      </c>
      <c r="E22" s="76">
        <f>'[14]Weather data'!N19</f>
        <v>0</v>
      </c>
      <c r="F22" s="76">
        <f>'[14]Weather data'!O19</f>
        <v>0</v>
      </c>
      <c r="G22" s="76">
        <f>'[14]Purchased Power Model'!D4</f>
        <v>0</v>
      </c>
      <c r="H22" s="76">
        <f>'[14]Purchased Power Model'!D16</f>
        <v>0</v>
      </c>
      <c r="I22" s="76">
        <f>'[14]Purchased Power Model'!D28</f>
        <v>0</v>
      </c>
      <c r="J22" s="76">
        <f>'[14]Purchased Power Model'!D40</f>
        <v>0</v>
      </c>
      <c r="K22" s="76">
        <f>'[14]Purchased Power Model'!D52</f>
        <v>0</v>
      </c>
      <c r="L22" s="77">
        <f>'[14]Purchased Power Model'!D64</f>
        <v>0</v>
      </c>
      <c r="M22" s="77">
        <f>'[14]Purchased Power Model'!D76</f>
        <v>0</v>
      </c>
      <c r="N22" s="77">
        <f>'[14]Purchased Power Model'!D88</f>
        <v>0</v>
      </c>
      <c r="O22" s="77">
        <f>'[14]Purchased Power Model'!D100</f>
        <v>0</v>
      </c>
      <c r="P22" s="284">
        <f>'[26]Orangeville HDD 2007'!N397</f>
        <v>0</v>
      </c>
      <c r="Q22" s="285">
        <f>'[26]Orangeville HDD 2008'!N397</f>
        <v>0</v>
      </c>
      <c r="R22" s="76">
        <f>'[27]Orangeville HDD 2009 '!N397</f>
        <v>0</v>
      </c>
      <c r="S22" s="76">
        <f>'[27]Orangeville HDD2010'!N397</f>
        <v>0</v>
      </c>
      <c r="T22" s="76">
        <f>'[27]Orangeville HDD2011'!N397</f>
        <v>0</v>
      </c>
      <c r="U22" s="76">
        <f>'[27]Orangeville HDD2012'!N397</f>
        <v>0</v>
      </c>
      <c r="V22" s="121">
        <f t="shared" ref="V22:V32" si="11">AVERAGE(L22:U22)</f>
        <v>0</v>
      </c>
      <c r="W22" s="121">
        <f t="shared" ref="W22:W32" si="12">V22</f>
        <v>0</v>
      </c>
      <c r="X22" s="113">
        <f t="shared" si="8"/>
        <v>0</v>
      </c>
      <c r="Y22" s="113">
        <f t="shared" ref="Y22:Y32" si="13">X22</f>
        <v>0</v>
      </c>
      <c r="Z22" s="112">
        <f t="shared" si="9"/>
        <v>0</v>
      </c>
      <c r="AA22" s="112">
        <f t="shared" si="10"/>
        <v>0</v>
      </c>
    </row>
    <row r="23" spans="1:27" x14ac:dyDescent="0.2">
      <c r="A23" s="75" t="s">
        <v>83</v>
      </c>
      <c r="B23" s="76">
        <f>'[14]Weather data'!K20</f>
        <v>0</v>
      </c>
      <c r="C23" s="76">
        <f>'[14]Weather data'!L20</f>
        <v>0</v>
      </c>
      <c r="D23" s="76">
        <f>'[14]Weather data'!M20</f>
        <v>0</v>
      </c>
      <c r="E23" s="76">
        <f>'[14]Weather data'!N20</f>
        <v>0</v>
      </c>
      <c r="F23" s="76">
        <f>'[14]Weather data'!O20</f>
        <v>0</v>
      </c>
      <c r="G23" s="76">
        <f>'[14]Purchased Power Model'!D5</f>
        <v>0</v>
      </c>
      <c r="H23" s="76">
        <f>'[14]Purchased Power Model'!D17</f>
        <v>0</v>
      </c>
      <c r="I23" s="76">
        <f>'[14]Purchased Power Model'!D29</f>
        <v>0</v>
      </c>
      <c r="J23" s="76">
        <f>'[14]Purchased Power Model'!D41</f>
        <v>0</v>
      </c>
      <c r="K23" s="76">
        <f>'[14]Purchased Power Model'!D53</f>
        <v>0</v>
      </c>
      <c r="L23" s="77">
        <f>'[14]Purchased Power Model'!D65</f>
        <v>0</v>
      </c>
      <c r="M23" s="77">
        <f>'[14]Purchased Power Model'!D77</f>
        <v>0</v>
      </c>
      <c r="N23" s="77">
        <f>'[14]Purchased Power Model'!D89</f>
        <v>0</v>
      </c>
      <c r="O23" s="77">
        <f>'[14]Purchased Power Model'!D101</f>
        <v>0</v>
      </c>
      <c r="P23" s="284">
        <f>'[26]Orangeville HDD 2007'!N398</f>
        <v>0</v>
      </c>
      <c r="Q23" s="285">
        <f>'[26]Orangeville HDD 2008'!N398</f>
        <v>0</v>
      </c>
      <c r="R23" s="76">
        <f>'[27]Orangeville HDD 2009 '!N398</f>
        <v>0</v>
      </c>
      <c r="S23" s="76">
        <f>'[27]Orangeville HDD2010'!N398</f>
        <v>0</v>
      </c>
      <c r="T23" s="76">
        <f>'[27]Orangeville HDD2011'!N398</f>
        <v>0</v>
      </c>
      <c r="U23" s="76">
        <f>'[27]Orangeville HDD2012'!N398</f>
        <v>0</v>
      </c>
      <c r="V23" s="121">
        <f t="shared" si="11"/>
        <v>0</v>
      </c>
      <c r="W23" s="121">
        <f t="shared" si="12"/>
        <v>0</v>
      </c>
      <c r="X23" s="113">
        <f t="shared" si="8"/>
        <v>0</v>
      </c>
      <c r="Y23" s="113">
        <f t="shared" si="13"/>
        <v>0</v>
      </c>
      <c r="Z23" s="112">
        <f t="shared" si="9"/>
        <v>0</v>
      </c>
      <c r="AA23" s="112">
        <f t="shared" si="10"/>
        <v>0</v>
      </c>
    </row>
    <row r="24" spans="1:27" x14ac:dyDescent="0.2">
      <c r="A24" s="75" t="s">
        <v>84</v>
      </c>
      <c r="B24" s="76">
        <f>'[14]Weather data'!K21</f>
        <v>0</v>
      </c>
      <c r="C24" s="76">
        <f>'[14]Weather data'!L21</f>
        <v>0</v>
      </c>
      <c r="D24" s="76">
        <f>'[14]Weather data'!M21</f>
        <v>0</v>
      </c>
      <c r="E24" s="76">
        <f>'[14]Weather data'!N21</f>
        <v>0</v>
      </c>
      <c r="F24" s="76">
        <f>'[14]Weather data'!O21</f>
        <v>0</v>
      </c>
      <c r="G24" s="76">
        <f>'[14]Purchased Power Model'!D6</f>
        <v>0</v>
      </c>
      <c r="H24" s="76">
        <f>'[14]Purchased Power Model'!D18</f>
        <v>0.92222222222222228</v>
      </c>
      <c r="I24" s="76">
        <f>'[14]Purchased Power Model'!D30</f>
        <v>0</v>
      </c>
      <c r="J24" s="76">
        <f>'[14]Purchased Power Model'!D42</f>
        <v>0</v>
      </c>
      <c r="K24" s="76">
        <f>'[14]Purchased Power Model'!D54</f>
        <v>7.3</v>
      </c>
      <c r="L24" s="77">
        <f>'[14]Purchased Power Model'!D66</f>
        <v>1</v>
      </c>
      <c r="M24" s="77">
        <f>'[14]Purchased Power Model'!D78</f>
        <v>0</v>
      </c>
      <c r="N24" s="77">
        <f>'[14]Purchased Power Model'!D90</f>
        <v>0</v>
      </c>
      <c r="O24" s="77">
        <f>'[14]Purchased Power Model'!D102</f>
        <v>0</v>
      </c>
      <c r="P24" s="284">
        <f>'[26]Orangeville HDD 2007'!N399</f>
        <v>0</v>
      </c>
      <c r="Q24" s="285">
        <f>'[26]Orangeville HDD 2008'!N399</f>
        <v>0</v>
      </c>
      <c r="R24" s="135">
        <f>T42</f>
        <v>0.5</v>
      </c>
      <c r="S24" s="76">
        <f>'[27]Orangeville HDD2010'!N399</f>
        <v>0</v>
      </c>
      <c r="T24" s="76">
        <f>'[27]Orangeville HDD2011'!N399</f>
        <v>0</v>
      </c>
      <c r="U24" s="76">
        <f>'[27]Orangeville HDD2012'!N399</f>
        <v>0</v>
      </c>
      <c r="V24" s="121">
        <f t="shared" si="11"/>
        <v>0.15</v>
      </c>
      <c r="W24" s="121">
        <f t="shared" si="12"/>
        <v>0.15</v>
      </c>
      <c r="X24" s="113">
        <f t="shared" si="8"/>
        <v>0.15</v>
      </c>
      <c r="Y24" s="113">
        <f t="shared" si="13"/>
        <v>0.15</v>
      </c>
      <c r="Z24" s="112">
        <f t="shared" si="9"/>
        <v>0.43672514619882996</v>
      </c>
      <c r="AA24" s="112">
        <f t="shared" si="10"/>
        <v>0.43202172096908775</v>
      </c>
    </row>
    <row r="25" spans="1:27" x14ac:dyDescent="0.2">
      <c r="A25" s="75" t="s">
        <v>85</v>
      </c>
      <c r="B25" s="76">
        <f>'[14]Weather data'!K22</f>
        <v>0</v>
      </c>
      <c r="C25" s="76">
        <f>'[14]Weather data'!L22</f>
        <v>4.5999999999999996</v>
      </c>
      <c r="D25" s="76">
        <f>'[14]Weather data'!M22</f>
        <v>1</v>
      </c>
      <c r="E25" s="76">
        <f>'[14]Weather data'!N22</f>
        <v>6.8</v>
      </c>
      <c r="F25" s="76">
        <f>'[14]Weather data'!O22</f>
        <v>0</v>
      </c>
      <c r="G25" s="76">
        <f>'[14]Purchased Power Model'!D7</f>
        <v>18.100000000000001</v>
      </c>
      <c r="H25" s="76">
        <f>'[14]Purchased Power Model'!D19</f>
        <v>6.9</v>
      </c>
      <c r="I25" s="76">
        <f>'[14]Purchased Power Model'!D31</f>
        <v>18</v>
      </c>
      <c r="J25" s="76">
        <f>'[14]Purchased Power Model'!D43</f>
        <v>6.8</v>
      </c>
      <c r="K25" s="76">
        <f>'[14]Purchased Power Model'!D55</f>
        <v>4.5</v>
      </c>
      <c r="L25" s="77">
        <f>'[14]Purchased Power Model'!D67</f>
        <v>0</v>
      </c>
      <c r="M25" s="77">
        <f>'[14]Purchased Power Model'!D79</f>
        <v>6.6</v>
      </c>
      <c r="N25" s="77">
        <f>'[14]Purchased Power Model'!D91</f>
        <v>0</v>
      </c>
      <c r="O25" s="77">
        <f>'[14]Purchased Power Model'!D103</f>
        <v>14.1</v>
      </c>
      <c r="P25" s="284">
        <f>'[26]Orangeville HDD 2007'!N400</f>
        <v>12.100000000000001</v>
      </c>
      <c r="Q25" s="285">
        <f>'[26]Orangeville HDD 2008'!N400</f>
        <v>0</v>
      </c>
      <c r="R25" s="76">
        <f>'[27]Orangeville HDD 2009 '!N400</f>
        <v>4.3</v>
      </c>
      <c r="S25" s="76">
        <f>'[27]Orangeville HDD2010'!N400</f>
        <v>16.100000000000001</v>
      </c>
      <c r="T25" s="76">
        <f>'[27]Orangeville HDD2011'!N400</f>
        <v>9.3999999999999986</v>
      </c>
      <c r="U25" s="76">
        <f>'[27]Orangeville HDD2012'!N400</f>
        <v>6.8999999999999995</v>
      </c>
      <c r="V25" s="121">
        <f t="shared" si="11"/>
        <v>6.95</v>
      </c>
      <c r="W25" s="121">
        <f t="shared" si="12"/>
        <v>6.95</v>
      </c>
      <c r="X25" s="113">
        <f t="shared" si="8"/>
        <v>6.95</v>
      </c>
      <c r="Y25" s="113">
        <f t="shared" si="13"/>
        <v>6.95</v>
      </c>
      <c r="Z25" s="112">
        <f t="shared" si="9"/>
        <v>9.2415789473683958</v>
      </c>
      <c r="AA25" s="112">
        <f t="shared" si="10"/>
        <v>9.4731578947368007</v>
      </c>
    </row>
    <row r="26" spans="1:27" x14ac:dyDescent="0.2">
      <c r="A26" s="75" t="s">
        <v>86</v>
      </c>
      <c r="B26" s="76">
        <f>'[14]Weather data'!K23</f>
        <v>9.6999999999999993</v>
      </c>
      <c r="C26" s="76">
        <f>'[14]Weather data'!L23</f>
        <v>43.1</v>
      </c>
      <c r="D26" s="76">
        <f>'[14]Weather data'!M23</f>
        <v>48.2</v>
      </c>
      <c r="E26" s="76">
        <f>'[14]Weather data'!N23</f>
        <v>23.8</v>
      </c>
      <c r="F26" s="76">
        <f>'[14]Weather data'!O23</f>
        <v>47.8</v>
      </c>
      <c r="G26" s="76">
        <f>'[14]Purchased Power Model'!D8</f>
        <v>48.9</v>
      </c>
      <c r="H26" s="76">
        <f>'[14]Purchased Power Model'!D20</f>
        <v>40.955555555555556</v>
      </c>
      <c r="I26" s="76">
        <f>'[14]Purchased Power Model'!D32</f>
        <v>30.9</v>
      </c>
      <c r="J26" s="76">
        <f>'[14]Purchased Power Model'!D44</f>
        <v>39.5</v>
      </c>
      <c r="K26" s="76">
        <f>'[14]Purchased Power Model'!D56</f>
        <v>42.9</v>
      </c>
      <c r="L26" s="77">
        <f>'[14]Purchased Power Model'!D68</f>
        <v>28</v>
      </c>
      <c r="M26" s="77">
        <f>'[14]Purchased Power Model'!D80</f>
        <v>22.4</v>
      </c>
      <c r="N26" s="77">
        <f>'[14]Purchased Power Model'!D92</f>
        <v>95</v>
      </c>
      <c r="O26" s="77">
        <f>'[14]Purchased Power Model'!D104</f>
        <v>34.200000000000003</v>
      </c>
      <c r="P26" s="284">
        <f>'[26]Orangeville HDD 2007'!N401</f>
        <v>48.2</v>
      </c>
      <c r="Q26" s="285">
        <f>'[26]Orangeville HDD 2008'!N401</f>
        <v>44.8</v>
      </c>
      <c r="R26" s="76">
        <f>'[27]Orangeville HDD 2009 '!N401</f>
        <v>16.899999999999999</v>
      </c>
      <c r="S26" s="76">
        <f>'[27]Orangeville HDD2010'!N401</f>
        <v>27.1</v>
      </c>
      <c r="T26" s="76">
        <f>'[27]Orangeville HDD2011'!N401</f>
        <v>13.3</v>
      </c>
      <c r="U26" s="76">
        <f>'[27]Orangeville HDD2012'!N401</f>
        <v>48.699999999999996</v>
      </c>
      <c r="V26" s="121">
        <f t="shared" si="11"/>
        <v>37.86</v>
      </c>
      <c r="W26" s="121">
        <f t="shared" si="12"/>
        <v>37.86</v>
      </c>
      <c r="X26" s="113">
        <f t="shared" si="8"/>
        <v>37.86</v>
      </c>
      <c r="Y26" s="113">
        <f t="shared" si="13"/>
        <v>37.86</v>
      </c>
      <c r="Z26" s="112">
        <f t="shared" si="9"/>
        <v>37.685497076023395</v>
      </c>
      <c r="AA26" s="112">
        <f t="shared" si="10"/>
        <v>37.682422723475362</v>
      </c>
    </row>
    <row r="27" spans="1:27" x14ac:dyDescent="0.2">
      <c r="A27" s="75" t="s">
        <v>87</v>
      </c>
      <c r="B27" s="76">
        <f>'[14]Weather data'!K24</f>
        <v>63</v>
      </c>
      <c r="C27" s="76">
        <f>'[14]Weather data'!L24</f>
        <v>63.3</v>
      </c>
      <c r="D27" s="76">
        <f>'[14]Weather data'!M24</f>
        <v>83.2</v>
      </c>
      <c r="E27" s="76">
        <f>'[14]Weather data'!N24</f>
        <v>24.2</v>
      </c>
      <c r="F27" s="76">
        <f>'[14]Weather data'!O24</f>
        <v>55.4</v>
      </c>
      <c r="G27" s="76">
        <f>'[14]Purchased Power Model'!D9</f>
        <v>53.9</v>
      </c>
      <c r="H27" s="76">
        <f>'[14]Purchased Power Model'!D21</f>
        <v>83.2</v>
      </c>
      <c r="I27" s="76">
        <f>'[14]Purchased Power Model'!D33</f>
        <v>26.3</v>
      </c>
      <c r="J27" s="76">
        <f>'[14]Purchased Power Model'!D45</f>
        <v>37.200000000000003</v>
      </c>
      <c r="K27" s="76">
        <f>'[14]Purchased Power Model'!D57</f>
        <v>116.6</v>
      </c>
      <c r="L27" s="77">
        <f>'[14]Purchased Power Model'!D69</f>
        <v>51</v>
      </c>
      <c r="M27" s="77">
        <f>'[14]Purchased Power Model'!D81</f>
        <v>41.1</v>
      </c>
      <c r="N27" s="77">
        <f>'[14]Purchased Power Model'!D93</f>
        <v>98.5</v>
      </c>
      <c r="O27" s="77">
        <f>'[14]Purchased Power Model'!D105</f>
        <v>101.9</v>
      </c>
      <c r="P27" s="284">
        <f>'[26]Orangeville HDD 2007'!N402</f>
        <v>56.599999999999987</v>
      </c>
      <c r="Q27" s="285">
        <f>'[26]Orangeville HDD 2008'!N402</f>
        <v>67.699999999999989</v>
      </c>
      <c r="R27" s="76">
        <f>'[27]Orangeville HDD 2009 '!N402</f>
        <v>11.6</v>
      </c>
      <c r="S27" s="76">
        <f>'[27]Orangeville HDD2010'!N402</f>
        <v>105.39999999999998</v>
      </c>
      <c r="T27" s="76">
        <f>'[27]Orangeville HDD2011'!N402</f>
        <v>99.899999999999977</v>
      </c>
      <c r="U27" s="76">
        <f>'[27]Orangeville HDD2012'!N402</f>
        <v>103.99999999999999</v>
      </c>
      <c r="V27" s="121">
        <f t="shared" si="11"/>
        <v>73.77</v>
      </c>
      <c r="W27" s="121">
        <f t="shared" si="12"/>
        <v>73.77</v>
      </c>
      <c r="X27" s="113">
        <f t="shared" si="8"/>
        <v>73.77</v>
      </c>
      <c r="Y27" s="113">
        <f t="shared" si="13"/>
        <v>73.77</v>
      </c>
      <c r="Z27" s="112">
        <f t="shared" si="9"/>
        <v>84.315789473683708</v>
      </c>
      <c r="AA27" s="112">
        <f t="shared" si="10"/>
        <v>85.945864661654014</v>
      </c>
    </row>
    <row r="28" spans="1:27" x14ac:dyDescent="0.2">
      <c r="A28" s="75" t="s">
        <v>88</v>
      </c>
      <c r="B28" s="76">
        <f>'[14]Weather data'!K25</f>
        <v>65.2</v>
      </c>
      <c r="C28" s="76">
        <f>'[14]Weather data'!L25</f>
        <v>23.4</v>
      </c>
      <c r="D28" s="76">
        <f>'[14]Weather data'!M25</f>
        <v>81.3</v>
      </c>
      <c r="E28" s="76">
        <f>'[14]Weather data'!N25</f>
        <v>42.8</v>
      </c>
      <c r="F28" s="76">
        <f>'[14]Weather data'!O25</f>
        <v>17.600000000000001</v>
      </c>
      <c r="G28" s="76">
        <f>'[14]Purchased Power Model'!D10</f>
        <v>53.2</v>
      </c>
      <c r="H28" s="76">
        <f>'[14]Purchased Power Model'!D22</f>
        <v>29</v>
      </c>
      <c r="I28" s="76">
        <f>'[14]Purchased Power Model'!D34</f>
        <v>36.299999999999997</v>
      </c>
      <c r="J28" s="76">
        <f>'[14]Purchased Power Model'!D46</f>
        <v>82.7</v>
      </c>
      <c r="K28" s="76">
        <f>'[14]Purchased Power Model'!D58</f>
        <v>66.8</v>
      </c>
      <c r="L28" s="77">
        <f>'[14]Purchased Power Model'!D70</f>
        <v>65.7</v>
      </c>
      <c r="M28" s="77">
        <f>'[14]Purchased Power Model'!D82</f>
        <v>23.8</v>
      </c>
      <c r="N28" s="77">
        <f>'[14]Purchased Power Model'!D94</f>
        <v>62.5</v>
      </c>
      <c r="O28" s="77">
        <f>'[14]Purchased Power Model'!D106</f>
        <v>51.8</v>
      </c>
      <c r="P28" s="284">
        <f>'[26]Orangeville HDD 2007'!N403</f>
        <v>66.699999999999989</v>
      </c>
      <c r="Q28" s="285">
        <f>'[26]Orangeville HDD 2008'!N403</f>
        <v>32.799999999999997</v>
      </c>
      <c r="R28" s="76">
        <f>'[27]Orangeville HDD 2009 '!N403</f>
        <v>54.29999999999999</v>
      </c>
      <c r="S28" s="76">
        <f>'[27]Orangeville HDD2010'!N403</f>
        <v>80.399999999999991</v>
      </c>
      <c r="T28" s="76">
        <f>'[27]Orangeville HDD2011'!N403</f>
        <v>31.200000000000006</v>
      </c>
      <c r="U28" s="76">
        <f>'[27]Orangeville HDD2012'!N403</f>
        <v>51.699999999999989</v>
      </c>
      <c r="V28" s="121">
        <f t="shared" si="11"/>
        <v>52.089999999999996</v>
      </c>
      <c r="W28" s="121">
        <f t="shared" si="12"/>
        <v>52.089999999999996</v>
      </c>
      <c r="X28" s="113">
        <f t="shared" si="8"/>
        <v>52.089999999999996</v>
      </c>
      <c r="Y28" s="113">
        <f t="shared" si="13"/>
        <v>52.089999999999996</v>
      </c>
      <c r="Z28" s="112">
        <f t="shared" si="9"/>
        <v>54.225263157894801</v>
      </c>
      <c r="AA28" s="112">
        <f t="shared" si="10"/>
        <v>54.536240601503778</v>
      </c>
    </row>
    <row r="29" spans="1:27" x14ac:dyDescent="0.2">
      <c r="A29" s="75" t="s">
        <v>89</v>
      </c>
      <c r="B29" s="76">
        <f>'[14]Weather data'!K26</f>
        <v>8.5</v>
      </c>
      <c r="C29" s="76">
        <f>'[14]Weather data'!L26</f>
        <v>8.8000000000000007</v>
      </c>
      <c r="D29" s="76">
        <f>'[14]Weather data'!M26</f>
        <v>9.5</v>
      </c>
      <c r="E29" s="76">
        <f>'[14]Weather data'!N26</f>
        <v>5.5</v>
      </c>
      <c r="F29" s="76">
        <f>'[14]Weather data'!O26</f>
        <v>3.1</v>
      </c>
      <c r="G29" s="76">
        <f>'[14]Purchased Power Model'!D11</f>
        <v>11.4</v>
      </c>
      <c r="H29" s="76">
        <f>'[14]Purchased Power Model'!D23</f>
        <v>24.8</v>
      </c>
      <c r="I29" s="76">
        <f>'[14]Purchased Power Model'!D35</f>
        <v>21.6</v>
      </c>
      <c r="J29" s="76">
        <f>'[14]Purchased Power Model'!D47</f>
        <v>16.3</v>
      </c>
      <c r="K29" s="76">
        <f>'[14]Purchased Power Model'!D59</f>
        <v>36.9</v>
      </c>
      <c r="L29" s="77">
        <f>'[14]Purchased Power Model'!D71</f>
        <v>5.0999999999999996</v>
      </c>
      <c r="M29" s="77">
        <f>'[14]Purchased Power Model'!D83</f>
        <v>9.1999999999999993</v>
      </c>
      <c r="N29" s="77">
        <f>'[14]Purchased Power Model'!D95</f>
        <v>17.3</v>
      </c>
      <c r="O29" s="77">
        <f>'[14]Purchased Power Model'!D107</f>
        <v>2.2999999999999998</v>
      </c>
      <c r="P29" s="284">
        <f>'[26]Orangeville HDD 2007'!N404</f>
        <v>21.6</v>
      </c>
      <c r="Q29" s="285">
        <f>'[26]Orangeville HDD 2008'!N404</f>
        <v>11.1</v>
      </c>
      <c r="R29" s="76">
        <f>'[27]Orangeville HDD 2009 '!N404</f>
        <v>4.4000000000000004</v>
      </c>
      <c r="S29" s="76">
        <f>'[27]Orangeville HDD2010'!N404</f>
        <v>20.100000000000001</v>
      </c>
      <c r="T29" s="76">
        <f>'[27]Orangeville HDD2011'!N404</f>
        <v>16.8</v>
      </c>
      <c r="U29" s="76">
        <f>'[27]Orangeville HDD2012'!N404</f>
        <v>9.6999999999999993</v>
      </c>
      <c r="V29" s="121">
        <f t="shared" si="11"/>
        <v>11.76</v>
      </c>
      <c r="W29" s="121">
        <f t="shared" si="12"/>
        <v>11.76</v>
      </c>
      <c r="X29" s="113">
        <f t="shared" si="8"/>
        <v>11.76</v>
      </c>
      <c r="Y29" s="113">
        <f t="shared" si="13"/>
        <v>11.76</v>
      </c>
      <c r="Z29" s="112">
        <f t="shared" si="9"/>
        <v>15.183157894736837</v>
      </c>
      <c r="AA29" s="112">
        <f t="shared" si="10"/>
        <v>15.372030075187922</v>
      </c>
    </row>
    <row r="30" spans="1:27" x14ac:dyDescent="0.2">
      <c r="A30" s="75" t="s">
        <v>90</v>
      </c>
      <c r="B30" s="76">
        <f>'[14]Weather data'!K27</f>
        <v>0</v>
      </c>
      <c r="C30" s="76">
        <f>'[14]Weather data'!L27</f>
        <v>0</v>
      </c>
      <c r="D30" s="76">
        <f>'[14]Weather data'!M27</f>
        <v>1.8</v>
      </c>
      <c r="E30" s="76">
        <f>'[14]Weather data'!N27</f>
        <v>0</v>
      </c>
      <c r="F30" s="76">
        <f>'[14]Weather data'!O27</f>
        <v>0.3</v>
      </c>
      <c r="G30" s="76">
        <f>'[14]Purchased Power Model'!D12</f>
        <v>0</v>
      </c>
      <c r="H30" s="76">
        <f>'[14]Purchased Power Model'!D24</f>
        <v>0</v>
      </c>
      <c r="I30" s="76">
        <f>'[14]Purchased Power Model'!D36</f>
        <v>0</v>
      </c>
      <c r="J30" s="76">
        <f>'[14]Purchased Power Model'!D48</f>
        <v>0</v>
      </c>
      <c r="K30" s="76">
        <f>'[14]Purchased Power Model'!D60</f>
        <v>6.3</v>
      </c>
      <c r="L30" s="77">
        <f>'[14]Purchased Power Model'!D72</f>
        <v>0</v>
      </c>
      <c r="M30" s="77">
        <f>'[14]Purchased Power Model'!D84</f>
        <v>0</v>
      </c>
      <c r="N30" s="77">
        <f>'[14]Purchased Power Model'!D96</f>
        <v>5</v>
      </c>
      <c r="O30" s="77">
        <f>'[14]Purchased Power Model'!D108</f>
        <v>0.3</v>
      </c>
      <c r="P30" s="284">
        <f>'[26]Orangeville HDD 2007'!N405</f>
        <v>8.3000000000000007</v>
      </c>
      <c r="Q30" s="285">
        <f>'[26]Orangeville HDD 2008'!N405</f>
        <v>0</v>
      </c>
      <c r="R30" s="76">
        <f>'[27]Orangeville HDD 2009 '!N405</f>
        <v>0</v>
      </c>
      <c r="S30" s="76">
        <f>'[27]Orangeville HDD2010'!N405</f>
        <v>0</v>
      </c>
      <c r="T30" s="76">
        <f>'[27]Orangeville HDD2011'!N405</f>
        <v>0</v>
      </c>
      <c r="U30" s="76">
        <f>'[27]Orangeville HDD2012'!N405</f>
        <v>0</v>
      </c>
      <c r="V30" s="121">
        <f t="shared" si="11"/>
        <v>1.36</v>
      </c>
      <c r="W30" s="121">
        <f t="shared" si="12"/>
        <v>1.36</v>
      </c>
      <c r="X30" s="113">
        <f t="shared" si="8"/>
        <v>1.36</v>
      </c>
      <c r="Y30" s="113">
        <f t="shared" si="13"/>
        <v>1.36</v>
      </c>
      <c r="Z30" s="112">
        <f t="shared" si="9"/>
        <v>1.614736842105259</v>
      </c>
      <c r="AA30" s="112">
        <f t="shared" si="10"/>
        <v>1.6637593984962393</v>
      </c>
    </row>
    <row r="31" spans="1:27" x14ac:dyDescent="0.2">
      <c r="A31" s="75" t="s">
        <v>91</v>
      </c>
      <c r="B31" s="76">
        <f>'[14]Weather data'!K28</f>
        <v>0</v>
      </c>
      <c r="C31" s="76">
        <f>'[14]Weather data'!L28</f>
        <v>0</v>
      </c>
      <c r="D31" s="76">
        <f>'[14]Weather data'!M28</f>
        <v>0</v>
      </c>
      <c r="E31" s="76">
        <f>'[14]Weather data'!N28</f>
        <v>0</v>
      </c>
      <c r="F31" s="76">
        <f>'[14]Weather data'!O28</f>
        <v>0</v>
      </c>
      <c r="G31" s="76">
        <f>'[14]Purchased Power Model'!D13</f>
        <v>0</v>
      </c>
      <c r="H31" s="76">
        <f>'[14]Purchased Power Model'!D25</f>
        <v>0</v>
      </c>
      <c r="I31" s="76">
        <f>'[14]Purchased Power Model'!D37</f>
        <v>0</v>
      </c>
      <c r="J31" s="76">
        <f>'[14]Purchased Power Model'!D49</f>
        <v>0</v>
      </c>
      <c r="K31" s="76">
        <f>'[14]Purchased Power Model'!D61</f>
        <v>0</v>
      </c>
      <c r="L31" s="77">
        <f>'[14]Purchased Power Model'!D73</f>
        <v>0</v>
      </c>
      <c r="M31" s="77">
        <f>'[14]Purchased Power Model'!D85</f>
        <v>0</v>
      </c>
      <c r="N31" s="77">
        <f>'[14]Purchased Power Model'!D97</f>
        <v>0</v>
      </c>
      <c r="O31" s="77">
        <f>'[14]Purchased Power Model'!D109</f>
        <v>0</v>
      </c>
      <c r="P31" s="284">
        <f>'[26]Orangeville HDD 2007'!N406</f>
        <v>0</v>
      </c>
      <c r="Q31" s="285">
        <f>'[26]Orangeville HDD 2008'!N406</f>
        <v>0</v>
      </c>
      <c r="R31" s="76">
        <f>'[27]Orangeville HDD 2009 '!N406</f>
        <v>0</v>
      </c>
      <c r="S31" s="76">
        <f>'[27]Orangeville HDD2010'!N406</f>
        <v>0</v>
      </c>
      <c r="T31" s="76">
        <f>'[27]Orangeville HDD2011'!N406</f>
        <v>0</v>
      </c>
      <c r="U31" s="76">
        <f>'[27]Orangeville HDD2012'!N406</f>
        <v>0</v>
      </c>
      <c r="V31" s="121">
        <f t="shared" si="11"/>
        <v>0</v>
      </c>
      <c r="W31" s="121">
        <f t="shared" si="12"/>
        <v>0</v>
      </c>
      <c r="X31" s="113">
        <f t="shared" si="8"/>
        <v>0</v>
      </c>
      <c r="Y31" s="113">
        <f t="shared" si="13"/>
        <v>0</v>
      </c>
      <c r="Z31" s="112">
        <f t="shared" si="9"/>
        <v>0</v>
      </c>
      <c r="AA31" s="112">
        <f t="shared" si="10"/>
        <v>0</v>
      </c>
    </row>
    <row r="32" spans="1:27" x14ac:dyDescent="0.2">
      <c r="A32" s="75" t="s">
        <v>93</v>
      </c>
      <c r="B32" s="76">
        <f>'[14]Weather data'!K29</f>
        <v>0</v>
      </c>
      <c r="C32" s="76">
        <f>'[14]Weather data'!L29</f>
        <v>0</v>
      </c>
      <c r="D32" s="76">
        <f>'[14]Weather data'!M29</f>
        <v>0</v>
      </c>
      <c r="E32" s="76">
        <f>'[14]Weather data'!N29</f>
        <v>0</v>
      </c>
      <c r="F32" s="76">
        <f>'[14]Weather data'!O29</f>
        <v>0</v>
      </c>
      <c r="G32" s="76">
        <f>'[14]Purchased Power Model'!D14</f>
        <v>0</v>
      </c>
      <c r="H32" s="76">
        <f>'[14]Purchased Power Model'!D26</f>
        <v>0</v>
      </c>
      <c r="I32" s="76">
        <f>'[14]Purchased Power Model'!D38</f>
        <v>0</v>
      </c>
      <c r="J32" s="76">
        <f>'[14]Purchased Power Model'!D50</f>
        <v>0</v>
      </c>
      <c r="K32" s="76">
        <f>'[14]Purchased Power Model'!D62</f>
        <v>0</v>
      </c>
      <c r="L32" s="77">
        <f>'[14]Purchased Power Model'!D74</f>
        <v>0</v>
      </c>
      <c r="M32" s="77">
        <f>'[14]Purchased Power Model'!D86</f>
        <v>0</v>
      </c>
      <c r="N32" s="77">
        <f>'[14]Purchased Power Model'!D98</f>
        <v>0</v>
      </c>
      <c r="O32" s="77">
        <f>'[14]Purchased Power Model'!D110</f>
        <v>0</v>
      </c>
      <c r="P32" s="284">
        <f>'[26]Orangeville HDD 2007'!N407</f>
        <v>0</v>
      </c>
      <c r="Q32" s="285">
        <f>'[26]Orangeville HDD 2008'!N407</f>
        <v>0</v>
      </c>
      <c r="R32" s="76">
        <f>'[27]Orangeville HDD 2009 '!N407</f>
        <v>0</v>
      </c>
      <c r="S32" s="76">
        <f>'[27]Orangeville HDD2010'!N407</f>
        <v>0</v>
      </c>
      <c r="T32" s="76">
        <f>'[27]Orangeville HDD2011'!N407</f>
        <v>0</v>
      </c>
      <c r="U32" s="76">
        <f>'[27]Orangeville HDD2012'!N407</f>
        <v>0</v>
      </c>
      <c r="V32" s="121">
        <f t="shared" si="11"/>
        <v>0</v>
      </c>
      <c r="W32" s="121">
        <f t="shared" si="12"/>
        <v>0</v>
      </c>
      <c r="X32" s="113">
        <f t="shared" si="8"/>
        <v>0</v>
      </c>
      <c r="Y32" s="113">
        <f t="shared" si="13"/>
        <v>0</v>
      </c>
      <c r="Z32" s="112">
        <f t="shared" si="9"/>
        <v>0</v>
      </c>
      <c r="AA32" s="112">
        <f t="shared" si="10"/>
        <v>0</v>
      </c>
    </row>
    <row r="33" spans="1:30" x14ac:dyDescent="0.2">
      <c r="A33" s="75"/>
      <c r="B33" s="75"/>
      <c r="C33" s="75"/>
      <c r="D33" s="75"/>
      <c r="E33" s="75"/>
      <c r="F33" s="75"/>
      <c r="G33" s="75"/>
      <c r="H33" s="75"/>
      <c r="I33" s="75"/>
      <c r="V33" s="118">
        <f>SUM(V21:V32)</f>
        <v>183.94</v>
      </c>
      <c r="W33" s="118">
        <f>SUM(W21:W32)</f>
        <v>183.94</v>
      </c>
      <c r="X33" s="118">
        <f t="shared" ref="X33:Z33" si="14">SUM(X21:X32)</f>
        <v>183.94</v>
      </c>
      <c r="Y33" s="118">
        <f t="shared" si="14"/>
        <v>183.94</v>
      </c>
      <c r="Z33" s="118">
        <f t="shared" si="14"/>
        <v>202.70274853801124</v>
      </c>
      <c r="AA33" s="118">
        <f>SUM(X21:X32)</f>
        <v>183.94</v>
      </c>
      <c r="AB33" s="118"/>
      <c r="AC33" s="118"/>
      <c r="AD33" s="118"/>
    </row>
    <row r="34" spans="1:30" ht="38.25" x14ac:dyDescent="0.2">
      <c r="A34" s="75"/>
      <c r="B34" s="117" t="s">
        <v>2</v>
      </c>
      <c r="C34" s="117" t="s">
        <v>3</v>
      </c>
      <c r="D34" s="117"/>
      <c r="E34" s="117"/>
      <c r="F34" s="117"/>
      <c r="G34" s="75"/>
      <c r="H34" s="75"/>
      <c r="I34" s="125" t="s">
        <v>224</v>
      </c>
      <c r="R34" s="75"/>
      <c r="S34" s="125" t="s">
        <v>225</v>
      </c>
    </row>
    <row r="35" spans="1:30" x14ac:dyDescent="0.2">
      <c r="A35" s="75"/>
      <c r="B35" s="117"/>
      <c r="C35" s="117"/>
      <c r="D35" s="117"/>
      <c r="E35" s="75"/>
      <c r="F35" s="85" t="s">
        <v>223</v>
      </c>
      <c r="G35" s="111" t="s">
        <v>220</v>
      </c>
      <c r="H35" s="111" t="s">
        <v>221</v>
      </c>
      <c r="I35"/>
      <c r="P35" s="85" t="s">
        <v>223</v>
      </c>
      <c r="Q35" s="122" t="s">
        <v>220</v>
      </c>
      <c r="R35" s="122" t="s">
        <v>221</v>
      </c>
      <c r="T35" s="72" t="s">
        <v>226</v>
      </c>
    </row>
    <row r="36" spans="1:30" x14ac:dyDescent="0.2">
      <c r="A36" s="115">
        <f>'[14]Purchased Power Model'!A3</f>
        <v>35796</v>
      </c>
      <c r="B36" s="114">
        <f>'[14]Purchased Power Model'!C3</f>
        <v>696.8</v>
      </c>
      <c r="C36" s="114">
        <f>'[14]Purchased Power Model'!D3</f>
        <v>0</v>
      </c>
      <c r="D36" s="114"/>
      <c r="E36"/>
      <c r="F36">
        <v>2003</v>
      </c>
      <c r="G36" s="133">
        <v>372.5</v>
      </c>
      <c r="H36" s="14">
        <v>425.3</v>
      </c>
      <c r="I36"/>
      <c r="P36">
        <v>2003</v>
      </c>
      <c r="Q36" s="132">
        <v>2.4</v>
      </c>
      <c r="R36" s="130">
        <v>1</v>
      </c>
      <c r="T36" s="72" t="s">
        <v>227</v>
      </c>
    </row>
    <row r="37" spans="1:30" x14ac:dyDescent="0.2">
      <c r="A37" s="115">
        <f>'[14]Purchased Power Model'!A4</f>
        <v>35827</v>
      </c>
      <c r="B37" s="114">
        <f>'[14]Purchased Power Model'!C4</f>
        <v>569.70000000000005</v>
      </c>
      <c r="C37" s="114">
        <f>'[14]Purchased Power Model'!D4</f>
        <v>0</v>
      </c>
      <c r="D37" s="114"/>
      <c r="E37"/>
      <c r="F37">
        <v>2004</v>
      </c>
      <c r="G37" s="133">
        <v>331.5</v>
      </c>
      <c r="H37" s="14">
        <v>386.9</v>
      </c>
      <c r="I37"/>
      <c r="P37">
        <v>2004</v>
      </c>
      <c r="Q37" s="133">
        <v>0</v>
      </c>
      <c r="R37" s="130">
        <v>0</v>
      </c>
      <c r="T37" s="72" t="s">
        <v>228</v>
      </c>
    </row>
    <row r="38" spans="1:30" x14ac:dyDescent="0.2">
      <c r="A38" s="115">
        <f>'[14]Purchased Power Model'!A6</f>
        <v>35886</v>
      </c>
      <c r="B38" s="114">
        <f>'[14]Purchased Power Model'!C6</f>
        <v>342.8</v>
      </c>
      <c r="C38" s="114">
        <f>'[14]Purchased Power Model'!D6</f>
        <v>0</v>
      </c>
      <c r="D38" s="114"/>
      <c r="E38"/>
      <c r="F38">
        <v>2005</v>
      </c>
      <c r="G38" s="133">
        <v>306.8</v>
      </c>
      <c r="H38" s="14">
        <v>377</v>
      </c>
      <c r="I38"/>
      <c r="P38">
        <v>2005</v>
      </c>
      <c r="Q38" s="133">
        <v>0</v>
      </c>
      <c r="R38" s="130">
        <v>0</v>
      </c>
    </row>
    <row r="39" spans="1:30" x14ac:dyDescent="0.2">
      <c r="A39" s="115">
        <f>'[14]Purchased Power Model'!A7</f>
        <v>35916</v>
      </c>
      <c r="B39" s="114">
        <f>'[14]Purchased Power Model'!C7</f>
        <v>90.5</v>
      </c>
      <c r="C39" s="114">
        <f>'[14]Purchased Power Model'!D7</f>
        <v>18.100000000000001</v>
      </c>
      <c r="D39" s="114"/>
      <c r="E39"/>
      <c r="F39">
        <v>2006</v>
      </c>
      <c r="G39" s="133">
        <v>293.3</v>
      </c>
      <c r="H39" s="14">
        <v>351.6</v>
      </c>
      <c r="I39"/>
      <c r="P39">
        <v>2006</v>
      </c>
      <c r="Q39" s="133">
        <v>0</v>
      </c>
      <c r="R39" s="130">
        <v>0</v>
      </c>
    </row>
    <row r="40" spans="1:30" x14ac:dyDescent="0.2">
      <c r="A40" s="115">
        <f>'[14]Purchased Power Model'!A8</f>
        <v>35947</v>
      </c>
      <c r="B40" s="114">
        <f>'[14]Purchased Power Model'!C8</f>
        <v>80</v>
      </c>
      <c r="C40" s="114">
        <f>'[14]Purchased Power Model'!D8</f>
        <v>48.9</v>
      </c>
      <c r="D40" s="114"/>
      <c r="E40"/>
      <c r="F40">
        <v>2007</v>
      </c>
      <c r="G40" s="133">
        <v>356.4</v>
      </c>
      <c r="H40" s="14">
        <v>428</v>
      </c>
      <c r="I40"/>
      <c r="P40">
        <v>2007</v>
      </c>
      <c r="Q40" s="133">
        <v>0</v>
      </c>
      <c r="R40" s="130">
        <v>0</v>
      </c>
    </row>
    <row r="41" spans="1:30" x14ac:dyDescent="0.2">
      <c r="A41" s="115">
        <f>'[14]Purchased Power Model'!A9</f>
        <v>35977</v>
      </c>
      <c r="B41" s="114">
        <f>'[14]Purchased Power Model'!C9</f>
        <v>23.4</v>
      </c>
      <c r="C41" s="114">
        <f>'[14]Purchased Power Model'!D9</f>
        <v>53.9</v>
      </c>
      <c r="D41" s="114"/>
      <c r="E41"/>
      <c r="F41">
        <v>2008</v>
      </c>
      <c r="G41" s="133">
        <v>253.9</v>
      </c>
      <c r="H41" s="14">
        <v>318.10000000000002</v>
      </c>
      <c r="I41"/>
      <c r="P41">
        <v>2008</v>
      </c>
      <c r="Q41" s="133">
        <v>0</v>
      </c>
      <c r="R41" s="131">
        <v>0</v>
      </c>
    </row>
    <row r="42" spans="1:30" x14ac:dyDescent="0.2">
      <c r="A42" s="115">
        <f>'[14]Purchased Power Model'!A10</f>
        <v>36008</v>
      </c>
      <c r="B42" s="114">
        <f>'[14]Purchased Power Model'!C10</f>
        <v>17.7</v>
      </c>
      <c r="C42" s="114">
        <f>'[14]Purchased Power Model'!D10</f>
        <v>53.2</v>
      </c>
      <c r="D42" s="114"/>
      <c r="E42"/>
      <c r="F42">
        <v>2009</v>
      </c>
      <c r="G42" s="133">
        <v>305.8</v>
      </c>
      <c r="H42" s="124">
        <f>G61+G62*G42</f>
        <v>368.39336726571935</v>
      </c>
      <c r="I42" s="573"/>
      <c r="P42">
        <v>2009</v>
      </c>
      <c r="Q42" s="134">
        <v>1.2</v>
      </c>
      <c r="R42" s="129">
        <f>Q61+Q42*Q62</f>
        <v>0.50000000000000022</v>
      </c>
      <c r="S42">
        <f>R36/Q36</f>
        <v>0.41666666666666669</v>
      </c>
      <c r="T42">
        <f>Q42*S42</f>
        <v>0.5</v>
      </c>
    </row>
    <row r="43" spans="1:30" x14ac:dyDescent="0.2">
      <c r="A43" s="115">
        <f>'[14]Purchased Power Model'!A11</f>
        <v>36039</v>
      </c>
      <c r="B43" s="114">
        <f>'[14]Purchased Power Model'!C11</f>
        <v>91.1</v>
      </c>
      <c r="C43" s="114">
        <f>'[14]Purchased Power Model'!D11</f>
        <v>11.4</v>
      </c>
      <c r="D43" s="114"/>
      <c r="E43"/>
      <c r="F43"/>
      <c r="G43"/>
      <c r="H43"/>
      <c r="I43"/>
    </row>
    <row r="44" spans="1:30" x14ac:dyDescent="0.2">
      <c r="A44" s="115">
        <f>'[14]Purchased Power Model'!A12</f>
        <v>36069</v>
      </c>
      <c r="B44" s="114">
        <f>'[14]Purchased Power Model'!C12</f>
        <v>294.3</v>
      </c>
      <c r="C44" s="114">
        <f>'[14]Purchased Power Model'!D12</f>
        <v>0</v>
      </c>
      <c r="D44" s="114"/>
      <c r="E44"/>
      <c r="F44"/>
      <c r="G44"/>
      <c r="H44"/>
      <c r="I44"/>
    </row>
    <row r="45" spans="1:30" x14ac:dyDescent="0.2">
      <c r="A45" s="115">
        <f>'[14]Purchased Power Model'!A13</f>
        <v>36100</v>
      </c>
      <c r="B45" s="114">
        <f>'[14]Purchased Power Model'!C13</f>
        <v>431.1</v>
      </c>
      <c r="C45" s="114">
        <f>'[14]Purchased Power Model'!D13</f>
        <v>0</v>
      </c>
      <c r="D45" s="114"/>
      <c r="E45"/>
      <c r="F45" t="s">
        <v>19</v>
      </c>
      <c r="G45"/>
      <c r="H45"/>
      <c r="I45"/>
      <c r="P45" t="s">
        <v>19</v>
      </c>
    </row>
    <row r="46" spans="1:30" ht="13.5" thickBot="1" x14ac:dyDescent="0.25">
      <c r="A46" s="115">
        <f>'[14]Purchased Power Model'!A14</f>
        <v>36130</v>
      </c>
      <c r="B46" s="114">
        <f>'[14]Purchased Power Model'!C14</f>
        <v>664.37999999999988</v>
      </c>
      <c r="C46" s="114">
        <f>'[14]Purchased Power Model'!D14</f>
        <v>0</v>
      </c>
      <c r="D46" s="114"/>
      <c r="E46"/>
      <c r="F46"/>
      <c r="G46"/>
      <c r="H46"/>
      <c r="I46"/>
    </row>
    <row r="47" spans="1:30" x14ac:dyDescent="0.2">
      <c r="A47" s="115">
        <f>'[14]Purchased Power Model'!A15</f>
        <v>36161</v>
      </c>
      <c r="B47" s="114">
        <f>'[14]Purchased Power Model'!C15</f>
        <v>776.7</v>
      </c>
      <c r="C47" s="114">
        <f>'[14]Purchased Power Model'!D15</f>
        <v>0</v>
      </c>
      <c r="D47" s="114"/>
      <c r="E47"/>
      <c r="F47" s="43" t="s">
        <v>20</v>
      </c>
      <c r="G47" s="43"/>
      <c r="H47"/>
      <c r="I47"/>
      <c r="P47" s="43" t="s">
        <v>20</v>
      </c>
      <c r="Q47" s="43"/>
    </row>
    <row r="48" spans="1:30" x14ac:dyDescent="0.2">
      <c r="A48" s="115">
        <f>'[14]Purchased Power Model'!A16</f>
        <v>36192</v>
      </c>
      <c r="B48" s="114">
        <f>'[14]Purchased Power Model'!C16</f>
        <v>696.76666666666665</v>
      </c>
      <c r="C48" s="114">
        <f>'[14]Purchased Power Model'!D16</f>
        <v>0</v>
      </c>
      <c r="D48" s="114"/>
      <c r="E48"/>
      <c r="F48" s="29" t="s">
        <v>21</v>
      </c>
      <c r="G48" s="29">
        <v>0.9837167145342981</v>
      </c>
      <c r="H48"/>
      <c r="I48"/>
      <c r="P48" s="29" t="s">
        <v>21</v>
      </c>
      <c r="Q48" s="29">
        <v>1</v>
      </c>
    </row>
    <row r="49" spans="1:24" x14ac:dyDescent="0.2">
      <c r="A49" s="115">
        <f>'[14]Purchased Power Model'!A17</f>
        <v>36220</v>
      </c>
      <c r="B49" s="114">
        <f>'[14]Purchased Power Model'!C17</f>
        <v>610.45555555555563</v>
      </c>
      <c r="C49" s="114">
        <f>'[14]Purchased Power Model'!D17</f>
        <v>0</v>
      </c>
      <c r="D49" s="114"/>
      <c r="E49"/>
      <c r="F49" s="29" t="s">
        <v>22</v>
      </c>
      <c r="G49" s="29">
        <v>0.96769857445415364</v>
      </c>
      <c r="H49"/>
      <c r="I49"/>
      <c r="P49" s="29" t="s">
        <v>22</v>
      </c>
      <c r="Q49" s="29">
        <v>1</v>
      </c>
    </row>
    <row r="50" spans="1:24" x14ac:dyDescent="0.2">
      <c r="A50" s="115">
        <f>'[14]Purchased Power Model'!A18</f>
        <v>36251</v>
      </c>
      <c r="B50" s="114">
        <f>'[14]Purchased Power Model'!C18</f>
        <v>377.9111111111111</v>
      </c>
      <c r="C50" s="114">
        <f>'[14]Purchased Power Model'!D18</f>
        <v>0.92222222222222228</v>
      </c>
      <c r="D50" s="114"/>
      <c r="E50"/>
      <c r="F50" s="29" t="s">
        <v>23</v>
      </c>
      <c r="G50" s="29">
        <v>0.95962321806769202</v>
      </c>
      <c r="H50"/>
      <c r="I50"/>
      <c r="P50" s="29" t="s">
        <v>23</v>
      </c>
      <c r="Q50" s="29">
        <v>1</v>
      </c>
    </row>
    <row r="51" spans="1:24" x14ac:dyDescent="0.2">
      <c r="A51" s="115">
        <f>'[14]Purchased Power Model'!A19</f>
        <v>36281</v>
      </c>
      <c r="B51" s="114">
        <f>'[14]Purchased Power Model'!C19</f>
        <v>213.14444444444447</v>
      </c>
      <c r="C51" s="114">
        <f>'[14]Purchased Power Model'!D19</f>
        <v>6.9</v>
      </c>
      <c r="D51" s="114"/>
      <c r="E51"/>
      <c r="F51" s="29" t="s">
        <v>24</v>
      </c>
      <c r="G51" s="29">
        <v>8.5454621235253949</v>
      </c>
      <c r="H51"/>
      <c r="I51"/>
      <c r="P51" s="29" t="s">
        <v>24</v>
      </c>
      <c r="Q51" s="29">
        <v>0</v>
      </c>
    </row>
    <row r="52" spans="1:24" ht="13.5" thickBot="1" x14ac:dyDescent="0.25">
      <c r="A52" s="115">
        <f>'[14]Purchased Power Model'!A20</f>
        <v>36312</v>
      </c>
      <c r="B52" s="114">
        <f>'[14]Purchased Power Model'!C20</f>
        <v>56.433333333333337</v>
      </c>
      <c r="C52" s="114">
        <f>'[14]Purchased Power Model'!D20</f>
        <v>40.955555555555556</v>
      </c>
      <c r="D52" s="114"/>
      <c r="E52"/>
      <c r="F52" s="41" t="s">
        <v>25</v>
      </c>
      <c r="G52" s="41">
        <v>6</v>
      </c>
      <c r="H52"/>
      <c r="I52"/>
      <c r="P52" s="41" t="s">
        <v>25</v>
      </c>
      <c r="Q52" s="41">
        <v>6</v>
      </c>
    </row>
    <row r="53" spans="1:24" x14ac:dyDescent="0.2">
      <c r="A53" s="115">
        <f>'[14]Purchased Power Model'!A21</f>
        <v>36342</v>
      </c>
      <c r="B53" s="114">
        <f>'[14]Purchased Power Model'!C21</f>
        <v>3.9</v>
      </c>
      <c r="C53" s="114">
        <f>'[14]Purchased Power Model'!D21</f>
        <v>83.2</v>
      </c>
      <c r="D53" s="114"/>
      <c r="E53"/>
      <c r="F53"/>
      <c r="G53"/>
      <c r="H53"/>
      <c r="I53"/>
    </row>
    <row r="54" spans="1:24" ht="13.5" thickBot="1" x14ac:dyDescent="0.25">
      <c r="A54" s="115">
        <f>'[14]Purchased Power Model'!A22</f>
        <v>36373</v>
      </c>
      <c r="B54" s="114">
        <f>'[14]Purchased Power Model'!C22</f>
        <v>43.6</v>
      </c>
      <c r="C54" s="114">
        <f>'[14]Purchased Power Model'!D22</f>
        <v>29</v>
      </c>
      <c r="D54" s="114"/>
      <c r="E54"/>
      <c r="F54" t="s">
        <v>26</v>
      </c>
      <c r="G54"/>
      <c r="H54"/>
      <c r="I54"/>
      <c r="P54" t="s">
        <v>26</v>
      </c>
    </row>
    <row r="55" spans="1:24" x14ac:dyDescent="0.2">
      <c r="A55" s="115">
        <f>'[14]Purchased Power Model'!A23</f>
        <v>36404</v>
      </c>
      <c r="B55" s="114">
        <f>'[14]Purchased Power Model'!C23</f>
        <v>102.6</v>
      </c>
      <c r="C55" s="114">
        <f>'[14]Purchased Power Model'!D23</f>
        <v>24.8</v>
      </c>
      <c r="D55" s="114"/>
      <c r="E55"/>
      <c r="F55" s="42"/>
      <c r="G55" s="42" t="s">
        <v>30</v>
      </c>
      <c r="H55" s="42" t="s">
        <v>31</v>
      </c>
      <c r="I55" s="42" t="s">
        <v>32</v>
      </c>
      <c r="J55" s="42" t="s">
        <v>33</v>
      </c>
      <c r="K55" s="42" t="s">
        <v>34</v>
      </c>
      <c r="P55" s="42"/>
      <c r="Q55" s="42" t="s">
        <v>30</v>
      </c>
      <c r="R55" s="42" t="s">
        <v>31</v>
      </c>
      <c r="S55" s="42" t="s">
        <v>32</v>
      </c>
      <c r="T55" s="42" t="s">
        <v>33</v>
      </c>
      <c r="U55" s="42" t="s">
        <v>34</v>
      </c>
    </row>
    <row r="56" spans="1:24" x14ac:dyDescent="0.2">
      <c r="A56" s="115">
        <f>'[14]Purchased Power Model'!A24</f>
        <v>36434</v>
      </c>
      <c r="B56" s="114">
        <f>'[14]Purchased Power Model'!C24</f>
        <v>314.5</v>
      </c>
      <c r="C56" s="114">
        <f>'[14]Purchased Power Model'!D24</f>
        <v>0</v>
      </c>
      <c r="D56" s="114"/>
      <c r="E56"/>
      <c r="F56" s="29" t="s">
        <v>27</v>
      </c>
      <c r="G56" s="29">
        <v>1</v>
      </c>
      <c r="H56" s="29">
        <v>8750.8353083815691</v>
      </c>
      <c r="I56" s="29">
        <v>8750.8353083815691</v>
      </c>
      <c r="J56" s="29">
        <v>119.83354395064313</v>
      </c>
      <c r="K56" s="29">
        <v>3.9555935933483866E-4</v>
      </c>
      <c r="P56" s="29" t="s">
        <v>27</v>
      </c>
      <c r="Q56" s="29">
        <v>1</v>
      </c>
      <c r="R56" s="29">
        <v>0.83333333333333348</v>
      </c>
      <c r="S56" s="29">
        <v>0.83333333333333348</v>
      </c>
      <c r="T56" s="29" t="e">
        <v>#NUM!</v>
      </c>
      <c r="U56" s="29" t="e">
        <v>#NUM!</v>
      </c>
    </row>
    <row r="57" spans="1:24" x14ac:dyDescent="0.2">
      <c r="A57" s="115">
        <f>'[14]Purchased Power Model'!A25</f>
        <v>36465</v>
      </c>
      <c r="B57" s="114">
        <f>'[14]Purchased Power Model'!C25</f>
        <v>420.1</v>
      </c>
      <c r="C57" s="114">
        <f>'[14]Purchased Power Model'!D25</f>
        <v>0</v>
      </c>
      <c r="D57" s="114"/>
      <c r="E57"/>
      <c r="F57" s="29" t="s">
        <v>28</v>
      </c>
      <c r="G57" s="29">
        <v>4</v>
      </c>
      <c r="H57" s="29">
        <v>292.09969161842866</v>
      </c>
      <c r="I57" s="29">
        <v>73.024922904607166</v>
      </c>
      <c r="J57" s="29"/>
      <c r="K57" s="29"/>
      <c r="P57" s="29" t="s">
        <v>28</v>
      </c>
      <c r="Q57" s="29">
        <v>4</v>
      </c>
      <c r="R57" s="29">
        <v>0</v>
      </c>
      <c r="S57" s="29">
        <v>0</v>
      </c>
      <c r="T57" s="29"/>
      <c r="U57" s="29"/>
    </row>
    <row r="58" spans="1:24" ht="13.5" thickBot="1" x14ac:dyDescent="0.25">
      <c r="A58" s="115">
        <f>'[14]Purchased Power Model'!A26</f>
        <v>36495</v>
      </c>
      <c r="B58" s="114">
        <f>'[14]Purchased Power Model'!C26</f>
        <v>643.70000000000005</v>
      </c>
      <c r="C58" s="114">
        <f>'[14]Purchased Power Model'!D26</f>
        <v>0</v>
      </c>
      <c r="D58" s="114"/>
      <c r="E58"/>
      <c r="F58" s="41" t="s">
        <v>9</v>
      </c>
      <c r="G58" s="41">
        <v>5</v>
      </c>
      <c r="H58" s="41">
        <v>9042.9349999999977</v>
      </c>
      <c r="I58" s="41"/>
      <c r="J58" s="41"/>
      <c r="K58" s="41"/>
      <c r="P58" s="41" t="s">
        <v>9</v>
      </c>
      <c r="Q58" s="41">
        <v>5</v>
      </c>
      <c r="R58" s="41">
        <v>0.83333333333333348</v>
      </c>
      <c r="S58" s="41"/>
      <c r="T58" s="41"/>
      <c r="U58" s="41"/>
    </row>
    <row r="59" spans="1:24" ht="13.5" thickBot="1" x14ac:dyDescent="0.25">
      <c r="A59" s="115">
        <f>'[14]Purchased Power Model'!A27</f>
        <v>36526</v>
      </c>
      <c r="B59" s="114">
        <f>'[14]Purchased Power Model'!C27</f>
        <v>777.4</v>
      </c>
      <c r="C59" s="114">
        <f>'[14]Purchased Power Model'!D27</f>
        <v>0</v>
      </c>
      <c r="D59" s="114"/>
      <c r="E59"/>
      <c r="F59"/>
      <c r="G59"/>
      <c r="H59"/>
      <c r="I59"/>
    </row>
    <row r="60" spans="1:24" x14ac:dyDescent="0.2">
      <c r="A60" s="115">
        <f>'[14]Purchased Power Model'!A28</f>
        <v>36557</v>
      </c>
      <c r="B60" s="114">
        <f>'[14]Purchased Power Model'!C28</f>
        <v>642.20000000000005</v>
      </c>
      <c r="C60" s="114">
        <f>'[14]Purchased Power Model'!D28</f>
        <v>0</v>
      </c>
      <c r="D60" s="114"/>
      <c r="E60"/>
      <c r="F60" s="42"/>
      <c r="G60" s="42" t="s">
        <v>35</v>
      </c>
      <c r="H60" s="42" t="s">
        <v>24</v>
      </c>
      <c r="I60" s="42" t="s">
        <v>36</v>
      </c>
      <c r="J60" s="42" t="s">
        <v>37</v>
      </c>
      <c r="K60" s="42" t="s">
        <v>38</v>
      </c>
      <c r="L60" s="42" t="s">
        <v>39</v>
      </c>
      <c r="M60" s="42" t="s">
        <v>214</v>
      </c>
      <c r="N60" s="42" t="s">
        <v>215</v>
      </c>
      <c r="P60" s="42"/>
      <c r="Q60" s="42" t="s">
        <v>35</v>
      </c>
      <c r="R60" s="42" t="s">
        <v>24</v>
      </c>
      <c r="S60" s="42" t="s">
        <v>36</v>
      </c>
      <c r="T60" s="42" t="s">
        <v>37</v>
      </c>
      <c r="U60" s="42" t="s">
        <v>38</v>
      </c>
      <c r="V60" s="42" t="s">
        <v>39</v>
      </c>
      <c r="W60" s="42" t="s">
        <v>214</v>
      </c>
      <c r="X60" s="42" t="s">
        <v>215</v>
      </c>
    </row>
    <row r="61" spans="1:24" x14ac:dyDescent="0.2">
      <c r="A61" s="115">
        <f>'[14]Purchased Power Model'!A29</f>
        <v>36586</v>
      </c>
      <c r="B61" s="114">
        <f>'[14]Purchased Power Model'!C29</f>
        <v>490.6</v>
      </c>
      <c r="C61" s="114">
        <f>'[14]Purchased Power Model'!D29</f>
        <v>0</v>
      </c>
      <c r="D61" s="114"/>
      <c r="E61"/>
      <c r="F61" s="29" t="s">
        <v>29</v>
      </c>
      <c r="G61" s="29">
        <v>74.349777556445645</v>
      </c>
      <c r="H61" s="29">
        <v>28.242642432219267</v>
      </c>
      <c r="I61" s="29">
        <v>2.6325361635293465</v>
      </c>
      <c r="J61" s="29">
        <v>5.803186493744561E-2</v>
      </c>
      <c r="K61" s="29">
        <v>-4.0643687823410346</v>
      </c>
      <c r="L61" s="29">
        <v>152.76392389523232</v>
      </c>
      <c r="M61" s="29">
        <v>-4.0643687823410346</v>
      </c>
      <c r="N61" s="29">
        <v>152.76392389523232</v>
      </c>
      <c r="P61" s="29" t="s">
        <v>29</v>
      </c>
      <c r="Q61" s="29">
        <v>-1.1102230246251565E-16</v>
      </c>
      <c r="R61" s="29">
        <v>0</v>
      </c>
      <c r="S61" s="29">
        <v>65535</v>
      </c>
      <c r="T61" s="267" t="e">
        <v>#NUM!</v>
      </c>
      <c r="U61" s="29">
        <v>-1.1102230246251565E-16</v>
      </c>
      <c r="V61" s="29">
        <v>-1.1102230246251565E-16</v>
      </c>
      <c r="W61" s="29">
        <v>-1.1102230246251565E-16</v>
      </c>
      <c r="X61" s="29">
        <v>-1.1102230246251565E-16</v>
      </c>
    </row>
    <row r="62" spans="1:24" ht="13.5" thickBot="1" x14ac:dyDescent="0.25">
      <c r="A62" s="115">
        <f>'[14]Purchased Power Model'!A30</f>
        <v>36617</v>
      </c>
      <c r="B62" s="114">
        <f>'[14]Purchased Power Model'!C30</f>
        <v>398.1</v>
      </c>
      <c r="C62" s="114">
        <f>'[14]Purchased Power Model'!D30</f>
        <v>0</v>
      </c>
      <c r="D62" s="114"/>
      <c r="E62"/>
      <c r="F62" s="41" t="s">
        <v>222</v>
      </c>
      <c r="G62" s="41">
        <v>0.96155523122718678</v>
      </c>
      <c r="H62" s="41">
        <v>8.7838524770633586E-2</v>
      </c>
      <c r="I62" s="41">
        <v>10.946850869114966</v>
      </c>
      <c r="J62" s="41">
        <v>3.9555935933483898E-4</v>
      </c>
      <c r="K62" s="41">
        <v>0.717676389079966</v>
      </c>
      <c r="L62" s="41">
        <v>1.2054340733744076</v>
      </c>
      <c r="M62" s="41">
        <v>0.717676389079966</v>
      </c>
      <c r="N62" s="41">
        <v>1.2054340733744076</v>
      </c>
      <c r="P62" s="41" t="s">
        <v>222</v>
      </c>
      <c r="Q62" s="41">
        <v>0.41666666666666696</v>
      </c>
      <c r="R62" s="41">
        <v>0</v>
      </c>
      <c r="S62" s="41">
        <v>65535</v>
      </c>
      <c r="T62" s="41" t="e">
        <v>#NUM!</v>
      </c>
      <c r="U62" s="41">
        <v>0.41666666666666696</v>
      </c>
      <c r="V62" s="41">
        <v>0.41666666666666696</v>
      </c>
      <c r="W62" s="41">
        <v>0.41666666666666696</v>
      </c>
      <c r="X62" s="41">
        <v>0.41666666666666696</v>
      </c>
    </row>
    <row r="63" spans="1:24" x14ac:dyDescent="0.2">
      <c r="A63" s="115">
        <f>'[14]Purchased Power Model'!A31</f>
        <v>36647</v>
      </c>
      <c r="B63" s="114">
        <f>'[14]Purchased Power Model'!C31</f>
        <v>178.8</v>
      </c>
      <c r="C63" s="114">
        <f>'[14]Purchased Power Model'!D31</f>
        <v>18</v>
      </c>
      <c r="D63" s="114"/>
      <c r="E63" s="114"/>
      <c r="F63" s="114"/>
      <c r="G63"/>
      <c r="H63"/>
      <c r="I63"/>
    </row>
    <row r="64" spans="1:24" x14ac:dyDescent="0.2">
      <c r="A64" s="115">
        <f>'[14]Purchased Power Model'!A32</f>
        <v>36678</v>
      </c>
      <c r="B64" s="114">
        <f>'[14]Purchased Power Model'!C32</f>
        <v>59.7</v>
      </c>
      <c r="C64" s="114">
        <f>'[14]Purchased Power Model'!D32</f>
        <v>30.9</v>
      </c>
      <c r="D64" s="114"/>
      <c r="E64" s="114"/>
      <c r="F64" s="114"/>
      <c r="G64"/>
      <c r="H64"/>
      <c r="I64"/>
    </row>
    <row r="65" spans="1:24" x14ac:dyDescent="0.2">
      <c r="A65" s="115">
        <f>'[14]Purchased Power Model'!A33</f>
        <v>36708</v>
      </c>
      <c r="B65" s="114">
        <f>'[14]Purchased Power Model'!C33</f>
        <v>38.799999999999997</v>
      </c>
      <c r="C65" s="114">
        <f>'[14]Purchased Power Model'!D33</f>
        <v>26.3</v>
      </c>
      <c r="D65" s="114"/>
      <c r="E65" s="114"/>
      <c r="F65" s="114"/>
      <c r="G65"/>
      <c r="H65"/>
      <c r="I65"/>
      <c r="P65" s="193"/>
      <c r="Q65" s="193"/>
      <c r="R65" s="193"/>
      <c r="S65" s="193"/>
      <c r="T65" s="193"/>
      <c r="U65" s="193"/>
      <c r="V65" s="193"/>
      <c r="W65" s="193"/>
      <c r="X65" s="193"/>
    </row>
    <row r="66" spans="1:24" x14ac:dyDescent="0.2">
      <c r="A66" s="115">
        <f>'[14]Purchased Power Model'!A34</f>
        <v>36739</v>
      </c>
      <c r="B66" s="114">
        <f>'[14]Purchased Power Model'!C34</f>
        <v>43.3</v>
      </c>
      <c r="C66" s="114">
        <f>'[14]Purchased Power Model'!D34</f>
        <v>36.299999999999997</v>
      </c>
      <c r="D66" s="114"/>
      <c r="E66" s="114"/>
      <c r="F66" s="114"/>
      <c r="G66"/>
      <c r="H66"/>
      <c r="I66"/>
      <c r="P66" s="193"/>
      <c r="Q66" s="193"/>
      <c r="R66" s="193"/>
      <c r="S66" s="193"/>
      <c r="T66" s="193"/>
      <c r="U66" s="193"/>
      <c r="V66" s="193"/>
      <c r="W66" s="193"/>
      <c r="X66" s="193"/>
    </row>
    <row r="67" spans="1:24" x14ac:dyDescent="0.2">
      <c r="A67" s="115">
        <f>'[14]Purchased Power Model'!A35</f>
        <v>36770</v>
      </c>
      <c r="B67" s="114">
        <f>'[14]Purchased Power Model'!C35</f>
        <v>130</v>
      </c>
      <c r="C67" s="114">
        <f>'[14]Purchased Power Model'!D35</f>
        <v>21.6</v>
      </c>
      <c r="D67" s="114"/>
      <c r="E67" s="114"/>
      <c r="F67" s="114"/>
      <c r="G67"/>
      <c r="H67"/>
      <c r="I67"/>
      <c r="P67" s="219"/>
      <c r="Q67" s="219"/>
      <c r="R67" s="193"/>
      <c r="S67" s="193"/>
      <c r="T67" s="193"/>
      <c r="U67" s="193"/>
      <c r="V67" s="193"/>
      <c r="W67" s="193"/>
      <c r="X67" s="193"/>
    </row>
    <row r="68" spans="1:24" x14ac:dyDescent="0.2">
      <c r="A68" s="115">
        <f>'[14]Purchased Power Model'!A36</f>
        <v>36800</v>
      </c>
      <c r="B68" s="114">
        <f>'[14]Purchased Power Model'!C36</f>
        <v>253.3</v>
      </c>
      <c r="C68" s="114">
        <f>'[14]Purchased Power Model'!D36</f>
        <v>0</v>
      </c>
      <c r="D68" s="114"/>
      <c r="E68" s="114"/>
      <c r="F68" s="114"/>
      <c r="G68"/>
      <c r="H68"/>
      <c r="I68"/>
      <c r="P68" s="29"/>
      <c r="Q68" s="29"/>
      <c r="R68" s="193"/>
      <c r="S68" s="193"/>
      <c r="T68" s="193"/>
      <c r="U68" s="193"/>
      <c r="V68" s="193"/>
      <c r="W68" s="193"/>
      <c r="X68" s="193"/>
    </row>
    <row r="69" spans="1:24" x14ac:dyDescent="0.2">
      <c r="A69" s="116">
        <f>'[14]Purchased Power Model'!A37</f>
        <v>36831</v>
      </c>
      <c r="B69" s="112">
        <f>'[14]Purchased Power Model'!C37</f>
        <v>496.5</v>
      </c>
      <c r="C69" s="112">
        <f>'[14]Purchased Power Model'!D37</f>
        <v>0</v>
      </c>
      <c r="D69" s="112"/>
      <c r="E69" s="112"/>
      <c r="F69" s="112"/>
      <c r="P69" s="29"/>
      <c r="Q69" s="29"/>
      <c r="R69" s="193"/>
      <c r="S69" s="193"/>
      <c r="T69" s="193"/>
      <c r="U69" s="193"/>
      <c r="V69" s="193"/>
      <c r="W69" s="193"/>
      <c r="X69" s="193"/>
    </row>
    <row r="70" spans="1:24" x14ac:dyDescent="0.2">
      <c r="A70" s="116">
        <f>'[14]Purchased Power Model'!A38</f>
        <v>36861</v>
      </c>
      <c r="B70" s="112">
        <f>'[14]Purchased Power Model'!C38</f>
        <v>833.7</v>
      </c>
      <c r="C70" s="112">
        <f>'[14]Purchased Power Model'!D38</f>
        <v>0</v>
      </c>
      <c r="D70" s="112"/>
      <c r="E70" s="112"/>
      <c r="F70" s="112"/>
      <c r="P70" s="29"/>
      <c r="Q70" s="29"/>
      <c r="R70" s="193"/>
      <c r="S70" s="193"/>
      <c r="T70" s="193"/>
      <c r="U70" s="193"/>
      <c r="V70" s="193"/>
      <c r="W70" s="193"/>
      <c r="X70" s="193"/>
    </row>
    <row r="71" spans="1:24" x14ac:dyDescent="0.2">
      <c r="A71" s="116">
        <f>'[14]Purchased Power Model'!A39</f>
        <v>36892</v>
      </c>
      <c r="B71" s="112">
        <f>'[14]Purchased Power Model'!C39</f>
        <v>738.8</v>
      </c>
      <c r="C71" s="112">
        <f>'[14]Purchased Power Model'!D39</f>
        <v>0</v>
      </c>
      <c r="D71" s="112"/>
      <c r="E71" s="112"/>
      <c r="F71" s="112"/>
      <c r="P71" s="29"/>
      <c r="Q71" s="29"/>
      <c r="R71" s="193"/>
      <c r="S71" s="193"/>
      <c r="T71" s="193"/>
      <c r="U71" s="193"/>
      <c r="V71" s="193"/>
      <c r="W71" s="193"/>
      <c r="X71" s="193"/>
    </row>
    <row r="72" spans="1:24" x14ac:dyDescent="0.2">
      <c r="A72" s="116">
        <f>'[14]Purchased Power Model'!A40</f>
        <v>36925</v>
      </c>
      <c r="B72" s="112">
        <f>'[14]Purchased Power Model'!C40</f>
        <v>667.7</v>
      </c>
      <c r="C72" s="112">
        <f>'[14]Purchased Power Model'!D40</f>
        <v>0</v>
      </c>
      <c r="D72" s="112"/>
      <c r="E72" s="112"/>
      <c r="F72" s="112"/>
      <c r="P72" s="29"/>
      <c r="Q72" s="29"/>
      <c r="R72" s="193"/>
      <c r="S72" s="193"/>
      <c r="T72" s="193"/>
      <c r="U72" s="193"/>
      <c r="V72" s="193"/>
      <c r="W72" s="193"/>
      <c r="X72" s="193"/>
    </row>
    <row r="73" spans="1:24" x14ac:dyDescent="0.2">
      <c r="A73" s="116">
        <f>'[14]Purchased Power Model'!A41</f>
        <v>36958</v>
      </c>
      <c r="B73" s="112">
        <f>'[14]Purchased Power Model'!C41</f>
        <v>645.20000000000005</v>
      </c>
      <c r="C73" s="112">
        <f>'[14]Purchased Power Model'!D41</f>
        <v>0</v>
      </c>
      <c r="D73" s="112"/>
      <c r="E73" s="112"/>
      <c r="F73" s="112"/>
      <c r="P73" s="193"/>
      <c r="Q73" s="193"/>
      <c r="R73" s="193"/>
      <c r="S73" s="193"/>
      <c r="T73" s="193"/>
      <c r="U73" s="193"/>
      <c r="V73" s="193"/>
      <c r="W73" s="193"/>
      <c r="X73" s="193"/>
    </row>
    <row r="74" spans="1:24" x14ac:dyDescent="0.2">
      <c r="A74" s="116">
        <f>'[14]Purchased Power Model'!A42</f>
        <v>36991</v>
      </c>
      <c r="B74" s="112">
        <f>'[14]Purchased Power Model'!C42</f>
        <v>348.3</v>
      </c>
      <c r="C74" s="112">
        <f>'[14]Purchased Power Model'!D42</f>
        <v>0</v>
      </c>
      <c r="D74" s="112"/>
      <c r="E74" s="112"/>
      <c r="F74" s="112"/>
      <c r="P74" s="193"/>
      <c r="Q74" s="193"/>
      <c r="R74" s="193"/>
      <c r="S74" s="193"/>
      <c r="T74" s="193"/>
      <c r="U74" s="193"/>
      <c r="V74" s="193"/>
      <c r="W74" s="193"/>
      <c r="X74" s="193"/>
    </row>
    <row r="75" spans="1:24" x14ac:dyDescent="0.2">
      <c r="A75" s="116">
        <f>'[14]Purchased Power Model'!A43</f>
        <v>37024</v>
      </c>
      <c r="B75" s="112">
        <f>'[14]Purchased Power Model'!C43</f>
        <v>161.5</v>
      </c>
      <c r="C75" s="112">
        <f>'[14]Purchased Power Model'!D43</f>
        <v>6.8</v>
      </c>
      <c r="D75" s="112"/>
      <c r="E75" s="112"/>
      <c r="F75" s="112"/>
      <c r="P75" s="220"/>
      <c r="Q75" s="220"/>
      <c r="R75" s="220"/>
      <c r="S75" s="220"/>
      <c r="T75" s="220"/>
      <c r="U75" s="220"/>
      <c r="V75" s="193"/>
      <c r="W75" s="193"/>
      <c r="X75" s="193"/>
    </row>
    <row r="76" spans="1:24" x14ac:dyDescent="0.2">
      <c r="A76" s="116">
        <f>'[14]Purchased Power Model'!A44</f>
        <v>37057</v>
      </c>
      <c r="B76" s="112">
        <f>'[14]Purchased Power Model'!C44</f>
        <v>65.599999999999994</v>
      </c>
      <c r="C76" s="112">
        <f>'[14]Purchased Power Model'!D44</f>
        <v>39.5</v>
      </c>
      <c r="D76" s="112"/>
      <c r="E76" s="112"/>
      <c r="F76" s="112"/>
      <c r="P76" s="29"/>
      <c r="Q76" s="29"/>
      <c r="R76" s="29"/>
      <c r="S76" s="29"/>
      <c r="T76" s="29"/>
      <c r="U76" s="29"/>
      <c r="V76" s="193"/>
      <c r="W76" s="193"/>
      <c r="X76" s="193"/>
    </row>
    <row r="77" spans="1:24" x14ac:dyDescent="0.2">
      <c r="A77" s="116">
        <f>'[14]Purchased Power Model'!A45</f>
        <v>37090</v>
      </c>
      <c r="B77" s="112">
        <f>'[14]Purchased Power Model'!C45</f>
        <v>34</v>
      </c>
      <c r="C77" s="112">
        <f>'[14]Purchased Power Model'!D45</f>
        <v>37.200000000000003</v>
      </c>
      <c r="D77" s="112"/>
      <c r="E77" s="112"/>
      <c r="F77" s="112"/>
      <c r="P77" s="29"/>
      <c r="Q77" s="29"/>
      <c r="R77" s="29"/>
      <c r="S77" s="29"/>
      <c r="T77" s="29"/>
      <c r="U77" s="29"/>
      <c r="V77" s="193"/>
      <c r="W77" s="193"/>
      <c r="X77" s="193"/>
    </row>
    <row r="78" spans="1:24" x14ac:dyDescent="0.2">
      <c r="A78" s="116">
        <f>'[14]Purchased Power Model'!A46</f>
        <v>37123</v>
      </c>
      <c r="B78" s="112">
        <f>'[14]Purchased Power Model'!C46</f>
        <v>10.199999999999999</v>
      </c>
      <c r="C78" s="112">
        <f>'[14]Purchased Power Model'!D46</f>
        <v>82.7</v>
      </c>
      <c r="D78" s="112"/>
      <c r="E78" s="112"/>
      <c r="F78" s="112"/>
      <c r="P78" s="29"/>
      <c r="Q78" s="29"/>
      <c r="R78" s="29"/>
      <c r="S78" s="29"/>
      <c r="T78" s="29"/>
      <c r="U78" s="29"/>
      <c r="V78" s="193"/>
      <c r="W78" s="193"/>
      <c r="X78" s="193"/>
    </row>
    <row r="79" spans="1:24" x14ac:dyDescent="0.2">
      <c r="A79" s="116">
        <f>'[14]Purchased Power Model'!A47</f>
        <v>37156</v>
      </c>
      <c r="B79" s="112">
        <f>'[14]Purchased Power Model'!C47</f>
        <v>126.7</v>
      </c>
      <c r="C79" s="112">
        <f>'[14]Purchased Power Model'!D47</f>
        <v>16.3</v>
      </c>
      <c r="D79" s="112"/>
      <c r="E79" s="112"/>
      <c r="F79" s="112"/>
      <c r="P79" s="193"/>
      <c r="Q79" s="193"/>
      <c r="R79" s="193"/>
      <c r="S79" s="193"/>
      <c r="T79" s="193"/>
      <c r="U79" s="193"/>
      <c r="V79" s="193"/>
      <c r="W79" s="193"/>
      <c r="X79" s="193"/>
    </row>
    <row r="80" spans="1:24" x14ac:dyDescent="0.2">
      <c r="A80" s="116">
        <f>'[14]Purchased Power Model'!A48</f>
        <v>37189</v>
      </c>
      <c r="B80" s="112">
        <f>'[14]Purchased Power Model'!C48</f>
        <v>295.2</v>
      </c>
      <c r="C80" s="112">
        <f>'[14]Purchased Power Model'!D48</f>
        <v>0</v>
      </c>
      <c r="D80" s="112"/>
      <c r="E80" s="112"/>
      <c r="F80" s="112"/>
      <c r="P80" s="220"/>
      <c r="Q80" s="220"/>
      <c r="R80" s="220"/>
      <c r="S80" s="220"/>
      <c r="T80" s="220"/>
      <c r="U80" s="220"/>
      <c r="V80" s="220"/>
      <c r="W80" s="220"/>
      <c r="X80" s="220"/>
    </row>
    <row r="81" spans="1:24" x14ac:dyDescent="0.2">
      <c r="A81" s="116">
        <f>'[14]Purchased Power Model'!A49</f>
        <v>37222</v>
      </c>
      <c r="B81" s="112">
        <f>'[14]Purchased Power Model'!C49</f>
        <v>371.1</v>
      </c>
      <c r="C81" s="112">
        <f>'[14]Purchased Power Model'!D49</f>
        <v>0</v>
      </c>
      <c r="D81" s="112"/>
      <c r="E81" s="112"/>
      <c r="F81" s="112"/>
      <c r="P81" s="29"/>
      <c r="Q81" s="29"/>
      <c r="R81" s="29"/>
      <c r="S81" s="29"/>
      <c r="T81" s="29"/>
      <c r="U81" s="29"/>
      <c r="V81" s="29"/>
      <c r="W81" s="29"/>
      <c r="X81" s="29"/>
    </row>
    <row r="82" spans="1:24" x14ac:dyDescent="0.2">
      <c r="A82" s="116">
        <f>'[14]Purchased Power Model'!A50</f>
        <v>37255</v>
      </c>
      <c r="B82" s="112">
        <f>'[14]Purchased Power Model'!C50</f>
        <v>574.29999999999995</v>
      </c>
      <c r="C82" s="112">
        <f>'[14]Purchased Power Model'!D50</f>
        <v>0</v>
      </c>
      <c r="D82" s="112"/>
      <c r="E82" s="112"/>
      <c r="F82" s="112"/>
      <c r="P82" s="29"/>
      <c r="Q82" s="29"/>
      <c r="R82" s="29"/>
      <c r="S82" s="29"/>
      <c r="T82" s="29"/>
      <c r="U82" s="29"/>
      <c r="V82" s="29"/>
      <c r="W82" s="29"/>
      <c r="X82" s="29"/>
    </row>
    <row r="83" spans="1:24" x14ac:dyDescent="0.2">
      <c r="A83" s="116">
        <f>'[14]Purchased Power Model'!A51</f>
        <v>37275</v>
      </c>
      <c r="B83" s="112">
        <f>'[14]Purchased Power Model'!C51</f>
        <v>644.29999999999995</v>
      </c>
      <c r="C83" s="112">
        <f>'[14]Purchased Power Model'!D51</f>
        <v>0</v>
      </c>
      <c r="D83" s="112"/>
      <c r="E83" s="112"/>
      <c r="F83" s="112"/>
      <c r="P83" s="193"/>
      <c r="Q83" s="193"/>
      <c r="R83" s="193"/>
      <c r="S83" s="193"/>
      <c r="T83" s="193"/>
      <c r="U83" s="193"/>
      <c r="V83" s="193"/>
      <c r="W83" s="193"/>
      <c r="X83" s="193"/>
    </row>
    <row r="84" spans="1:24" x14ac:dyDescent="0.2">
      <c r="A84" s="116">
        <f>'[14]Purchased Power Model'!A52</f>
        <v>37308</v>
      </c>
      <c r="B84" s="112">
        <f>'[14]Purchased Power Model'!C52</f>
        <v>606.70000000000005</v>
      </c>
      <c r="C84" s="112">
        <f>'[14]Purchased Power Model'!D52</f>
        <v>0</v>
      </c>
      <c r="D84" s="112"/>
      <c r="E84" s="112"/>
      <c r="F84" s="112"/>
    </row>
    <row r="85" spans="1:24" x14ac:dyDescent="0.2">
      <c r="A85" s="116">
        <f>'[14]Purchased Power Model'!A53</f>
        <v>37341</v>
      </c>
      <c r="B85" s="112">
        <f>'[14]Purchased Power Model'!C53</f>
        <v>604.79999999999995</v>
      </c>
      <c r="C85" s="112">
        <f>'[14]Purchased Power Model'!D53</f>
        <v>0</v>
      </c>
      <c r="D85" s="112"/>
      <c r="E85" s="112"/>
      <c r="F85" s="112"/>
    </row>
    <row r="86" spans="1:24" x14ac:dyDescent="0.2">
      <c r="A86" s="116">
        <f>'[14]Purchased Power Model'!A54</f>
        <v>37374</v>
      </c>
      <c r="B86" s="112">
        <f>'[14]Purchased Power Model'!C54</f>
        <v>367.9</v>
      </c>
      <c r="C86" s="112">
        <f>'[14]Purchased Power Model'!D54</f>
        <v>7.3</v>
      </c>
      <c r="D86" s="112"/>
      <c r="E86" s="112"/>
      <c r="F86" s="112"/>
    </row>
    <row r="87" spans="1:24" x14ac:dyDescent="0.2">
      <c r="A87" s="116">
        <f>'[14]Purchased Power Model'!A55</f>
        <v>37407</v>
      </c>
      <c r="B87" s="112">
        <f>'[14]Purchased Power Model'!C55</f>
        <v>281.7</v>
      </c>
      <c r="C87" s="112">
        <f>'[14]Purchased Power Model'!D55</f>
        <v>4.5</v>
      </c>
      <c r="D87" s="112"/>
      <c r="E87" s="112"/>
      <c r="F87" s="112"/>
    </row>
    <row r="88" spans="1:24" x14ac:dyDescent="0.2">
      <c r="A88" s="116">
        <f>'[14]Purchased Power Model'!A56</f>
        <v>37408</v>
      </c>
      <c r="B88" s="112">
        <f>'[14]Purchased Power Model'!C56</f>
        <v>64.400000000000006</v>
      </c>
      <c r="C88" s="112">
        <f>'[14]Purchased Power Model'!D56</f>
        <v>42.9</v>
      </c>
      <c r="D88" s="112"/>
      <c r="E88" s="112"/>
      <c r="F88" s="112"/>
    </row>
    <row r="89" spans="1:24" x14ac:dyDescent="0.2">
      <c r="A89" s="116">
        <f>'[14]Purchased Power Model'!A57</f>
        <v>37440</v>
      </c>
      <c r="B89" s="112">
        <f>'[14]Purchased Power Model'!C57</f>
        <v>11.6</v>
      </c>
      <c r="C89" s="112">
        <f>'[14]Purchased Power Model'!D57</f>
        <v>116.6</v>
      </c>
      <c r="D89" s="112"/>
      <c r="E89" s="112"/>
      <c r="F89" s="112"/>
    </row>
    <row r="90" spans="1:24" x14ac:dyDescent="0.2">
      <c r="A90" s="116">
        <f>'[14]Purchased Power Model'!A58</f>
        <v>37473</v>
      </c>
      <c r="B90" s="112">
        <f>'[14]Purchased Power Model'!C58</f>
        <v>20.3</v>
      </c>
      <c r="C90" s="112">
        <f>'[14]Purchased Power Model'!D58</f>
        <v>66.8</v>
      </c>
      <c r="D90" s="112"/>
      <c r="E90" s="112"/>
      <c r="F90" s="112"/>
    </row>
    <row r="91" spans="1:24" x14ac:dyDescent="0.2">
      <c r="A91" s="116">
        <f>'[14]Purchased Power Model'!A59</f>
        <v>37506</v>
      </c>
      <c r="B91" s="112">
        <f>'[14]Purchased Power Model'!C59</f>
        <v>53.5</v>
      </c>
      <c r="C91" s="112">
        <f>'[14]Purchased Power Model'!D59</f>
        <v>36.9</v>
      </c>
      <c r="D91" s="112"/>
      <c r="E91" s="112"/>
      <c r="F91" s="112"/>
    </row>
    <row r="92" spans="1:24" x14ac:dyDescent="0.2">
      <c r="A92" s="116">
        <f>'[14]Purchased Power Model'!A60</f>
        <v>37539</v>
      </c>
      <c r="B92" s="112">
        <f>'[14]Purchased Power Model'!C60</f>
        <v>357.8</v>
      </c>
      <c r="C92" s="112">
        <f>'[14]Purchased Power Model'!D60</f>
        <v>6.3</v>
      </c>
      <c r="D92" s="112"/>
      <c r="E92" s="112"/>
      <c r="F92" s="112"/>
    </row>
    <row r="93" spans="1:24" x14ac:dyDescent="0.2">
      <c r="A93" s="116">
        <f>'[14]Purchased Power Model'!A61</f>
        <v>37572</v>
      </c>
      <c r="B93" s="112">
        <f>'[14]Purchased Power Model'!C61</f>
        <v>517.4</v>
      </c>
      <c r="C93" s="112">
        <f>'[14]Purchased Power Model'!D61</f>
        <v>0</v>
      </c>
      <c r="D93" s="112"/>
      <c r="E93" s="112"/>
      <c r="F93" s="112"/>
    </row>
    <row r="94" spans="1:24" x14ac:dyDescent="0.2">
      <c r="A94" s="116">
        <f>'[14]Purchased Power Model'!A62</f>
        <v>37605</v>
      </c>
      <c r="B94" s="112">
        <f>'[14]Purchased Power Model'!C62</f>
        <v>678.1</v>
      </c>
      <c r="C94" s="112">
        <f>'[14]Purchased Power Model'!D62</f>
        <v>0</v>
      </c>
      <c r="D94" s="112"/>
      <c r="E94" s="112"/>
      <c r="F94" s="112"/>
    </row>
    <row r="95" spans="1:24" x14ac:dyDescent="0.2">
      <c r="A95" s="176">
        <f>'[14]Purchased Power Model'!A63</f>
        <v>37622</v>
      </c>
      <c r="B95" s="177">
        <f>'[14]Purchased Power Model'!C63</f>
        <v>871.4</v>
      </c>
      <c r="C95" s="177">
        <f>'[14]Purchased Power Model'!D63</f>
        <v>0</v>
      </c>
      <c r="D95" s="112"/>
      <c r="E95" s="112"/>
      <c r="F95" s="112"/>
    </row>
    <row r="96" spans="1:24" x14ac:dyDescent="0.2">
      <c r="A96" s="116">
        <f>'[14]Purchased Power Model'!A64</f>
        <v>37653</v>
      </c>
      <c r="B96" s="112">
        <f>'[14]Purchased Power Model'!C64</f>
        <v>779.6</v>
      </c>
      <c r="C96" s="112">
        <f>'[14]Purchased Power Model'!D64</f>
        <v>0</v>
      </c>
      <c r="D96" s="112"/>
      <c r="E96" s="112"/>
      <c r="F96" s="112"/>
    </row>
    <row r="97" spans="1:6" x14ac:dyDescent="0.2">
      <c r="A97" s="116">
        <f>'[14]Purchased Power Model'!A65</f>
        <v>37681</v>
      </c>
      <c r="B97" s="112">
        <f>'[14]Purchased Power Model'!C65</f>
        <v>629.29999999999995</v>
      </c>
      <c r="C97" s="112">
        <f>'[14]Purchased Power Model'!D65</f>
        <v>0</v>
      </c>
      <c r="D97" s="112"/>
      <c r="E97" s="112"/>
      <c r="F97" s="112"/>
    </row>
    <row r="98" spans="1:6" x14ac:dyDescent="0.2">
      <c r="A98" s="116">
        <f>'[14]Purchased Power Model'!A66</f>
        <v>37712</v>
      </c>
      <c r="B98" s="112">
        <f>'[14]Purchased Power Model'!C66</f>
        <v>425.3</v>
      </c>
      <c r="C98" s="112">
        <f>'[14]Purchased Power Model'!D66</f>
        <v>1</v>
      </c>
      <c r="D98" s="112"/>
      <c r="E98" s="112"/>
      <c r="F98" s="112"/>
    </row>
    <row r="99" spans="1:6" x14ac:dyDescent="0.2">
      <c r="A99" s="116">
        <f>'[14]Purchased Power Model'!A67</f>
        <v>37742</v>
      </c>
      <c r="B99" s="112">
        <f>'[14]Purchased Power Model'!C67</f>
        <v>225.1</v>
      </c>
      <c r="C99" s="112">
        <f>'[14]Purchased Power Model'!D67</f>
        <v>0</v>
      </c>
      <c r="D99" s="112"/>
      <c r="E99" s="112"/>
      <c r="F99" s="112"/>
    </row>
    <row r="100" spans="1:6" x14ac:dyDescent="0.2">
      <c r="A100" s="116">
        <f>'[14]Purchased Power Model'!A68</f>
        <v>37773</v>
      </c>
      <c r="B100" s="112">
        <f>'[14]Purchased Power Model'!C68</f>
        <v>65.400000000000006</v>
      </c>
      <c r="C100" s="112">
        <f>'[14]Purchased Power Model'!D68</f>
        <v>28</v>
      </c>
      <c r="D100" s="112"/>
      <c r="E100" s="112"/>
      <c r="F100" s="112"/>
    </row>
    <row r="101" spans="1:6" x14ac:dyDescent="0.2">
      <c r="A101" s="116">
        <f>'[14]Purchased Power Model'!A69</f>
        <v>37803</v>
      </c>
      <c r="B101" s="112">
        <f>'[14]Purchased Power Model'!C69</f>
        <v>14.2</v>
      </c>
      <c r="C101" s="112">
        <f>'[14]Purchased Power Model'!D69</f>
        <v>51</v>
      </c>
      <c r="D101" s="112"/>
      <c r="E101" s="112"/>
      <c r="F101" s="112"/>
    </row>
    <row r="102" spans="1:6" x14ac:dyDescent="0.2">
      <c r="A102" s="116">
        <f>'[14]Purchased Power Model'!A70</f>
        <v>37834</v>
      </c>
      <c r="B102" s="112">
        <f>'[14]Purchased Power Model'!C70</f>
        <v>14.9</v>
      </c>
      <c r="C102" s="112">
        <f>'[14]Purchased Power Model'!D70</f>
        <v>65.7</v>
      </c>
      <c r="D102" s="112"/>
      <c r="E102" s="112"/>
      <c r="F102" s="112"/>
    </row>
    <row r="103" spans="1:6" x14ac:dyDescent="0.2">
      <c r="A103" s="116">
        <f>'[14]Purchased Power Model'!A71</f>
        <v>37865</v>
      </c>
      <c r="B103" s="112">
        <f>'[14]Purchased Power Model'!C71</f>
        <v>107.9</v>
      </c>
      <c r="C103" s="112">
        <f>'[14]Purchased Power Model'!D71</f>
        <v>5.0999999999999996</v>
      </c>
      <c r="D103" s="112"/>
      <c r="E103" s="112"/>
      <c r="F103" s="112"/>
    </row>
    <row r="104" spans="1:6" x14ac:dyDescent="0.2">
      <c r="A104" s="116">
        <f>'[14]Purchased Power Model'!A72</f>
        <v>37895</v>
      </c>
      <c r="B104" s="112">
        <f>'[14]Purchased Power Model'!C72</f>
        <v>341.1</v>
      </c>
      <c r="C104" s="112">
        <f>'[14]Purchased Power Model'!D72</f>
        <v>0</v>
      </c>
      <c r="D104" s="112"/>
      <c r="E104" s="112"/>
      <c r="F104" s="112"/>
    </row>
    <row r="105" spans="1:6" x14ac:dyDescent="0.2">
      <c r="A105" s="116">
        <f>'[14]Purchased Power Model'!A73</f>
        <v>37926</v>
      </c>
      <c r="B105" s="112">
        <f>'[14]Purchased Power Model'!C73</f>
        <v>444.3</v>
      </c>
      <c r="C105" s="112">
        <f>'[14]Purchased Power Model'!D73</f>
        <v>0</v>
      </c>
      <c r="D105" s="112"/>
      <c r="E105" s="112"/>
      <c r="F105" s="112"/>
    </row>
    <row r="106" spans="1:6" x14ac:dyDescent="0.2">
      <c r="A106" s="116">
        <f>'[14]Purchased Power Model'!A74</f>
        <v>37956</v>
      </c>
      <c r="B106" s="112">
        <f>'[14]Purchased Power Model'!C74</f>
        <v>634.79999999999995</v>
      </c>
      <c r="C106" s="112">
        <f>'[14]Purchased Power Model'!D74</f>
        <v>0</v>
      </c>
      <c r="D106" s="112"/>
      <c r="E106" s="112"/>
      <c r="F106" s="112"/>
    </row>
    <row r="107" spans="1:6" x14ac:dyDescent="0.2">
      <c r="A107" s="116">
        <f>'[14]Purchased Power Model'!A75</f>
        <v>37987</v>
      </c>
      <c r="B107" s="112">
        <f>'[14]Purchased Power Model'!C75</f>
        <v>904</v>
      </c>
      <c r="C107" s="112">
        <f>'[14]Purchased Power Model'!D75</f>
        <v>0</v>
      </c>
      <c r="D107" s="112"/>
      <c r="E107" s="112"/>
      <c r="F107" s="112"/>
    </row>
    <row r="108" spans="1:6" x14ac:dyDescent="0.2">
      <c r="A108" s="116">
        <f>'[14]Purchased Power Model'!A76</f>
        <v>38018</v>
      </c>
      <c r="B108" s="112">
        <f>'[14]Purchased Power Model'!C76</f>
        <v>696.9</v>
      </c>
      <c r="C108" s="112">
        <f>'[14]Purchased Power Model'!D76</f>
        <v>0</v>
      </c>
      <c r="D108" s="112"/>
      <c r="E108" s="112"/>
      <c r="F108" s="112"/>
    </row>
    <row r="109" spans="1:6" x14ac:dyDescent="0.2">
      <c r="A109" s="116">
        <f>'[14]Purchased Power Model'!A77</f>
        <v>38047</v>
      </c>
      <c r="B109" s="112">
        <f>'[14]Purchased Power Model'!C77</f>
        <v>567.29999999999995</v>
      </c>
      <c r="C109" s="112">
        <f>'[14]Purchased Power Model'!D77</f>
        <v>0</v>
      </c>
      <c r="D109" s="112"/>
      <c r="E109" s="112"/>
      <c r="F109" s="112"/>
    </row>
    <row r="110" spans="1:6" x14ac:dyDescent="0.2">
      <c r="A110" s="116">
        <f>'[14]Purchased Power Model'!A78</f>
        <v>38078</v>
      </c>
      <c r="B110" s="112">
        <f>'[14]Purchased Power Model'!C78</f>
        <v>386.9</v>
      </c>
      <c r="C110" s="112">
        <f>'[14]Purchased Power Model'!D78</f>
        <v>0</v>
      </c>
      <c r="D110" s="112"/>
      <c r="E110" s="112"/>
      <c r="F110" s="112"/>
    </row>
    <row r="111" spans="1:6" x14ac:dyDescent="0.2">
      <c r="A111" s="116">
        <f>'[14]Purchased Power Model'!A79</f>
        <v>38108</v>
      </c>
      <c r="B111" s="112">
        <f>'[14]Purchased Power Model'!C79</f>
        <v>207.2</v>
      </c>
      <c r="C111" s="112">
        <f>'[14]Purchased Power Model'!D79</f>
        <v>6.6</v>
      </c>
      <c r="D111" s="112"/>
      <c r="E111" s="112"/>
      <c r="F111" s="112"/>
    </row>
    <row r="112" spans="1:6" x14ac:dyDescent="0.2">
      <c r="A112" s="116">
        <f>'[14]Purchased Power Model'!A80</f>
        <v>38139</v>
      </c>
      <c r="B112" s="112">
        <f>'[14]Purchased Power Model'!C80</f>
        <v>88.6</v>
      </c>
      <c r="C112" s="112">
        <f>'[14]Purchased Power Model'!D80</f>
        <v>22.4</v>
      </c>
      <c r="D112" s="112"/>
      <c r="E112" s="112"/>
      <c r="F112" s="112"/>
    </row>
    <row r="113" spans="1:6" x14ac:dyDescent="0.2">
      <c r="A113" s="116">
        <f>'[14]Purchased Power Model'!A81</f>
        <v>38169</v>
      </c>
      <c r="B113" s="112">
        <f>'[14]Purchased Power Model'!C81</f>
        <v>25.7</v>
      </c>
      <c r="C113" s="112">
        <f>'[14]Purchased Power Model'!D81</f>
        <v>41.1</v>
      </c>
      <c r="D113" s="112"/>
      <c r="E113" s="112"/>
      <c r="F113" s="112"/>
    </row>
    <row r="114" spans="1:6" x14ac:dyDescent="0.2">
      <c r="A114" s="116">
        <f>'[14]Purchased Power Model'!A82</f>
        <v>38200</v>
      </c>
      <c r="B114" s="112">
        <f>'[14]Purchased Power Model'!C82</f>
        <v>66</v>
      </c>
      <c r="C114" s="112">
        <f>'[14]Purchased Power Model'!D82</f>
        <v>23.8</v>
      </c>
      <c r="D114" s="112"/>
      <c r="E114" s="112"/>
      <c r="F114" s="112"/>
    </row>
    <row r="115" spans="1:6" x14ac:dyDescent="0.2">
      <c r="A115" s="116">
        <f>'[14]Purchased Power Model'!A83</f>
        <v>38231</v>
      </c>
      <c r="B115" s="112">
        <f>'[14]Purchased Power Model'!C83</f>
        <v>72.3</v>
      </c>
      <c r="C115" s="112">
        <f>'[14]Purchased Power Model'!D83</f>
        <v>9.1999999999999993</v>
      </c>
      <c r="D115" s="112"/>
      <c r="E115" s="112"/>
      <c r="F115" s="112"/>
    </row>
    <row r="116" spans="1:6" x14ac:dyDescent="0.2">
      <c r="A116" s="116">
        <f>'[14]Purchased Power Model'!A84</f>
        <v>38261</v>
      </c>
      <c r="B116" s="112">
        <f>'[14]Purchased Power Model'!C84</f>
        <v>297.60000000000002</v>
      </c>
      <c r="C116" s="112">
        <f>'[14]Purchased Power Model'!D84</f>
        <v>0</v>
      </c>
      <c r="D116" s="112"/>
      <c r="E116" s="112"/>
      <c r="F116" s="112"/>
    </row>
    <row r="117" spans="1:6" x14ac:dyDescent="0.2">
      <c r="A117" s="116">
        <f>'[14]Purchased Power Model'!A85</f>
        <v>38292</v>
      </c>
      <c r="B117" s="112">
        <f>'[14]Purchased Power Model'!C85</f>
        <v>452.1</v>
      </c>
      <c r="C117" s="112">
        <f>'[14]Purchased Power Model'!D85</f>
        <v>0</v>
      </c>
      <c r="D117" s="112"/>
      <c r="E117" s="112"/>
      <c r="F117" s="112"/>
    </row>
    <row r="118" spans="1:6" x14ac:dyDescent="0.2">
      <c r="A118" s="116">
        <f>'[14]Purchased Power Model'!A86</f>
        <v>38322</v>
      </c>
      <c r="B118" s="112">
        <f>'[14]Purchased Power Model'!C86</f>
        <v>736</v>
      </c>
      <c r="C118" s="112">
        <f>'[14]Purchased Power Model'!D86</f>
        <v>0</v>
      </c>
      <c r="D118" s="112"/>
      <c r="E118" s="112"/>
      <c r="F118" s="112"/>
    </row>
    <row r="119" spans="1:6" x14ac:dyDescent="0.2">
      <c r="A119" s="116">
        <f>'[14]Purchased Power Model'!A87</f>
        <v>38353</v>
      </c>
      <c r="B119" s="112">
        <f>'[14]Purchased Power Model'!C87</f>
        <v>837.6</v>
      </c>
      <c r="C119" s="112">
        <f>'[14]Purchased Power Model'!D87</f>
        <v>0</v>
      </c>
      <c r="D119" s="112"/>
      <c r="E119" s="112"/>
      <c r="F119" s="112"/>
    </row>
    <row r="120" spans="1:6" x14ac:dyDescent="0.2">
      <c r="A120" s="116">
        <f>'[14]Purchased Power Model'!A88</f>
        <v>38384</v>
      </c>
      <c r="B120" s="112">
        <f>'[14]Purchased Power Model'!C88</f>
        <v>676.6</v>
      </c>
      <c r="C120" s="112">
        <f>'[14]Purchased Power Model'!D88</f>
        <v>0</v>
      </c>
      <c r="D120" s="112"/>
      <c r="E120" s="112"/>
      <c r="F120" s="112"/>
    </row>
    <row r="121" spans="1:6" x14ac:dyDescent="0.2">
      <c r="A121" s="116">
        <f>'[14]Purchased Power Model'!A89</f>
        <v>38412</v>
      </c>
      <c r="B121" s="112">
        <f>'[14]Purchased Power Model'!C89</f>
        <v>674.5</v>
      </c>
      <c r="C121" s="112">
        <f>'[14]Purchased Power Model'!D89</f>
        <v>0</v>
      </c>
      <c r="D121" s="112"/>
      <c r="E121" s="112"/>
      <c r="F121" s="112"/>
    </row>
    <row r="122" spans="1:6" x14ac:dyDescent="0.2">
      <c r="A122" s="116">
        <f>'[14]Purchased Power Model'!A90</f>
        <v>38443</v>
      </c>
      <c r="B122" s="112">
        <f>'[14]Purchased Power Model'!C90</f>
        <v>377</v>
      </c>
      <c r="C122" s="112">
        <f>'[14]Purchased Power Model'!D90</f>
        <v>0</v>
      </c>
      <c r="D122" s="112"/>
      <c r="E122" s="112"/>
      <c r="F122" s="112"/>
    </row>
    <row r="123" spans="1:6" x14ac:dyDescent="0.2">
      <c r="A123" s="116">
        <f>'[14]Purchased Power Model'!A91</f>
        <v>38473</v>
      </c>
      <c r="B123" s="112">
        <f>'[14]Purchased Power Model'!C91</f>
        <v>269.3</v>
      </c>
      <c r="C123" s="112">
        <f>'[14]Purchased Power Model'!D91</f>
        <v>0</v>
      </c>
      <c r="D123" s="112"/>
      <c r="E123" s="112"/>
      <c r="F123" s="112"/>
    </row>
    <row r="124" spans="1:6" x14ac:dyDescent="0.2">
      <c r="A124" s="116">
        <f>'[14]Purchased Power Model'!A92</f>
        <v>38504</v>
      </c>
      <c r="B124" s="112">
        <f>'[14]Purchased Power Model'!C92</f>
        <v>23</v>
      </c>
      <c r="C124" s="112">
        <f>'[14]Purchased Power Model'!D92</f>
        <v>95</v>
      </c>
      <c r="D124" s="112"/>
      <c r="E124" s="112"/>
      <c r="F124" s="112"/>
    </row>
    <row r="125" spans="1:6" x14ac:dyDescent="0.2">
      <c r="A125" s="116">
        <f>'[14]Purchased Power Model'!A93</f>
        <v>38534</v>
      </c>
      <c r="B125" s="112">
        <f>'[14]Purchased Power Model'!C93</f>
        <v>9.5</v>
      </c>
      <c r="C125" s="112">
        <f>'[14]Purchased Power Model'!D93</f>
        <v>98.5</v>
      </c>
      <c r="D125" s="112"/>
      <c r="E125" s="112"/>
      <c r="F125" s="112"/>
    </row>
    <row r="126" spans="1:6" x14ac:dyDescent="0.2">
      <c r="A126" s="116">
        <f>'[14]Purchased Power Model'!A94</f>
        <v>38565</v>
      </c>
      <c r="B126" s="112">
        <f>'[14]Purchased Power Model'!C94</f>
        <v>13</v>
      </c>
      <c r="C126" s="112">
        <f>'[14]Purchased Power Model'!D94</f>
        <v>62.5</v>
      </c>
      <c r="D126" s="112"/>
      <c r="E126" s="112"/>
      <c r="F126" s="112"/>
    </row>
    <row r="127" spans="1:6" x14ac:dyDescent="0.2">
      <c r="A127" s="116">
        <f>'[14]Purchased Power Model'!A95</f>
        <v>38596</v>
      </c>
      <c r="B127" s="112">
        <f>'[14]Purchased Power Model'!C95</f>
        <v>68.099999999999994</v>
      </c>
      <c r="C127" s="112">
        <f>'[14]Purchased Power Model'!D95</f>
        <v>17.3</v>
      </c>
      <c r="D127" s="112"/>
      <c r="E127" s="112"/>
      <c r="F127" s="112"/>
    </row>
    <row r="128" spans="1:6" x14ac:dyDescent="0.2">
      <c r="A128" s="116">
        <f>'[14]Purchased Power Model'!A96</f>
        <v>38626</v>
      </c>
      <c r="B128" s="112">
        <f>'[14]Purchased Power Model'!C96</f>
        <v>274</v>
      </c>
      <c r="C128" s="112">
        <f>'[14]Purchased Power Model'!D96</f>
        <v>5</v>
      </c>
      <c r="D128" s="112"/>
      <c r="E128" s="112"/>
      <c r="F128" s="112"/>
    </row>
    <row r="129" spans="1:6" x14ac:dyDescent="0.2">
      <c r="A129" s="116">
        <f>'[14]Purchased Power Model'!A97</f>
        <v>38657</v>
      </c>
      <c r="B129" s="112">
        <f>'[14]Purchased Power Model'!C97</f>
        <v>445.4</v>
      </c>
      <c r="C129" s="112">
        <f>'[14]Purchased Power Model'!D97</f>
        <v>0</v>
      </c>
      <c r="D129" s="112"/>
      <c r="E129" s="112"/>
      <c r="F129" s="112"/>
    </row>
    <row r="130" spans="1:6" x14ac:dyDescent="0.2">
      <c r="A130" s="116">
        <f>'[14]Purchased Power Model'!A98</f>
        <v>38687</v>
      </c>
      <c r="B130" s="112">
        <f>'[14]Purchased Power Model'!C98</f>
        <v>724.7</v>
      </c>
      <c r="C130" s="112">
        <f>'[14]Purchased Power Model'!D98</f>
        <v>0</v>
      </c>
      <c r="D130" s="112"/>
      <c r="E130" s="112"/>
      <c r="F130" s="112"/>
    </row>
    <row r="131" spans="1:6" x14ac:dyDescent="0.2">
      <c r="A131" s="116">
        <f>'[14]Purchased Power Model'!A99</f>
        <v>38718</v>
      </c>
      <c r="B131" s="112">
        <f>'[14]Purchased Power Model'!C99</f>
        <v>626.6</v>
      </c>
      <c r="C131" s="112">
        <f>'[14]Purchased Power Model'!D99</f>
        <v>0</v>
      </c>
      <c r="D131" s="112"/>
      <c r="E131" s="112"/>
      <c r="F131" s="112"/>
    </row>
    <row r="132" spans="1:6" x14ac:dyDescent="0.2">
      <c r="A132" s="116">
        <f>'[14]Purchased Power Model'!A100</f>
        <v>38749</v>
      </c>
      <c r="B132" s="112">
        <f>'[14]Purchased Power Model'!C100</f>
        <v>684.8</v>
      </c>
      <c r="C132" s="112">
        <f>'[14]Purchased Power Model'!D100</f>
        <v>0</v>
      </c>
      <c r="D132" s="112"/>
      <c r="E132" s="112"/>
      <c r="F132" s="112"/>
    </row>
    <row r="133" spans="1:6" x14ac:dyDescent="0.2">
      <c r="A133" s="116">
        <f>'[14]Purchased Power Model'!A101</f>
        <v>38777</v>
      </c>
      <c r="B133" s="112">
        <f>'[14]Purchased Power Model'!C101</f>
        <v>597.79999999999995</v>
      </c>
      <c r="C133" s="112">
        <f>'[14]Purchased Power Model'!D101</f>
        <v>0</v>
      </c>
      <c r="D133" s="112"/>
      <c r="E133" s="112"/>
      <c r="F133" s="112"/>
    </row>
    <row r="134" spans="1:6" x14ac:dyDescent="0.2">
      <c r="A134" s="116">
        <f>'[14]Purchased Power Model'!A102</f>
        <v>38808</v>
      </c>
      <c r="B134" s="112">
        <f>'[14]Purchased Power Model'!C102</f>
        <v>351.6</v>
      </c>
      <c r="C134" s="112">
        <f>'[14]Purchased Power Model'!D102</f>
        <v>0</v>
      </c>
      <c r="D134" s="112"/>
      <c r="E134" s="112"/>
      <c r="F134" s="112"/>
    </row>
    <row r="135" spans="1:6" x14ac:dyDescent="0.2">
      <c r="A135" s="116">
        <f>'[14]Purchased Power Model'!A103</f>
        <v>38838</v>
      </c>
      <c r="B135" s="112">
        <f>'[14]Purchased Power Model'!C103</f>
        <v>185.4</v>
      </c>
      <c r="C135" s="112">
        <f>'[14]Purchased Power Model'!D103</f>
        <v>14.1</v>
      </c>
      <c r="D135" s="112"/>
      <c r="E135" s="112"/>
      <c r="F135" s="112"/>
    </row>
    <row r="136" spans="1:6" x14ac:dyDescent="0.2">
      <c r="A136" s="116">
        <f>'[14]Purchased Power Model'!A104</f>
        <v>38869</v>
      </c>
      <c r="B136" s="112">
        <f>'[14]Purchased Power Model'!C104</f>
        <v>49.6</v>
      </c>
      <c r="C136" s="112">
        <f>'[14]Purchased Power Model'!D104</f>
        <v>34.200000000000003</v>
      </c>
      <c r="D136" s="112"/>
      <c r="E136" s="112"/>
      <c r="F136" s="112"/>
    </row>
    <row r="137" spans="1:6" x14ac:dyDescent="0.2">
      <c r="A137" s="116">
        <f>'[14]Purchased Power Model'!A105</f>
        <v>38899</v>
      </c>
      <c r="B137" s="112">
        <f>'[14]Purchased Power Model'!C105</f>
        <v>6.3</v>
      </c>
      <c r="C137" s="112">
        <f>'[14]Purchased Power Model'!D105</f>
        <v>101.9</v>
      </c>
      <c r="D137" s="112"/>
      <c r="E137" s="112"/>
      <c r="F137" s="112"/>
    </row>
    <row r="138" spans="1:6" x14ac:dyDescent="0.2">
      <c r="A138" s="116">
        <f>'[14]Purchased Power Model'!A106</f>
        <v>38930</v>
      </c>
      <c r="B138" s="112">
        <f>'[14]Purchased Power Model'!C106</f>
        <v>28</v>
      </c>
      <c r="C138" s="112">
        <f>'[14]Purchased Power Model'!D106</f>
        <v>51.8</v>
      </c>
      <c r="D138" s="112"/>
      <c r="E138" s="112"/>
      <c r="F138" s="112"/>
    </row>
    <row r="139" spans="1:6" x14ac:dyDescent="0.2">
      <c r="A139" s="116">
        <f>'[14]Purchased Power Model'!A107</f>
        <v>38961</v>
      </c>
      <c r="B139" s="112">
        <f>'[14]Purchased Power Model'!C107</f>
        <v>137.5</v>
      </c>
      <c r="C139" s="112">
        <f>'[14]Purchased Power Model'!D107</f>
        <v>2.2999999999999998</v>
      </c>
      <c r="D139" s="112"/>
      <c r="E139" s="112"/>
      <c r="F139" s="112"/>
    </row>
    <row r="140" spans="1:6" x14ac:dyDescent="0.2">
      <c r="A140" s="116">
        <f>'[14]Purchased Power Model'!A108</f>
        <v>38991</v>
      </c>
      <c r="B140" s="112">
        <f>'[14]Purchased Power Model'!C108</f>
        <v>331.3</v>
      </c>
      <c r="C140" s="112">
        <f>'[14]Purchased Power Model'!D108</f>
        <v>0.3</v>
      </c>
      <c r="D140" s="112"/>
      <c r="E140" s="112"/>
      <c r="F140" s="112"/>
    </row>
    <row r="141" spans="1:6" x14ac:dyDescent="0.2">
      <c r="A141" s="116">
        <f>'[14]Purchased Power Model'!A109</f>
        <v>39022</v>
      </c>
      <c r="B141" s="112">
        <f>'[14]Purchased Power Model'!C109</f>
        <v>418.4</v>
      </c>
      <c r="C141" s="112">
        <f>'[14]Purchased Power Model'!D109</f>
        <v>0</v>
      </c>
      <c r="D141" s="112"/>
      <c r="E141" s="112"/>
      <c r="F141" s="112"/>
    </row>
    <row r="142" spans="1:6" x14ac:dyDescent="0.2">
      <c r="A142" s="116">
        <f>'[14]Purchased Power Model'!A110</f>
        <v>39052</v>
      </c>
      <c r="B142" s="112">
        <f>'[14]Purchased Power Model'!C110</f>
        <v>548</v>
      </c>
      <c r="C142" s="112">
        <f>'[14]Purchased Power Model'!D110</f>
        <v>0</v>
      </c>
      <c r="D142" s="112"/>
      <c r="E142" s="112"/>
      <c r="F142" s="112"/>
    </row>
    <row r="143" spans="1:6" x14ac:dyDescent="0.2">
      <c r="A143" s="116">
        <f>'[14]Purchased Power Model'!A111</f>
        <v>39083</v>
      </c>
      <c r="B143" s="112">
        <f>'[14]Purchased Power Model'!C111</f>
        <v>697.4</v>
      </c>
      <c r="C143" s="112">
        <f>'[14]Purchased Power Model'!D111</f>
        <v>0</v>
      </c>
      <c r="D143" s="112"/>
      <c r="E143" s="112"/>
      <c r="F143" s="112"/>
    </row>
    <row r="144" spans="1:6" x14ac:dyDescent="0.2">
      <c r="A144" s="116">
        <f>'[14]Purchased Power Model'!A112</f>
        <v>39114</v>
      </c>
      <c r="B144" s="112">
        <f>'[14]Purchased Power Model'!C112</f>
        <v>781</v>
      </c>
      <c r="C144" s="112">
        <f>'[14]Purchased Power Model'!D112</f>
        <v>0</v>
      </c>
      <c r="D144" s="112"/>
      <c r="E144" s="112"/>
      <c r="F144" s="112"/>
    </row>
    <row r="145" spans="1:6" x14ac:dyDescent="0.2">
      <c r="A145" s="116">
        <f>'[14]Purchased Power Model'!A113</f>
        <v>39142</v>
      </c>
      <c r="B145" s="112">
        <f>'[14]Purchased Power Model'!C113</f>
        <v>594.79999999999995</v>
      </c>
      <c r="C145" s="112">
        <f>'[14]Purchased Power Model'!D113</f>
        <v>0</v>
      </c>
      <c r="D145" s="112"/>
      <c r="E145" s="112"/>
      <c r="F145" s="112"/>
    </row>
    <row r="146" spans="1:6" x14ac:dyDescent="0.2">
      <c r="A146" s="116">
        <f>'[14]Purchased Power Model'!A114</f>
        <v>39173</v>
      </c>
      <c r="B146" s="112">
        <f>'[14]Purchased Power Model'!C114</f>
        <v>428</v>
      </c>
      <c r="C146" s="112">
        <f>'[14]Purchased Power Model'!D114</f>
        <v>0</v>
      </c>
      <c r="D146" s="112"/>
      <c r="E146" s="112"/>
      <c r="F146" s="112"/>
    </row>
    <row r="147" spans="1:6" x14ac:dyDescent="0.2">
      <c r="A147" s="116">
        <f>'[14]Purchased Power Model'!A115</f>
        <v>39203</v>
      </c>
      <c r="B147" s="112">
        <f>'[14]Purchased Power Model'!C115</f>
        <v>174.9</v>
      </c>
      <c r="C147" s="112">
        <f>'[14]Purchased Power Model'!D115</f>
        <v>12.1</v>
      </c>
      <c r="D147" s="112"/>
      <c r="E147" s="112"/>
      <c r="F147" s="112"/>
    </row>
    <row r="148" spans="1:6" x14ac:dyDescent="0.2">
      <c r="A148" s="116">
        <f>'[14]Purchased Power Model'!A116</f>
        <v>39234</v>
      </c>
      <c r="B148" s="112">
        <f>'[14]Purchased Power Model'!C116</f>
        <v>45.8</v>
      </c>
      <c r="C148" s="112">
        <f>'[14]Purchased Power Model'!D116</f>
        <v>48.2</v>
      </c>
      <c r="D148" s="112"/>
      <c r="E148" s="112"/>
      <c r="F148" s="112"/>
    </row>
    <row r="149" spans="1:6" x14ac:dyDescent="0.2">
      <c r="A149" s="116">
        <f>'[14]Purchased Power Model'!A117</f>
        <v>39264</v>
      </c>
      <c r="B149" s="112">
        <f>'[14]Purchased Power Model'!C117</f>
        <v>27.6</v>
      </c>
      <c r="C149" s="112">
        <f>'[14]Purchased Power Model'!D117</f>
        <v>56.6</v>
      </c>
      <c r="D149" s="112"/>
      <c r="E149" s="112"/>
      <c r="F149" s="112"/>
    </row>
    <row r="150" spans="1:6" x14ac:dyDescent="0.2">
      <c r="A150" s="116">
        <f>'[14]Purchased Power Model'!A118</f>
        <v>39295</v>
      </c>
      <c r="B150" s="112">
        <f>'[14]Purchased Power Model'!C118</f>
        <v>24.6</v>
      </c>
      <c r="C150" s="112">
        <f>'[14]Purchased Power Model'!D118</f>
        <v>66.7</v>
      </c>
      <c r="D150" s="112"/>
      <c r="E150" s="112"/>
      <c r="F150" s="112"/>
    </row>
    <row r="151" spans="1:6" x14ac:dyDescent="0.2">
      <c r="A151" s="116">
        <f>'[14]Purchased Power Model'!A119</f>
        <v>39326</v>
      </c>
      <c r="B151" s="112">
        <f>'[14]Purchased Power Model'!C119</f>
        <v>91.5</v>
      </c>
      <c r="C151" s="112">
        <f>'[14]Purchased Power Model'!D119</f>
        <v>21.6</v>
      </c>
      <c r="D151" s="112"/>
      <c r="E151" s="112"/>
      <c r="F151" s="112"/>
    </row>
    <row r="152" spans="1:6" x14ac:dyDescent="0.2">
      <c r="A152" s="116">
        <f>'[14]Purchased Power Model'!A120</f>
        <v>39356</v>
      </c>
      <c r="B152" s="112">
        <f>'[14]Purchased Power Model'!C120</f>
        <v>193.4</v>
      </c>
      <c r="C152" s="112">
        <f>'[14]Purchased Power Model'!D120</f>
        <v>8.3000000000000007</v>
      </c>
      <c r="D152" s="112"/>
      <c r="E152" s="112"/>
      <c r="F152" s="112"/>
    </row>
    <row r="153" spans="1:6" x14ac:dyDescent="0.2">
      <c r="A153" s="116">
        <f>'[14]Purchased Power Model'!A121</f>
        <v>39387</v>
      </c>
      <c r="B153" s="112">
        <f>'[14]Purchased Power Model'!C121</f>
        <v>528.20000000000005</v>
      </c>
      <c r="C153" s="112">
        <f>'[14]Purchased Power Model'!D121</f>
        <v>0</v>
      </c>
      <c r="D153" s="112"/>
      <c r="E153" s="112"/>
      <c r="F153" s="112"/>
    </row>
    <row r="154" spans="1:6" x14ac:dyDescent="0.2">
      <c r="A154" s="116">
        <f>'[14]Purchased Power Model'!A122</f>
        <v>39417</v>
      </c>
      <c r="B154" s="112">
        <f>'[14]Purchased Power Model'!C122</f>
        <v>672.6</v>
      </c>
      <c r="C154" s="112">
        <f>'[14]Purchased Power Model'!D122</f>
        <v>0</v>
      </c>
      <c r="D154" s="112"/>
      <c r="E154" s="112"/>
      <c r="F154" s="112"/>
    </row>
    <row r="155" spans="1:6" x14ac:dyDescent="0.2">
      <c r="A155" s="116">
        <f>'[14]Purchased Power Model'!A123</f>
        <v>39448</v>
      </c>
      <c r="B155" s="112">
        <f>'[14]Purchased Power Model'!C123</f>
        <v>610</v>
      </c>
      <c r="C155" s="112">
        <f>'[14]Purchased Power Model'!D123</f>
        <v>0</v>
      </c>
      <c r="D155" s="112"/>
      <c r="E155" s="112"/>
      <c r="F155" s="112"/>
    </row>
    <row r="156" spans="1:6" x14ac:dyDescent="0.2">
      <c r="A156" s="116">
        <f>'[14]Purchased Power Model'!A124</f>
        <v>39479</v>
      </c>
      <c r="B156" s="112">
        <f>'[14]Purchased Power Model'!C124</f>
        <v>735.4</v>
      </c>
      <c r="C156" s="112">
        <f>'[14]Purchased Power Model'!D124</f>
        <v>0</v>
      </c>
      <c r="D156" s="112"/>
      <c r="E156" s="112"/>
      <c r="F156" s="112"/>
    </row>
    <row r="157" spans="1:6" x14ac:dyDescent="0.2">
      <c r="A157" s="116">
        <f>'[14]Purchased Power Model'!A125</f>
        <v>39508</v>
      </c>
      <c r="B157" s="112">
        <f>'[14]Purchased Power Model'!C125</f>
        <v>689.8</v>
      </c>
      <c r="C157" s="112">
        <f>'[14]Purchased Power Model'!D125</f>
        <v>0</v>
      </c>
      <c r="D157" s="112"/>
      <c r="E157" s="112"/>
      <c r="F157" s="112"/>
    </row>
    <row r="158" spans="1:6" x14ac:dyDescent="0.2">
      <c r="A158" s="116">
        <f>'[14]Purchased Power Model'!A126</f>
        <v>39539</v>
      </c>
      <c r="B158" s="112">
        <f>'[14]Purchased Power Model'!C126</f>
        <v>318.10000000000002</v>
      </c>
      <c r="C158" s="112">
        <f>'[14]Purchased Power Model'!D126</f>
        <v>0</v>
      </c>
      <c r="D158" s="112"/>
      <c r="E158" s="112"/>
      <c r="F158" s="112"/>
    </row>
    <row r="159" spans="1:6" x14ac:dyDescent="0.2">
      <c r="A159" s="116">
        <f>'[14]Purchased Power Model'!A127</f>
        <v>39569</v>
      </c>
      <c r="B159" s="112">
        <f>'[14]Purchased Power Model'!C127</f>
        <v>234.4</v>
      </c>
      <c r="C159" s="112">
        <f>'[14]Purchased Power Model'!D127</f>
        <v>0</v>
      </c>
      <c r="D159" s="112"/>
      <c r="E159" s="112"/>
      <c r="F159" s="112"/>
    </row>
    <row r="160" spans="1:6" x14ac:dyDescent="0.2">
      <c r="A160" s="116">
        <f>'[14]Purchased Power Model'!A128</f>
        <v>39600</v>
      </c>
      <c r="B160" s="112">
        <f>'[14]Purchased Power Model'!C128</f>
        <v>45.8</v>
      </c>
      <c r="C160" s="112">
        <f>'[14]Purchased Power Model'!D128</f>
        <v>27.5</v>
      </c>
      <c r="D160" s="112"/>
      <c r="E160" s="112"/>
      <c r="F160" s="112"/>
    </row>
    <row r="161" spans="1:6" x14ac:dyDescent="0.2">
      <c r="A161" s="116">
        <f>'[14]Purchased Power Model'!A129</f>
        <v>39630</v>
      </c>
      <c r="B161" s="112">
        <f>'[14]Purchased Power Model'!C129</f>
        <v>10.1</v>
      </c>
      <c r="C161" s="112">
        <f>'[14]Purchased Power Model'!D129</f>
        <v>58.2</v>
      </c>
      <c r="D161" s="112"/>
      <c r="E161" s="112"/>
      <c r="F161" s="112"/>
    </row>
    <row r="162" spans="1:6" x14ac:dyDescent="0.2">
      <c r="A162" s="116">
        <f>'[14]Purchased Power Model'!A130</f>
        <v>39661</v>
      </c>
      <c r="B162" s="112">
        <f>'[14]Purchased Power Model'!C130</f>
        <v>36.6</v>
      </c>
      <c r="C162" s="112">
        <f>'[14]Purchased Power Model'!D130</f>
        <v>23</v>
      </c>
      <c r="D162" s="112"/>
      <c r="E162" s="112"/>
      <c r="F162" s="112"/>
    </row>
    <row r="163" spans="1:6" x14ac:dyDescent="0.2">
      <c r="A163" s="116">
        <f>'[14]Purchased Power Model'!A131</f>
        <v>39692</v>
      </c>
      <c r="B163" s="112">
        <f>'[14]Purchased Power Model'!C131</f>
        <v>95.2</v>
      </c>
      <c r="C163" s="112">
        <f>'[14]Purchased Power Model'!D131</f>
        <v>11.1</v>
      </c>
      <c r="D163" s="112"/>
      <c r="E163" s="112"/>
      <c r="F163" s="112"/>
    </row>
    <row r="164" spans="1:6" x14ac:dyDescent="0.2">
      <c r="A164" s="116">
        <f>'[14]Purchased Power Model'!A132</f>
        <v>39722</v>
      </c>
      <c r="B164" s="112">
        <f>'[14]Purchased Power Model'!C132</f>
        <v>308.2</v>
      </c>
      <c r="C164" s="112">
        <f>'[14]Purchased Power Model'!D132</f>
        <v>0</v>
      </c>
      <c r="D164" s="112"/>
      <c r="E164" s="112"/>
      <c r="F164" s="112"/>
    </row>
    <row r="165" spans="1:6" x14ac:dyDescent="0.2">
      <c r="A165" s="116">
        <f>'[14]Purchased Power Model'!A133</f>
        <v>39753</v>
      </c>
      <c r="B165" s="112">
        <f>'[14]Purchased Power Model'!C133</f>
        <v>391.1</v>
      </c>
      <c r="C165" s="112">
        <f>'[14]Purchased Power Model'!D133</f>
        <v>0</v>
      </c>
      <c r="D165" s="112"/>
      <c r="E165" s="112"/>
      <c r="F165" s="112"/>
    </row>
    <row r="166" spans="1:6" x14ac:dyDescent="0.2">
      <c r="A166" s="116">
        <f>'[14]Purchased Power Model'!A134</f>
        <v>39783</v>
      </c>
      <c r="B166" s="112">
        <f>'[14]Purchased Power Model'!C134</f>
        <v>597.9</v>
      </c>
      <c r="C166" s="112">
        <f>'[14]Purchased Power Model'!D134</f>
        <v>0</v>
      </c>
      <c r="D166" s="112"/>
      <c r="E166" s="112"/>
      <c r="F166" s="112"/>
    </row>
  </sheetData>
  <pageMargins left="0.38" right="0.75" top="0.73" bottom="0.74" header="0.5" footer="0.5"/>
  <pageSetup orientation="landscape" verticalDpi="300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K146"/>
  <sheetViews>
    <sheetView topLeftCell="A67" workbookViewId="0">
      <selection activeCell="J12" sqref="J12"/>
    </sheetView>
  </sheetViews>
  <sheetFormatPr defaultRowHeight="12.75" x14ac:dyDescent="0.2"/>
  <sheetData>
    <row r="2" spans="1:11" x14ac:dyDescent="0.2">
      <c r="A2">
        <f>YEAR(B2)</f>
        <v>2002</v>
      </c>
      <c r="B2" s="170">
        <v>37591</v>
      </c>
      <c r="C2">
        <f>J2</f>
        <v>10086</v>
      </c>
      <c r="D2" s="203">
        <f>VLOOKUP(A2,$I$2:K14,3)</f>
        <v>0</v>
      </c>
      <c r="I2">
        <v>2002</v>
      </c>
      <c r="J2">
        <f>'[28]For Rates'!$D$4+'[28]For Rates'!$D$5+'[28]For Rates'!$D$6</f>
        <v>10086</v>
      </c>
    </row>
    <row r="3" spans="1:11" x14ac:dyDescent="0.2">
      <c r="A3">
        <f t="shared" ref="A3:A66" si="0">YEAR(B3)</f>
        <v>2003</v>
      </c>
      <c r="B3" s="110">
        <v>37622</v>
      </c>
      <c r="C3" s="203">
        <f>C2+D3</f>
        <v>10102.833333333334</v>
      </c>
      <c r="D3" s="203">
        <f>VLOOKUP(A3,$I$2:K15,3)</f>
        <v>16.833333333333332</v>
      </c>
      <c r="F3" s="227">
        <f>'[14]Purchased Power Model'!H63</f>
        <v>27107.083333333332</v>
      </c>
      <c r="I3">
        <v>2003</v>
      </c>
      <c r="J3" s="221">
        <f>SUM('[28]For Rates'!$G$4:$G$6)</f>
        <v>10288</v>
      </c>
      <c r="K3">
        <f>(J3-J2)/12</f>
        <v>16.833333333333332</v>
      </c>
    </row>
    <row r="4" spans="1:11" x14ac:dyDescent="0.2">
      <c r="A4">
        <f t="shared" si="0"/>
        <v>2003</v>
      </c>
      <c r="B4" s="170">
        <v>37653</v>
      </c>
      <c r="C4" s="203">
        <f t="shared" ref="C4:C67" si="1">C3+D4</f>
        <v>10119.666666666668</v>
      </c>
      <c r="D4" s="203">
        <f>VLOOKUP(A4,$I$2:K16,3)</f>
        <v>16.833333333333332</v>
      </c>
      <c r="F4" s="227">
        <f>'[14]Purchased Power Model'!H64</f>
        <v>27137.166666666664</v>
      </c>
      <c r="I4">
        <v>2004</v>
      </c>
      <c r="J4">
        <f>SUM('[28]For Rates'!$J$4:$J$6)</f>
        <v>10524</v>
      </c>
      <c r="K4">
        <f t="shared" ref="K4:K14" si="2">(J4-J3)/12</f>
        <v>19.666666666666668</v>
      </c>
    </row>
    <row r="5" spans="1:11" x14ac:dyDescent="0.2">
      <c r="A5">
        <f t="shared" si="0"/>
        <v>2003</v>
      </c>
      <c r="B5" s="110">
        <v>37681</v>
      </c>
      <c r="C5" s="203">
        <f t="shared" si="1"/>
        <v>10136.500000000002</v>
      </c>
      <c r="D5" s="203">
        <f>VLOOKUP(A5,$I$2:K17,3)</f>
        <v>16.833333333333332</v>
      </c>
      <c r="F5" s="227">
        <f>'[14]Purchased Power Model'!H65</f>
        <v>27167.249999999996</v>
      </c>
      <c r="I5">
        <v>2005</v>
      </c>
      <c r="J5">
        <f>SUM('[28]For Rates'!$D$16:$D$18)</f>
        <v>10573</v>
      </c>
      <c r="K5">
        <f t="shared" si="2"/>
        <v>4.083333333333333</v>
      </c>
    </row>
    <row r="6" spans="1:11" x14ac:dyDescent="0.2">
      <c r="A6">
        <f t="shared" si="0"/>
        <v>2003</v>
      </c>
      <c r="B6" s="170">
        <v>37712</v>
      </c>
      <c r="C6" s="203">
        <f t="shared" si="1"/>
        <v>10153.333333333336</v>
      </c>
      <c r="D6" s="203">
        <f>VLOOKUP(A6,$I$2:K18,3)</f>
        <v>16.833333333333332</v>
      </c>
      <c r="F6" s="227">
        <f>'[14]Purchased Power Model'!H66</f>
        <v>27197.333333333328</v>
      </c>
      <c r="I6">
        <v>2006</v>
      </c>
      <c r="J6">
        <f>SUM('[28]For Rates'!$G$16:$G$18)</f>
        <v>10638</v>
      </c>
      <c r="K6">
        <f t="shared" si="2"/>
        <v>5.416666666666667</v>
      </c>
    </row>
    <row r="7" spans="1:11" x14ac:dyDescent="0.2">
      <c r="A7">
        <f t="shared" si="0"/>
        <v>2003</v>
      </c>
      <c r="B7" s="110">
        <v>37742</v>
      </c>
      <c r="C7" s="203">
        <f t="shared" si="1"/>
        <v>10170.16666666667</v>
      </c>
      <c r="D7" s="203">
        <f>VLOOKUP(A7,$I$2:K19,3)</f>
        <v>16.833333333333332</v>
      </c>
      <c r="F7" s="227">
        <f>'[14]Purchased Power Model'!H67</f>
        <v>27227.416666666661</v>
      </c>
      <c r="I7">
        <v>2007</v>
      </c>
      <c r="J7">
        <f>SUM('[28]For Rates'!$J$16:$J$18)</f>
        <v>10776</v>
      </c>
      <c r="K7">
        <f t="shared" si="2"/>
        <v>11.5</v>
      </c>
    </row>
    <row r="8" spans="1:11" x14ac:dyDescent="0.2">
      <c r="A8">
        <f t="shared" si="0"/>
        <v>2003</v>
      </c>
      <c r="B8" s="170">
        <v>37773</v>
      </c>
      <c r="C8" s="203">
        <f t="shared" si="1"/>
        <v>10187.000000000004</v>
      </c>
      <c r="D8" s="203">
        <f>VLOOKUP(A8,$I$2:K20,3)</f>
        <v>16.833333333333332</v>
      </c>
      <c r="F8" s="227">
        <f>'[14]Purchased Power Model'!H68</f>
        <v>27257.499999999993</v>
      </c>
      <c r="I8">
        <v>2008</v>
      </c>
      <c r="J8">
        <f>SUM('[28]For Rates'!$D$28:$D$30)</f>
        <v>10846</v>
      </c>
      <c r="K8">
        <f t="shared" si="2"/>
        <v>5.833333333333333</v>
      </c>
    </row>
    <row r="9" spans="1:11" x14ac:dyDescent="0.2">
      <c r="A9">
        <f t="shared" si="0"/>
        <v>2003</v>
      </c>
      <c r="B9" s="110">
        <v>37803</v>
      </c>
      <c r="C9" s="203">
        <f t="shared" si="1"/>
        <v>10203.833333333338</v>
      </c>
      <c r="D9" s="203">
        <f>VLOOKUP(A9,$I$2:K21,3)</f>
        <v>16.833333333333332</v>
      </c>
      <c r="F9" s="227">
        <f>'[14]Purchased Power Model'!H69</f>
        <v>27287.583333333325</v>
      </c>
      <c r="I9">
        <v>2009</v>
      </c>
      <c r="J9" s="52">
        <f>[15]Historic!$E$72+[15]Historic!$E$89+[15]Historic!$E$106</f>
        <v>11091</v>
      </c>
      <c r="K9">
        <f t="shared" si="2"/>
        <v>20.416666666666668</v>
      </c>
    </row>
    <row r="10" spans="1:11" x14ac:dyDescent="0.2">
      <c r="A10">
        <f t="shared" si="0"/>
        <v>2003</v>
      </c>
      <c r="B10" s="170">
        <v>37834</v>
      </c>
      <c r="C10" s="203">
        <f t="shared" si="1"/>
        <v>10220.666666666672</v>
      </c>
      <c r="D10" s="203">
        <f>VLOOKUP(A10,$I$2:K22,3)</f>
        <v>16.833333333333332</v>
      </c>
      <c r="F10" s="227">
        <f>'[14]Purchased Power Model'!H70</f>
        <v>27317.666666666657</v>
      </c>
      <c r="I10">
        <v>2010</v>
      </c>
      <c r="J10" s="52">
        <f>[15]Historic!$E$73+[15]Historic!$E$90+[15]Historic!$E$107</f>
        <v>11256</v>
      </c>
      <c r="K10">
        <f t="shared" si="2"/>
        <v>13.75</v>
      </c>
    </row>
    <row r="11" spans="1:11" x14ac:dyDescent="0.2">
      <c r="A11">
        <f t="shared" si="0"/>
        <v>2003</v>
      </c>
      <c r="B11" s="110">
        <v>37865</v>
      </c>
      <c r="C11" s="203">
        <f t="shared" si="1"/>
        <v>10237.500000000005</v>
      </c>
      <c r="D11" s="203">
        <f>VLOOKUP(A11,$I$2:K23,3)</f>
        <v>16.833333333333332</v>
      </c>
      <c r="F11" s="227">
        <f>'[14]Purchased Power Model'!H71</f>
        <v>27347.749999999989</v>
      </c>
      <c r="I11">
        <v>2011</v>
      </c>
      <c r="J11" s="52">
        <f>[15]Historic!$E$74+[15]Historic!$E$91+[15]Historic!$E$108</f>
        <v>11248</v>
      </c>
      <c r="K11">
        <f t="shared" si="2"/>
        <v>-0.66666666666666663</v>
      </c>
    </row>
    <row r="12" spans="1:11" x14ac:dyDescent="0.2">
      <c r="A12">
        <f t="shared" si="0"/>
        <v>2003</v>
      </c>
      <c r="B12" s="170">
        <v>37895</v>
      </c>
      <c r="C12" s="203">
        <f t="shared" si="1"/>
        <v>10254.333333333339</v>
      </c>
      <c r="D12" s="203">
        <f>VLOOKUP(A12,$I$2:K24,3)</f>
        <v>16.833333333333332</v>
      </c>
      <c r="F12" s="227">
        <f>'[14]Purchased Power Model'!H72</f>
        <v>27377.833333333321</v>
      </c>
      <c r="I12">
        <v>2012</v>
      </c>
      <c r="J12">
        <f>[15]Historic!$E$75+[15]Historic!$E$92+[15]Historic!$E$109</f>
        <v>11392</v>
      </c>
      <c r="K12">
        <f t="shared" si="2"/>
        <v>12</v>
      </c>
    </row>
    <row r="13" spans="1:11" x14ac:dyDescent="0.2">
      <c r="A13">
        <f t="shared" si="0"/>
        <v>2003</v>
      </c>
      <c r="B13" s="110">
        <v>37926</v>
      </c>
      <c r="C13" s="203">
        <f t="shared" si="1"/>
        <v>10271.166666666673</v>
      </c>
      <c r="D13" s="203">
        <f>VLOOKUP(A13,$I$2:K25,3)</f>
        <v>16.833333333333332</v>
      </c>
      <c r="F13" s="227">
        <f>'[14]Purchased Power Model'!H73</f>
        <v>27407.916666666653</v>
      </c>
      <c r="I13">
        <v>2013</v>
      </c>
      <c r="K13">
        <f t="shared" si="2"/>
        <v>-949.33333333333337</v>
      </c>
    </row>
    <row r="14" spans="1:11" x14ac:dyDescent="0.2">
      <c r="A14">
        <f t="shared" si="0"/>
        <v>2003</v>
      </c>
      <c r="B14" s="170">
        <v>37956</v>
      </c>
      <c r="C14" s="203">
        <f t="shared" si="1"/>
        <v>10288.000000000007</v>
      </c>
      <c r="D14" s="203">
        <f>VLOOKUP(A14,$I$2:K26,3)</f>
        <v>16.833333333333332</v>
      </c>
      <c r="F14" s="227">
        <f>'[14]Purchased Power Model'!H74</f>
        <v>27438</v>
      </c>
      <c r="I14">
        <v>2014</v>
      </c>
      <c r="K14">
        <f t="shared" si="2"/>
        <v>0</v>
      </c>
    </row>
    <row r="15" spans="1:11" x14ac:dyDescent="0.2">
      <c r="A15">
        <f t="shared" si="0"/>
        <v>2004</v>
      </c>
      <c r="B15" s="110">
        <v>37987</v>
      </c>
      <c r="C15" s="203">
        <f t="shared" si="1"/>
        <v>10307.666666666673</v>
      </c>
      <c r="D15" s="203">
        <f>VLOOKUP(A15,$I$2:K27,3)</f>
        <v>19.666666666666668</v>
      </c>
      <c r="F15" s="227">
        <f>'[14]Purchased Power Model'!H75</f>
        <v>27478.75</v>
      </c>
    </row>
    <row r="16" spans="1:11" x14ac:dyDescent="0.2">
      <c r="A16">
        <f t="shared" si="0"/>
        <v>2004</v>
      </c>
      <c r="B16" s="170">
        <v>38018</v>
      </c>
      <c r="C16" s="203">
        <f t="shared" si="1"/>
        <v>10327.333333333339</v>
      </c>
      <c r="D16" s="203">
        <f>VLOOKUP(A16,$I$2:K28,3)</f>
        <v>19.666666666666668</v>
      </c>
      <c r="F16" s="227">
        <f>'[14]Purchased Power Model'!H76</f>
        <v>27519.5</v>
      </c>
    </row>
    <row r="17" spans="1:6" x14ac:dyDescent="0.2">
      <c r="A17">
        <f t="shared" si="0"/>
        <v>2004</v>
      </c>
      <c r="B17" s="110">
        <v>38047</v>
      </c>
      <c r="C17" s="203">
        <f t="shared" si="1"/>
        <v>10347.000000000005</v>
      </c>
      <c r="D17" s="203">
        <f>VLOOKUP(A17,$I$2:K29,3)</f>
        <v>19.666666666666668</v>
      </c>
      <c r="F17" s="227">
        <f>'[14]Purchased Power Model'!H77</f>
        <v>27560.25</v>
      </c>
    </row>
    <row r="18" spans="1:6" x14ac:dyDescent="0.2">
      <c r="A18">
        <f t="shared" si="0"/>
        <v>2004</v>
      </c>
      <c r="B18" s="170">
        <v>38078</v>
      </c>
      <c r="C18" s="203">
        <f t="shared" si="1"/>
        <v>10366.666666666672</v>
      </c>
      <c r="D18" s="203">
        <f>VLOOKUP(A18,$I$2:K30,3)</f>
        <v>19.666666666666668</v>
      </c>
      <c r="F18" s="227">
        <f>'[14]Purchased Power Model'!H78</f>
        <v>27601</v>
      </c>
    </row>
    <row r="19" spans="1:6" x14ac:dyDescent="0.2">
      <c r="A19">
        <f t="shared" si="0"/>
        <v>2004</v>
      </c>
      <c r="B19" s="110">
        <v>38108</v>
      </c>
      <c r="C19" s="203">
        <f t="shared" si="1"/>
        <v>10386.333333333338</v>
      </c>
      <c r="D19" s="203">
        <f>VLOOKUP(A19,$I$2:K31,3)</f>
        <v>19.666666666666668</v>
      </c>
      <c r="F19" s="227">
        <f>'[14]Purchased Power Model'!H79</f>
        <v>27641.75</v>
      </c>
    </row>
    <row r="20" spans="1:6" x14ac:dyDescent="0.2">
      <c r="A20">
        <f t="shared" si="0"/>
        <v>2004</v>
      </c>
      <c r="B20" s="170">
        <v>38139</v>
      </c>
      <c r="C20" s="203">
        <f t="shared" si="1"/>
        <v>10406.000000000004</v>
      </c>
      <c r="D20" s="203">
        <f>VLOOKUP(A20,$I$2:K32,3)</f>
        <v>19.666666666666668</v>
      </c>
      <c r="F20" s="227">
        <f>'[14]Purchased Power Model'!H80</f>
        <v>27682.5</v>
      </c>
    </row>
    <row r="21" spans="1:6" x14ac:dyDescent="0.2">
      <c r="A21">
        <f t="shared" si="0"/>
        <v>2004</v>
      </c>
      <c r="B21" s="110">
        <v>38169</v>
      </c>
      <c r="C21" s="203">
        <f t="shared" si="1"/>
        <v>10425.66666666667</v>
      </c>
      <c r="D21" s="203">
        <f>VLOOKUP(A21,$I$2:K33,3)</f>
        <v>19.666666666666668</v>
      </c>
      <c r="F21" s="227">
        <f>'[14]Purchased Power Model'!H81</f>
        <v>27723.25</v>
      </c>
    </row>
    <row r="22" spans="1:6" x14ac:dyDescent="0.2">
      <c r="A22">
        <f t="shared" si="0"/>
        <v>2004</v>
      </c>
      <c r="B22" s="170">
        <v>38200</v>
      </c>
      <c r="C22" s="203">
        <f t="shared" si="1"/>
        <v>10445.333333333336</v>
      </c>
      <c r="D22" s="203">
        <f>VLOOKUP(A22,$I$2:K34,3)</f>
        <v>19.666666666666668</v>
      </c>
      <c r="F22" s="227">
        <f>'[14]Purchased Power Model'!H82</f>
        <v>27764</v>
      </c>
    </row>
    <row r="23" spans="1:6" x14ac:dyDescent="0.2">
      <c r="A23">
        <f t="shared" si="0"/>
        <v>2004</v>
      </c>
      <c r="B23" s="110">
        <v>38231</v>
      </c>
      <c r="C23" s="203">
        <f t="shared" si="1"/>
        <v>10465.000000000002</v>
      </c>
      <c r="D23" s="203">
        <f>VLOOKUP(A23,$I$2:K35,3)</f>
        <v>19.666666666666668</v>
      </c>
      <c r="F23" s="227">
        <f>'[14]Purchased Power Model'!H83</f>
        <v>27804.75</v>
      </c>
    </row>
    <row r="24" spans="1:6" x14ac:dyDescent="0.2">
      <c r="A24">
        <f t="shared" si="0"/>
        <v>2004</v>
      </c>
      <c r="B24" s="170">
        <v>38261</v>
      </c>
      <c r="C24" s="203">
        <f t="shared" si="1"/>
        <v>10484.666666666668</v>
      </c>
      <c r="D24" s="203">
        <f>VLOOKUP(A24,$I$2:K36,3)</f>
        <v>19.666666666666668</v>
      </c>
      <c r="F24" s="227">
        <f>'[14]Purchased Power Model'!H84</f>
        <v>27845.5</v>
      </c>
    </row>
    <row r="25" spans="1:6" x14ac:dyDescent="0.2">
      <c r="A25">
        <f t="shared" si="0"/>
        <v>2004</v>
      </c>
      <c r="B25" s="110">
        <v>38292</v>
      </c>
      <c r="C25" s="203">
        <f t="shared" si="1"/>
        <v>10504.333333333334</v>
      </c>
      <c r="D25" s="203">
        <f>VLOOKUP(A25,$I$2:K37,3)</f>
        <v>19.666666666666668</v>
      </c>
      <c r="F25" s="227">
        <f>'[14]Purchased Power Model'!H85</f>
        <v>27886.25</v>
      </c>
    </row>
    <row r="26" spans="1:6" x14ac:dyDescent="0.2">
      <c r="A26">
        <f t="shared" si="0"/>
        <v>2004</v>
      </c>
      <c r="B26" s="170">
        <v>38322</v>
      </c>
      <c r="C26" s="203">
        <f t="shared" si="1"/>
        <v>10524</v>
      </c>
      <c r="D26" s="203">
        <f>VLOOKUP(A26,$I$2:K38,3)</f>
        <v>19.666666666666668</v>
      </c>
      <c r="F26" s="227">
        <f>'[14]Purchased Power Model'!H86</f>
        <v>27927</v>
      </c>
    </row>
    <row r="27" spans="1:6" x14ac:dyDescent="0.2">
      <c r="A27">
        <f t="shared" si="0"/>
        <v>2005</v>
      </c>
      <c r="B27" s="110">
        <v>38353</v>
      </c>
      <c r="C27" s="203">
        <f t="shared" si="1"/>
        <v>10528.083333333334</v>
      </c>
      <c r="D27" s="203">
        <f>VLOOKUP(A27,$I$2:K39,3)</f>
        <v>4.083333333333333</v>
      </c>
      <c r="F27" s="227">
        <f>'[14]Purchased Power Model'!H87</f>
        <v>27967.5</v>
      </c>
    </row>
    <row r="28" spans="1:6" x14ac:dyDescent="0.2">
      <c r="A28">
        <f t="shared" si="0"/>
        <v>2005</v>
      </c>
      <c r="B28" s="170">
        <v>38384</v>
      </c>
      <c r="C28" s="203">
        <f t="shared" si="1"/>
        <v>10532.166666666668</v>
      </c>
      <c r="D28" s="203">
        <f>VLOOKUP(A28,$I$2:K40,3)</f>
        <v>4.083333333333333</v>
      </c>
      <c r="F28" s="227">
        <f>'[14]Purchased Power Model'!H88</f>
        <v>28008</v>
      </c>
    </row>
    <row r="29" spans="1:6" x14ac:dyDescent="0.2">
      <c r="A29">
        <f t="shared" si="0"/>
        <v>2005</v>
      </c>
      <c r="B29" s="110">
        <v>38412</v>
      </c>
      <c r="C29" s="203">
        <f t="shared" si="1"/>
        <v>10536.250000000002</v>
      </c>
      <c r="D29" s="203">
        <f>VLOOKUP(A29,$I$2:K41,3)</f>
        <v>4.083333333333333</v>
      </c>
      <c r="F29" s="227">
        <f>'[14]Purchased Power Model'!H89</f>
        <v>28048.5</v>
      </c>
    </row>
    <row r="30" spans="1:6" x14ac:dyDescent="0.2">
      <c r="A30">
        <f t="shared" si="0"/>
        <v>2005</v>
      </c>
      <c r="B30" s="170">
        <v>38443</v>
      </c>
      <c r="C30" s="203">
        <f t="shared" si="1"/>
        <v>10540.333333333336</v>
      </c>
      <c r="D30" s="203">
        <f>VLOOKUP(A30,$I$2:K42,3)</f>
        <v>4.083333333333333</v>
      </c>
      <c r="F30" s="227">
        <f>'[14]Purchased Power Model'!H90</f>
        <v>28089</v>
      </c>
    </row>
    <row r="31" spans="1:6" x14ac:dyDescent="0.2">
      <c r="A31">
        <f t="shared" si="0"/>
        <v>2005</v>
      </c>
      <c r="B31" s="110">
        <v>38473</v>
      </c>
      <c r="C31" s="203">
        <f t="shared" si="1"/>
        <v>10544.41666666667</v>
      </c>
      <c r="D31" s="203">
        <f>VLOOKUP(A31,$I$2:K43,3)</f>
        <v>4.083333333333333</v>
      </c>
      <c r="F31" s="227">
        <f>'[14]Purchased Power Model'!H91</f>
        <v>28129.5</v>
      </c>
    </row>
    <row r="32" spans="1:6" x14ac:dyDescent="0.2">
      <c r="A32">
        <f t="shared" si="0"/>
        <v>2005</v>
      </c>
      <c r="B32" s="170">
        <v>38504</v>
      </c>
      <c r="C32" s="203">
        <f t="shared" si="1"/>
        <v>10548.500000000004</v>
      </c>
      <c r="D32" s="203">
        <f>VLOOKUP(A32,$I$2:K44,3)</f>
        <v>4.083333333333333</v>
      </c>
      <c r="F32" s="227">
        <f>'[14]Purchased Power Model'!H92</f>
        <v>28170</v>
      </c>
    </row>
    <row r="33" spans="1:6" x14ac:dyDescent="0.2">
      <c r="A33">
        <f t="shared" si="0"/>
        <v>2005</v>
      </c>
      <c r="B33" s="110">
        <v>38534</v>
      </c>
      <c r="C33" s="203">
        <f t="shared" si="1"/>
        <v>10552.583333333338</v>
      </c>
      <c r="D33" s="203">
        <f>VLOOKUP(A33,$I$2:K45,3)</f>
        <v>4.083333333333333</v>
      </c>
      <c r="F33" s="227">
        <f>'[14]Purchased Power Model'!H93</f>
        <v>28210.5</v>
      </c>
    </row>
    <row r="34" spans="1:6" x14ac:dyDescent="0.2">
      <c r="A34">
        <f t="shared" si="0"/>
        <v>2005</v>
      </c>
      <c r="B34" s="170">
        <v>38565</v>
      </c>
      <c r="C34" s="203">
        <f t="shared" si="1"/>
        <v>10556.666666666672</v>
      </c>
      <c r="D34" s="203">
        <f>VLOOKUP(A34,$I$2:K46,3)</f>
        <v>4.083333333333333</v>
      </c>
      <c r="F34" s="227">
        <f>'[14]Purchased Power Model'!H94</f>
        <v>28251</v>
      </c>
    </row>
    <row r="35" spans="1:6" x14ac:dyDescent="0.2">
      <c r="A35">
        <f t="shared" si="0"/>
        <v>2005</v>
      </c>
      <c r="B35" s="110">
        <v>38596</v>
      </c>
      <c r="C35" s="203">
        <f t="shared" si="1"/>
        <v>10560.750000000005</v>
      </c>
      <c r="D35" s="203">
        <f>VLOOKUP(A35,$I$2:K47,3)</f>
        <v>4.083333333333333</v>
      </c>
      <c r="F35" s="227">
        <f>'[14]Purchased Power Model'!H95</f>
        <v>28291.5</v>
      </c>
    </row>
    <row r="36" spans="1:6" x14ac:dyDescent="0.2">
      <c r="A36">
        <f t="shared" si="0"/>
        <v>2005</v>
      </c>
      <c r="B36" s="170">
        <v>38626</v>
      </c>
      <c r="C36" s="203">
        <f t="shared" si="1"/>
        <v>10564.833333333339</v>
      </c>
      <c r="D36" s="203">
        <f>VLOOKUP(A36,$I$2:K48,3)</f>
        <v>4.083333333333333</v>
      </c>
      <c r="F36" s="227">
        <f>'[14]Purchased Power Model'!H96</f>
        <v>28332</v>
      </c>
    </row>
    <row r="37" spans="1:6" x14ac:dyDescent="0.2">
      <c r="A37">
        <f t="shared" si="0"/>
        <v>2005</v>
      </c>
      <c r="B37" s="110">
        <v>38657</v>
      </c>
      <c r="C37" s="203">
        <f t="shared" si="1"/>
        <v>10568.916666666673</v>
      </c>
      <c r="D37" s="203">
        <f>VLOOKUP(A37,$I$2:K49,3)</f>
        <v>4.083333333333333</v>
      </c>
      <c r="F37" s="227">
        <f>'[14]Purchased Power Model'!H97</f>
        <v>28372.5</v>
      </c>
    </row>
    <row r="38" spans="1:6" x14ac:dyDescent="0.2">
      <c r="A38">
        <f t="shared" si="0"/>
        <v>2005</v>
      </c>
      <c r="B38" s="170">
        <v>38687</v>
      </c>
      <c r="C38" s="203">
        <f t="shared" si="1"/>
        <v>10573.000000000007</v>
      </c>
      <c r="D38" s="203">
        <f>VLOOKUP(A38,$I$2:K50,3)</f>
        <v>4.083333333333333</v>
      </c>
      <c r="F38" s="227">
        <f>'[14]Purchased Power Model'!H98</f>
        <v>28413</v>
      </c>
    </row>
    <row r="39" spans="1:6" x14ac:dyDescent="0.2">
      <c r="A39">
        <f t="shared" si="0"/>
        <v>2006</v>
      </c>
      <c r="B39" s="110">
        <v>38718</v>
      </c>
      <c r="C39" s="203">
        <f t="shared" si="1"/>
        <v>10578.416666666673</v>
      </c>
      <c r="D39" s="203">
        <f>VLOOKUP(A39,$I$2:K51,3)</f>
        <v>5.416666666666667</v>
      </c>
      <c r="F39" s="227">
        <f>'[14]Purchased Power Model'!H99</f>
        <v>28422.333333333332</v>
      </c>
    </row>
    <row r="40" spans="1:6" x14ac:dyDescent="0.2">
      <c r="A40">
        <f t="shared" si="0"/>
        <v>2006</v>
      </c>
      <c r="B40" s="170">
        <v>38749</v>
      </c>
      <c r="C40" s="203">
        <f t="shared" si="1"/>
        <v>10583.833333333339</v>
      </c>
      <c r="D40" s="203">
        <f>VLOOKUP(A40,$I$2:K52,3)</f>
        <v>5.416666666666667</v>
      </c>
      <c r="F40" s="227">
        <f>'[14]Purchased Power Model'!H100</f>
        <v>28431.666666666664</v>
      </c>
    </row>
    <row r="41" spans="1:6" x14ac:dyDescent="0.2">
      <c r="A41">
        <f t="shared" si="0"/>
        <v>2006</v>
      </c>
      <c r="B41" s="110">
        <v>38777</v>
      </c>
      <c r="C41" s="203">
        <f t="shared" si="1"/>
        <v>10589.250000000005</v>
      </c>
      <c r="D41" s="203">
        <f>VLOOKUP(A41,$I$2:K53,3)</f>
        <v>5.416666666666667</v>
      </c>
      <c r="F41" s="227">
        <f>'[14]Purchased Power Model'!H101</f>
        <v>28440.999999999996</v>
      </c>
    </row>
    <row r="42" spans="1:6" x14ac:dyDescent="0.2">
      <c r="A42">
        <f t="shared" si="0"/>
        <v>2006</v>
      </c>
      <c r="B42" s="170">
        <v>38808</v>
      </c>
      <c r="C42" s="203">
        <f t="shared" si="1"/>
        <v>10594.666666666672</v>
      </c>
      <c r="D42" s="203">
        <f>VLOOKUP(A42,$I$2:K54,3)</f>
        <v>5.416666666666667</v>
      </c>
      <c r="F42" s="227">
        <f>'[14]Purchased Power Model'!H102</f>
        <v>28450.333333333328</v>
      </c>
    </row>
    <row r="43" spans="1:6" x14ac:dyDescent="0.2">
      <c r="A43">
        <f t="shared" si="0"/>
        <v>2006</v>
      </c>
      <c r="B43" s="110">
        <v>38838</v>
      </c>
      <c r="C43" s="203">
        <f t="shared" si="1"/>
        <v>10600.083333333338</v>
      </c>
      <c r="D43" s="203">
        <f>VLOOKUP(A43,$I$2:K55,3)</f>
        <v>5.416666666666667</v>
      </c>
      <c r="F43" s="227">
        <f>'[14]Purchased Power Model'!H103</f>
        <v>28459.666666666661</v>
      </c>
    </row>
    <row r="44" spans="1:6" x14ac:dyDescent="0.2">
      <c r="A44">
        <f t="shared" si="0"/>
        <v>2006</v>
      </c>
      <c r="B44" s="170">
        <v>38869</v>
      </c>
      <c r="C44" s="203">
        <f t="shared" si="1"/>
        <v>10605.500000000004</v>
      </c>
      <c r="D44" s="203">
        <f>VLOOKUP(A44,$I$2:K56,3)</f>
        <v>5.416666666666667</v>
      </c>
      <c r="F44" s="227">
        <f>'[14]Purchased Power Model'!H104</f>
        <v>28468.999999999993</v>
      </c>
    </row>
    <row r="45" spans="1:6" x14ac:dyDescent="0.2">
      <c r="A45">
        <f t="shared" si="0"/>
        <v>2006</v>
      </c>
      <c r="B45" s="110">
        <v>38899</v>
      </c>
      <c r="C45" s="203">
        <f t="shared" si="1"/>
        <v>10610.91666666667</v>
      </c>
      <c r="D45" s="203">
        <f>VLOOKUP(A45,$I$2:K57,3)</f>
        <v>5.416666666666667</v>
      </c>
      <c r="F45" s="227">
        <f>'[14]Purchased Power Model'!H105</f>
        <v>28478.333333333325</v>
      </c>
    </row>
    <row r="46" spans="1:6" x14ac:dyDescent="0.2">
      <c r="A46">
        <f t="shared" si="0"/>
        <v>2006</v>
      </c>
      <c r="B46" s="170">
        <v>38930</v>
      </c>
      <c r="C46" s="203">
        <f t="shared" si="1"/>
        <v>10616.333333333336</v>
      </c>
      <c r="D46" s="203">
        <f>VLOOKUP(A46,$I$2:K58,3)</f>
        <v>5.416666666666667</v>
      </c>
      <c r="F46" s="227">
        <f>'[14]Purchased Power Model'!H106</f>
        <v>28487.666666666657</v>
      </c>
    </row>
    <row r="47" spans="1:6" x14ac:dyDescent="0.2">
      <c r="A47">
        <f t="shared" si="0"/>
        <v>2006</v>
      </c>
      <c r="B47" s="110">
        <v>38961</v>
      </c>
      <c r="C47" s="203">
        <f t="shared" si="1"/>
        <v>10621.750000000002</v>
      </c>
      <c r="D47" s="203">
        <f>VLOOKUP(A47,$I$2:K59,3)</f>
        <v>5.416666666666667</v>
      </c>
      <c r="F47" s="227">
        <f>'[14]Purchased Power Model'!H107</f>
        <v>28496.999999999989</v>
      </c>
    </row>
    <row r="48" spans="1:6" x14ac:dyDescent="0.2">
      <c r="A48">
        <f t="shared" si="0"/>
        <v>2006</v>
      </c>
      <c r="B48" s="170">
        <v>38991</v>
      </c>
      <c r="C48" s="203">
        <f t="shared" si="1"/>
        <v>10627.166666666668</v>
      </c>
      <c r="D48" s="203">
        <f>VLOOKUP(A48,$I$2:K60,3)</f>
        <v>5.416666666666667</v>
      </c>
      <c r="F48" s="227">
        <f>'[14]Purchased Power Model'!H108</f>
        <v>28506.333333333321</v>
      </c>
    </row>
    <row r="49" spans="1:6" x14ac:dyDescent="0.2">
      <c r="A49">
        <f t="shared" si="0"/>
        <v>2006</v>
      </c>
      <c r="B49" s="110">
        <v>39022</v>
      </c>
      <c r="C49" s="203">
        <f t="shared" si="1"/>
        <v>10632.583333333334</v>
      </c>
      <c r="D49" s="203">
        <f>VLOOKUP(A49,$I$2:K61,3)</f>
        <v>5.416666666666667</v>
      </c>
      <c r="F49" s="227">
        <f>'[14]Purchased Power Model'!H109</f>
        <v>28515.666666666653</v>
      </c>
    </row>
    <row r="50" spans="1:6" x14ac:dyDescent="0.2">
      <c r="A50">
        <f t="shared" si="0"/>
        <v>2006</v>
      </c>
      <c r="B50" s="170">
        <v>39052</v>
      </c>
      <c r="C50" s="203">
        <f t="shared" si="1"/>
        <v>10638</v>
      </c>
      <c r="D50" s="203">
        <f>VLOOKUP(A50,$I$2:K62,3)</f>
        <v>5.416666666666667</v>
      </c>
      <c r="F50" s="227">
        <f>'[14]Purchased Power Model'!H110</f>
        <v>28525</v>
      </c>
    </row>
    <row r="51" spans="1:6" x14ac:dyDescent="0.2">
      <c r="A51">
        <f t="shared" si="0"/>
        <v>2007</v>
      </c>
      <c r="B51" s="110">
        <v>39083</v>
      </c>
      <c r="C51" s="203">
        <f t="shared" si="1"/>
        <v>10649.5</v>
      </c>
      <c r="D51" s="203">
        <f>VLOOKUP(A51,$I$2:K63,3)</f>
        <v>11.5</v>
      </c>
      <c r="F51" s="227">
        <f>'[14]Purchased Power Model'!H111</f>
        <v>28540.416666666668</v>
      </c>
    </row>
    <row r="52" spans="1:6" x14ac:dyDescent="0.2">
      <c r="A52">
        <f t="shared" si="0"/>
        <v>2007</v>
      </c>
      <c r="B52" s="170">
        <v>39114</v>
      </c>
      <c r="C52" s="203">
        <f t="shared" si="1"/>
        <v>10661</v>
      </c>
      <c r="D52" s="203">
        <f>VLOOKUP(A52,$I$2:K64,3)</f>
        <v>11.5</v>
      </c>
      <c r="F52" s="227">
        <f>'[14]Purchased Power Model'!H112</f>
        <v>28555.833333333336</v>
      </c>
    </row>
    <row r="53" spans="1:6" x14ac:dyDescent="0.2">
      <c r="A53">
        <f t="shared" si="0"/>
        <v>2007</v>
      </c>
      <c r="B53" s="110">
        <v>39142</v>
      </c>
      <c r="C53" s="203">
        <f t="shared" si="1"/>
        <v>10672.5</v>
      </c>
      <c r="D53" s="203">
        <f>VLOOKUP(A53,$I$2:K65,3)</f>
        <v>11.5</v>
      </c>
      <c r="F53" s="227">
        <f>'[14]Purchased Power Model'!H113</f>
        <v>28571.250000000004</v>
      </c>
    </row>
    <row r="54" spans="1:6" x14ac:dyDescent="0.2">
      <c r="A54">
        <f t="shared" si="0"/>
        <v>2007</v>
      </c>
      <c r="B54" s="170">
        <v>39173</v>
      </c>
      <c r="C54" s="203">
        <f t="shared" si="1"/>
        <v>10684</v>
      </c>
      <c r="D54" s="203">
        <f>VLOOKUP(A54,$I$2:K66,3)</f>
        <v>11.5</v>
      </c>
      <c r="F54" s="227">
        <f>'[14]Purchased Power Model'!H114</f>
        <v>28586.666666666672</v>
      </c>
    </row>
    <row r="55" spans="1:6" x14ac:dyDescent="0.2">
      <c r="A55">
        <f t="shared" si="0"/>
        <v>2007</v>
      </c>
      <c r="B55" s="110">
        <v>39203</v>
      </c>
      <c r="C55" s="203">
        <f t="shared" si="1"/>
        <v>10695.5</v>
      </c>
      <c r="D55" s="203">
        <f>VLOOKUP(A55,$I$2:K67,3)</f>
        <v>11.5</v>
      </c>
      <c r="F55" s="227">
        <f>'[14]Purchased Power Model'!H115</f>
        <v>28602.083333333339</v>
      </c>
    </row>
    <row r="56" spans="1:6" x14ac:dyDescent="0.2">
      <c r="A56">
        <f t="shared" si="0"/>
        <v>2007</v>
      </c>
      <c r="B56" s="170">
        <v>39234</v>
      </c>
      <c r="C56" s="203">
        <f t="shared" si="1"/>
        <v>10707</v>
      </c>
      <c r="D56" s="203">
        <f>VLOOKUP(A56,$I$2:K68,3)</f>
        <v>11.5</v>
      </c>
      <c r="F56" s="227">
        <f>'[14]Purchased Power Model'!H116</f>
        <v>28617.500000000007</v>
      </c>
    </row>
    <row r="57" spans="1:6" x14ac:dyDescent="0.2">
      <c r="A57">
        <f t="shared" si="0"/>
        <v>2007</v>
      </c>
      <c r="B57" s="110">
        <v>39264</v>
      </c>
      <c r="C57" s="203">
        <f t="shared" si="1"/>
        <v>10718.5</v>
      </c>
      <c r="D57" s="203">
        <f>VLOOKUP(A57,$I$2:K69,3)</f>
        <v>11.5</v>
      </c>
      <c r="F57" s="227">
        <f>'[14]Purchased Power Model'!H117</f>
        <v>28632.916666666675</v>
      </c>
    </row>
    <row r="58" spans="1:6" x14ac:dyDescent="0.2">
      <c r="A58">
        <f t="shared" si="0"/>
        <v>2007</v>
      </c>
      <c r="B58" s="170">
        <v>39295</v>
      </c>
      <c r="C58" s="203">
        <f t="shared" si="1"/>
        <v>10730</v>
      </c>
      <c r="D58" s="203">
        <f>VLOOKUP(A58,$I$2:K70,3)</f>
        <v>11.5</v>
      </c>
      <c r="F58" s="227">
        <f>'[14]Purchased Power Model'!H118</f>
        <v>28648.333333333343</v>
      </c>
    </row>
    <row r="59" spans="1:6" x14ac:dyDescent="0.2">
      <c r="A59">
        <f t="shared" si="0"/>
        <v>2007</v>
      </c>
      <c r="B59" s="110">
        <v>39326</v>
      </c>
      <c r="C59" s="203">
        <f t="shared" si="1"/>
        <v>10741.5</v>
      </c>
      <c r="D59" s="203">
        <f>VLOOKUP(A59,$I$2:K71,3)</f>
        <v>11.5</v>
      </c>
      <c r="F59" s="227">
        <f>'[14]Purchased Power Model'!H119</f>
        <v>28663.750000000011</v>
      </c>
    </row>
    <row r="60" spans="1:6" x14ac:dyDescent="0.2">
      <c r="A60">
        <f t="shared" si="0"/>
        <v>2007</v>
      </c>
      <c r="B60" s="170">
        <v>39356</v>
      </c>
      <c r="C60" s="203">
        <f t="shared" si="1"/>
        <v>10753</v>
      </c>
      <c r="D60" s="203">
        <f>VLOOKUP(A60,$I$2:K72,3)</f>
        <v>11.5</v>
      </c>
      <c r="F60" s="227">
        <f>'[14]Purchased Power Model'!H120</f>
        <v>28679.166666666679</v>
      </c>
    </row>
    <row r="61" spans="1:6" x14ac:dyDescent="0.2">
      <c r="A61">
        <f t="shared" si="0"/>
        <v>2007</v>
      </c>
      <c r="B61" s="110">
        <v>39387</v>
      </c>
      <c r="C61" s="203">
        <f t="shared" si="1"/>
        <v>10764.5</v>
      </c>
      <c r="D61" s="203">
        <f>VLOOKUP(A61,$I$2:K73,3)</f>
        <v>11.5</v>
      </c>
      <c r="F61" s="227">
        <f>'[14]Purchased Power Model'!H121</f>
        <v>28694.583333333347</v>
      </c>
    </row>
    <row r="62" spans="1:6" x14ac:dyDescent="0.2">
      <c r="A62">
        <f t="shared" si="0"/>
        <v>2007</v>
      </c>
      <c r="B62" s="170">
        <v>39417</v>
      </c>
      <c r="C62" s="203">
        <f t="shared" si="1"/>
        <v>10776</v>
      </c>
      <c r="D62" s="203">
        <f>VLOOKUP(A62,$I$2:K74,3)</f>
        <v>11.5</v>
      </c>
      <c r="F62" s="227">
        <f>'[14]Purchased Power Model'!H122</f>
        <v>28710</v>
      </c>
    </row>
    <row r="63" spans="1:6" x14ac:dyDescent="0.2">
      <c r="A63">
        <f t="shared" si="0"/>
        <v>2008</v>
      </c>
      <c r="B63" s="110">
        <v>39448</v>
      </c>
      <c r="C63" s="203">
        <f t="shared" si="1"/>
        <v>10781.833333333334</v>
      </c>
      <c r="D63" s="203">
        <f>VLOOKUP(A63,$I$2:K75,3)</f>
        <v>5.833333333333333</v>
      </c>
      <c r="F63" s="227">
        <f>'[14]Purchased Power Model'!H123</f>
        <v>28725.833333333332</v>
      </c>
    </row>
    <row r="64" spans="1:6" x14ac:dyDescent="0.2">
      <c r="A64">
        <f t="shared" si="0"/>
        <v>2008</v>
      </c>
      <c r="B64" s="170">
        <v>39479</v>
      </c>
      <c r="C64" s="203">
        <f t="shared" si="1"/>
        <v>10787.666666666668</v>
      </c>
      <c r="D64" s="203">
        <f>VLOOKUP(A64,$I$2:K76,3)</f>
        <v>5.833333333333333</v>
      </c>
      <c r="F64" s="227">
        <f>'[14]Purchased Power Model'!H124</f>
        <v>28741.666666666664</v>
      </c>
    </row>
    <row r="65" spans="1:6" x14ac:dyDescent="0.2">
      <c r="A65">
        <f t="shared" si="0"/>
        <v>2008</v>
      </c>
      <c r="B65" s="110">
        <v>39508</v>
      </c>
      <c r="C65" s="203">
        <f t="shared" si="1"/>
        <v>10793.500000000002</v>
      </c>
      <c r="D65" s="203">
        <f>VLOOKUP(A65,$I$2:K77,3)</f>
        <v>5.833333333333333</v>
      </c>
      <c r="F65" s="227">
        <f>'[14]Purchased Power Model'!H125</f>
        <v>28757.499999999996</v>
      </c>
    </row>
    <row r="66" spans="1:6" x14ac:dyDescent="0.2">
      <c r="A66">
        <f t="shared" si="0"/>
        <v>2008</v>
      </c>
      <c r="B66" s="170">
        <v>39539</v>
      </c>
      <c r="C66" s="203">
        <f t="shared" si="1"/>
        <v>10799.333333333336</v>
      </c>
      <c r="D66" s="203">
        <f>VLOOKUP(A66,$I$2:K78,3)</f>
        <v>5.833333333333333</v>
      </c>
      <c r="F66" s="227">
        <f>'[14]Purchased Power Model'!H126</f>
        <v>28773.333333333328</v>
      </c>
    </row>
    <row r="67" spans="1:6" x14ac:dyDescent="0.2">
      <c r="A67">
        <f t="shared" ref="A67:A130" si="3">YEAR(B67)</f>
        <v>2008</v>
      </c>
      <c r="B67" s="170">
        <v>39569</v>
      </c>
      <c r="C67" s="203">
        <f t="shared" si="1"/>
        <v>10805.16666666667</v>
      </c>
      <c r="D67" s="203">
        <f>VLOOKUP(A67,$I$2:K79,3)</f>
        <v>5.833333333333333</v>
      </c>
      <c r="F67" s="227">
        <f>'[14]Purchased Power Model'!H127</f>
        <v>28789.166666666661</v>
      </c>
    </row>
    <row r="68" spans="1:6" x14ac:dyDescent="0.2">
      <c r="A68">
        <f t="shared" si="3"/>
        <v>2008</v>
      </c>
      <c r="B68" s="110">
        <v>39600</v>
      </c>
      <c r="C68" s="203">
        <f t="shared" ref="C68:C131" si="4">C67+D68</f>
        <v>10811.000000000004</v>
      </c>
      <c r="D68" s="203">
        <f>VLOOKUP(A68,$I$2:K80,3)</f>
        <v>5.833333333333333</v>
      </c>
      <c r="F68" s="227">
        <f>'[14]Purchased Power Model'!H128</f>
        <v>28804.999999999993</v>
      </c>
    </row>
    <row r="69" spans="1:6" x14ac:dyDescent="0.2">
      <c r="A69">
        <f t="shared" si="3"/>
        <v>2008</v>
      </c>
      <c r="B69" s="170">
        <v>39630</v>
      </c>
      <c r="C69" s="203">
        <f t="shared" si="4"/>
        <v>10816.833333333338</v>
      </c>
      <c r="D69" s="203">
        <f>VLOOKUP(A69,$I$2:K81,3)</f>
        <v>5.833333333333333</v>
      </c>
      <c r="F69" s="227">
        <f>'[14]Purchased Power Model'!H129</f>
        <v>28820.833333333325</v>
      </c>
    </row>
    <row r="70" spans="1:6" x14ac:dyDescent="0.2">
      <c r="A70">
        <f t="shared" si="3"/>
        <v>2008</v>
      </c>
      <c r="B70" s="110">
        <v>39661</v>
      </c>
      <c r="C70" s="203">
        <f t="shared" si="4"/>
        <v>10822.666666666672</v>
      </c>
      <c r="D70" s="203">
        <f>VLOOKUP(A70,$I$2:K82,3)</f>
        <v>5.833333333333333</v>
      </c>
      <c r="F70" s="227">
        <f>'[14]Purchased Power Model'!H130</f>
        <v>28836.666666666657</v>
      </c>
    </row>
    <row r="71" spans="1:6" x14ac:dyDescent="0.2">
      <c r="A71">
        <f t="shared" si="3"/>
        <v>2008</v>
      </c>
      <c r="B71" s="170">
        <v>39692</v>
      </c>
      <c r="C71" s="203">
        <f t="shared" si="4"/>
        <v>10828.500000000005</v>
      </c>
      <c r="D71" s="203">
        <f>VLOOKUP(A71,$I$2:K83,3)</f>
        <v>5.833333333333333</v>
      </c>
      <c r="F71" s="227">
        <f>'[14]Purchased Power Model'!H131</f>
        <v>28852.499999999989</v>
      </c>
    </row>
    <row r="72" spans="1:6" x14ac:dyDescent="0.2">
      <c r="A72">
        <f t="shared" si="3"/>
        <v>2008</v>
      </c>
      <c r="B72" s="110">
        <v>39722</v>
      </c>
      <c r="C72" s="203">
        <f t="shared" si="4"/>
        <v>10834.333333333339</v>
      </c>
      <c r="D72" s="203">
        <f>VLOOKUP(A72,$I$2:K84,3)</f>
        <v>5.833333333333333</v>
      </c>
      <c r="F72" s="227">
        <f>'[14]Purchased Power Model'!H132</f>
        <v>28868.333333333321</v>
      </c>
    </row>
    <row r="73" spans="1:6" x14ac:dyDescent="0.2">
      <c r="A73">
        <f t="shared" si="3"/>
        <v>2008</v>
      </c>
      <c r="B73" s="170">
        <v>39753</v>
      </c>
      <c r="C73" s="203">
        <f t="shared" si="4"/>
        <v>10840.166666666673</v>
      </c>
      <c r="D73" s="203">
        <f>VLOOKUP(A73,$I$2:K85,3)</f>
        <v>5.833333333333333</v>
      </c>
      <c r="F73" s="227">
        <f>'[14]Purchased Power Model'!H133</f>
        <v>28884.166666666653</v>
      </c>
    </row>
    <row r="74" spans="1:6" x14ac:dyDescent="0.2">
      <c r="A74">
        <f t="shared" si="3"/>
        <v>2008</v>
      </c>
      <c r="B74" s="110">
        <v>39783</v>
      </c>
      <c r="C74" s="203">
        <f t="shared" si="4"/>
        <v>10846.000000000007</v>
      </c>
      <c r="D74" s="203">
        <f>VLOOKUP(A74,$I$2:K86,3)</f>
        <v>5.833333333333333</v>
      </c>
      <c r="F74" s="227">
        <f>'[14]Purchased Power Model'!H134</f>
        <v>28900</v>
      </c>
    </row>
    <row r="75" spans="1:6" x14ac:dyDescent="0.2">
      <c r="A75">
        <f t="shared" si="3"/>
        <v>2009</v>
      </c>
      <c r="B75" s="170">
        <v>39814</v>
      </c>
      <c r="C75" s="203">
        <f t="shared" si="4"/>
        <v>10866.416666666673</v>
      </c>
      <c r="D75" s="203">
        <f>VLOOKUP(A75,$I$2:K87,3)</f>
        <v>20.416666666666668</v>
      </c>
      <c r="F75" s="227">
        <f>($K$103-$K$74)/(2*12+5)+F74</f>
        <v>28900</v>
      </c>
    </row>
    <row r="76" spans="1:6" x14ac:dyDescent="0.2">
      <c r="A76">
        <f t="shared" si="3"/>
        <v>2009</v>
      </c>
      <c r="B76" s="110">
        <v>39845</v>
      </c>
      <c r="C76" s="203">
        <f t="shared" si="4"/>
        <v>10886.833333333339</v>
      </c>
      <c r="D76" s="203">
        <f>VLOOKUP(A76,$I$2:K88,3)</f>
        <v>20.416666666666668</v>
      </c>
      <c r="F76" s="227">
        <f t="shared" ref="F76:F102" si="5">($K$103-$K$74)/(2*12+5)+F75</f>
        <v>28900</v>
      </c>
    </row>
    <row r="77" spans="1:6" x14ac:dyDescent="0.2">
      <c r="A77">
        <f t="shared" si="3"/>
        <v>2009</v>
      </c>
      <c r="B77" s="170">
        <v>39873</v>
      </c>
      <c r="C77" s="203">
        <f t="shared" si="4"/>
        <v>10907.250000000005</v>
      </c>
      <c r="D77" s="203">
        <f>VLOOKUP(A77,$I$2:K89,3)</f>
        <v>20.416666666666668</v>
      </c>
      <c r="F77" s="227">
        <f t="shared" si="5"/>
        <v>28900</v>
      </c>
    </row>
    <row r="78" spans="1:6" x14ac:dyDescent="0.2">
      <c r="A78">
        <f t="shared" si="3"/>
        <v>2009</v>
      </c>
      <c r="B78" s="110">
        <v>39904</v>
      </c>
      <c r="C78" s="203">
        <f t="shared" si="4"/>
        <v>10927.666666666672</v>
      </c>
      <c r="D78" s="203">
        <f>VLOOKUP(A78,$I$2:K90,3)</f>
        <v>20.416666666666668</v>
      </c>
      <c r="F78" s="227">
        <f t="shared" si="5"/>
        <v>28900</v>
      </c>
    </row>
    <row r="79" spans="1:6" x14ac:dyDescent="0.2">
      <c r="A79">
        <f t="shared" si="3"/>
        <v>2009</v>
      </c>
      <c r="B79" s="170">
        <v>39934</v>
      </c>
      <c r="C79" s="203">
        <f t="shared" si="4"/>
        <v>10948.083333333338</v>
      </c>
      <c r="D79" s="203">
        <f>VLOOKUP(A79,$I$2:K91,3)</f>
        <v>20.416666666666668</v>
      </c>
      <c r="F79" s="227">
        <f t="shared" si="5"/>
        <v>28900</v>
      </c>
    </row>
    <row r="80" spans="1:6" x14ac:dyDescent="0.2">
      <c r="A80">
        <f t="shared" si="3"/>
        <v>2009</v>
      </c>
      <c r="B80" s="110">
        <v>39965</v>
      </c>
      <c r="C80" s="203">
        <f t="shared" si="4"/>
        <v>10968.500000000004</v>
      </c>
      <c r="D80" s="203">
        <f>VLOOKUP(A80,$I$2:K92,3)</f>
        <v>20.416666666666668</v>
      </c>
      <c r="F80" s="227">
        <f t="shared" si="5"/>
        <v>28900</v>
      </c>
    </row>
    <row r="81" spans="1:6" x14ac:dyDescent="0.2">
      <c r="A81">
        <f t="shared" si="3"/>
        <v>2009</v>
      </c>
      <c r="B81" s="170">
        <v>39995</v>
      </c>
      <c r="C81" s="203">
        <f t="shared" si="4"/>
        <v>10988.91666666667</v>
      </c>
      <c r="D81" s="203">
        <f>VLOOKUP(A81,$I$2:K93,3)</f>
        <v>20.416666666666668</v>
      </c>
      <c r="F81" s="227">
        <f t="shared" si="5"/>
        <v>28900</v>
      </c>
    </row>
    <row r="82" spans="1:6" x14ac:dyDescent="0.2">
      <c r="A82">
        <f t="shared" si="3"/>
        <v>2009</v>
      </c>
      <c r="B82" s="110">
        <v>40026</v>
      </c>
      <c r="C82" s="203">
        <f t="shared" si="4"/>
        <v>11009.333333333336</v>
      </c>
      <c r="D82" s="203">
        <f>VLOOKUP(A82,$I$2:K94,3)</f>
        <v>20.416666666666668</v>
      </c>
      <c r="F82" s="227">
        <f t="shared" si="5"/>
        <v>28900</v>
      </c>
    </row>
    <row r="83" spans="1:6" x14ac:dyDescent="0.2">
      <c r="A83">
        <f t="shared" si="3"/>
        <v>2009</v>
      </c>
      <c r="B83" s="170">
        <v>40057</v>
      </c>
      <c r="C83" s="203">
        <f t="shared" si="4"/>
        <v>11029.750000000002</v>
      </c>
      <c r="D83" s="203">
        <f>VLOOKUP(A83,$I$2:K95,3)</f>
        <v>20.416666666666668</v>
      </c>
      <c r="F83" s="227">
        <f t="shared" si="5"/>
        <v>28900</v>
      </c>
    </row>
    <row r="84" spans="1:6" x14ac:dyDescent="0.2">
      <c r="A84">
        <f t="shared" si="3"/>
        <v>2009</v>
      </c>
      <c r="B84" s="110">
        <v>40087</v>
      </c>
      <c r="C84" s="203">
        <f t="shared" si="4"/>
        <v>11050.166666666668</v>
      </c>
      <c r="D84" s="203">
        <f>VLOOKUP(A84,$I$2:K96,3)</f>
        <v>20.416666666666668</v>
      </c>
      <c r="F84" s="227">
        <f t="shared" si="5"/>
        <v>28900</v>
      </c>
    </row>
    <row r="85" spans="1:6" x14ac:dyDescent="0.2">
      <c r="A85">
        <f t="shared" si="3"/>
        <v>2009</v>
      </c>
      <c r="B85" s="170">
        <v>40118</v>
      </c>
      <c r="C85" s="203">
        <f t="shared" si="4"/>
        <v>11070.583333333334</v>
      </c>
      <c r="D85" s="203">
        <f>VLOOKUP(A85,$I$2:K97,3)</f>
        <v>20.416666666666668</v>
      </c>
      <c r="F85" s="227">
        <f t="shared" si="5"/>
        <v>28900</v>
      </c>
    </row>
    <row r="86" spans="1:6" x14ac:dyDescent="0.2">
      <c r="A86">
        <f t="shared" si="3"/>
        <v>2009</v>
      </c>
      <c r="B86" s="110">
        <v>40148</v>
      </c>
      <c r="C86" s="203">
        <f t="shared" si="4"/>
        <v>11091</v>
      </c>
      <c r="D86" s="203">
        <f>VLOOKUP(A86,$I$2:K98,3)</f>
        <v>20.416666666666668</v>
      </c>
      <c r="F86" s="227">
        <f t="shared" si="5"/>
        <v>28900</v>
      </c>
    </row>
    <row r="87" spans="1:6" x14ac:dyDescent="0.2">
      <c r="A87">
        <f t="shared" si="3"/>
        <v>2010</v>
      </c>
      <c r="B87" s="170">
        <v>40179</v>
      </c>
      <c r="C87" s="203">
        <f t="shared" si="4"/>
        <v>11104.75</v>
      </c>
      <c r="D87" s="203">
        <f>VLOOKUP(A87,$I$2:K99,3)</f>
        <v>13.75</v>
      </c>
      <c r="F87" s="227">
        <f t="shared" si="5"/>
        <v>28900</v>
      </c>
    </row>
    <row r="88" spans="1:6" x14ac:dyDescent="0.2">
      <c r="A88">
        <f t="shared" si="3"/>
        <v>2010</v>
      </c>
      <c r="B88" s="110">
        <v>40210</v>
      </c>
      <c r="C88" s="203">
        <f t="shared" si="4"/>
        <v>11118.5</v>
      </c>
      <c r="D88" s="203">
        <f>VLOOKUP(A88,$I$2:K100,3)</f>
        <v>13.75</v>
      </c>
      <c r="F88" s="227">
        <f t="shared" si="5"/>
        <v>28900</v>
      </c>
    </row>
    <row r="89" spans="1:6" x14ac:dyDescent="0.2">
      <c r="A89">
        <f t="shared" si="3"/>
        <v>2010</v>
      </c>
      <c r="B89" s="170">
        <v>40238</v>
      </c>
      <c r="C89" s="203">
        <f t="shared" si="4"/>
        <v>11132.25</v>
      </c>
      <c r="D89" s="203">
        <f>VLOOKUP(A89,$I$2:K101,3)</f>
        <v>13.75</v>
      </c>
      <c r="F89" s="227">
        <f t="shared" si="5"/>
        <v>28900</v>
      </c>
    </row>
    <row r="90" spans="1:6" x14ac:dyDescent="0.2">
      <c r="A90">
        <f t="shared" si="3"/>
        <v>2010</v>
      </c>
      <c r="B90" s="110">
        <v>40269</v>
      </c>
      <c r="C90" s="203">
        <f t="shared" si="4"/>
        <v>11146</v>
      </c>
      <c r="D90" s="203">
        <f>VLOOKUP(A90,$I$2:K102,3)</f>
        <v>13.75</v>
      </c>
      <c r="F90" s="227">
        <f t="shared" si="5"/>
        <v>28900</v>
      </c>
    </row>
    <row r="91" spans="1:6" x14ac:dyDescent="0.2">
      <c r="A91">
        <f t="shared" si="3"/>
        <v>2010</v>
      </c>
      <c r="B91" s="170">
        <v>40299</v>
      </c>
      <c r="C91" s="203">
        <f t="shared" si="4"/>
        <v>11159.75</v>
      </c>
      <c r="D91" s="203">
        <f>VLOOKUP(A91,$I$2:K103,3)</f>
        <v>13.75</v>
      </c>
      <c r="F91" s="227">
        <f t="shared" si="5"/>
        <v>28900</v>
      </c>
    </row>
    <row r="92" spans="1:6" x14ac:dyDescent="0.2">
      <c r="A92">
        <f t="shared" si="3"/>
        <v>2010</v>
      </c>
      <c r="B92" s="110">
        <v>40330</v>
      </c>
      <c r="C92" s="203">
        <f t="shared" si="4"/>
        <v>11173.5</v>
      </c>
      <c r="D92" s="203">
        <f>VLOOKUP(A92,$I$2:K104,3)</f>
        <v>13.75</v>
      </c>
      <c r="F92" s="227">
        <f t="shared" si="5"/>
        <v>28900</v>
      </c>
    </row>
    <row r="93" spans="1:6" x14ac:dyDescent="0.2">
      <c r="A93">
        <f t="shared" si="3"/>
        <v>2010</v>
      </c>
      <c r="B93" s="170">
        <v>40360</v>
      </c>
      <c r="C93" s="203">
        <f t="shared" si="4"/>
        <v>11187.25</v>
      </c>
      <c r="D93" s="203">
        <f>VLOOKUP(A93,$I$2:K105,3)</f>
        <v>13.75</v>
      </c>
      <c r="F93" s="227">
        <f t="shared" si="5"/>
        <v>28900</v>
      </c>
    </row>
    <row r="94" spans="1:6" x14ac:dyDescent="0.2">
      <c r="A94">
        <f t="shared" si="3"/>
        <v>2010</v>
      </c>
      <c r="B94" s="110">
        <v>40391</v>
      </c>
      <c r="C94" s="203">
        <f t="shared" si="4"/>
        <v>11201</v>
      </c>
      <c r="D94" s="203">
        <f>VLOOKUP(A94,$I$2:K106,3)</f>
        <v>13.75</v>
      </c>
      <c r="F94" s="227">
        <f t="shared" si="5"/>
        <v>28900</v>
      </c>
    </row>
    <row r="95" spans="1:6" x14ac:dyDescent="0.2">
      <c r="A95">
        <f t="shared" si="3"/>
        <v>2010</v>
      </c>
      <c r="B95" s="170">
        <v>40422</v>
      </c>
      <c r="C95" s="203">
        <f t="shared" si="4"/>
        <v>11214.75</v>
      </c>
      <c r="D95" s="203">
        <f>VLOOKUP(A95,$I$2:K107,3)</f>
        <v>13.75</v>
      </c>
      <c r="F95" s="227">
        <f t="shared" si="5"/>
        <v>28900</v>
      </c>
    </row>
    <row r="96" spans="1:6" x14ac:dyDescent="0.2">
      <c r="A96">
        <f t="shared" si="3"/>
        <v>2010</v>
      </c>
      <c r="B96" s="110">
        <v>40452</v>
      </c>
      <c r="C96" s="203">
        <f t="shared" si="4"/>
        <v>11228.5</v>
      </c>
      <c r="D96" s="203">
        <f>VLOOKUP(A96,$I$2:K108,3)</f>
        <v>13.75</v>
      </c>
      <c r="F96" s="227">
        <f t="shared" si="5"/>
        <v>28900</v>
      </c>
    </row>
    <row r="97" spans="1:6" x14ac:dyDescent="0.2">
      <c r="A97">
        <f t="shared" si="3"/>
        <v>2010</v>
      </c>
      <c r="B97" s="170">
        <v>40483</v>
      </c>
      <c r="C97" s="203">
        <f t="shared" si="4"/>
        <v>11242.25</v>
      </c>
      <c r="D97" s="203">
        <f>VLOOKUP(A97,$I$2:K109,3)</f>
        <v>13.75</v>
      </c>
      <c r="F97" s="227">
        <f t="shared" si="5"/>
        <v>28900</v>
      </c>
    </row>
    <row r="98" spans="1:6" x14ac:dyDescent="0.2">
      <c r="A98">
        <f t="shared" si="3"/>
        <v>2010</v>
      </c>
      <c r="B98" s="110">
        <v>40513</v>
      </c>
      <c r="C98" s="203">
        <f t="shared" si="4"/>
        <v>11256</v>
      </c>
      <c r="D98" s="203">
        <f>VLOOKUP(A98,$I$2:K110,3)</f>
        <v>13.75</v>
      </c>
      <c r="F98" s="227">
        <f t="shared" si="5"/>
        <v>28900</v>
      </c>
    </row>
    <row r="99" spans="1:6" x14ac:dyDescent="0.2">
      <c r="A99">
        <f t="shared" si="3"/>
        <v>2011</v>
      </c>
      <c r="B99" s="170">
        <v>40544</v>
      </c>
      <c r="C99" s="203">
        <f t="shared" si="4"/>
        <v>11255.333333333334</v>
      </c>
      <c r="D99" s="203">
        <f>VLOOKUP(A99,$I$2:K111,3)</f>
        <v>-0.66666666666666663</v>
      </c>
      <c r="F99" s="227">
        <f t="shared" si="5"/>
        <v>28900</v>
      </c>
    </row>
    <row r="100" spans="1:6" x14ac:dyDescent="0.2">
      <c r="A100">
        <f t="shared" si="3"/>
        <v>2011</v>
      </c>
      <c r="B100" s="110">
        <v>40575</v>
      </c>
      <c r="C100" s="203">
        <f t="shared" si="4"/>
        <v>11254.666666666668</v>
      </c>
      <c r="D100" s="203">
        <f>VLOOKUP(A100,$I$2:K112,3)</f>
        <v>-0.66666666666666663</v>
      </c>
      <c r="F100" s="227">
        <f t="shared" si="5"/>
        <v>28900</v>
      </c>
    </row>
    <row r="101" spans="1:6" x14ac:dyDescent="0.2">
      <c r="A101">
        <f t="shared" si="3"/>
        <v>2011</v>
      </c>
      <c r="B101" s="170">
        <v>40603</v>
      </c>
      <c r="C101" s="203">
        <f t="shared" si="4"/>
        <v>11254.000000000002</v>
      </c>
      <c r="D101" s="203">
        <f>VLOOKUP(A101,$I$2:K113,3)</f>
        <v>-0.66666666666666663</v>
      </c>
      <c r="F101" s="227">
        <f t="shared" si="5"/>
        <v>28900</v>
      </c>
    </row>
    <row r="102" spans="1:6" x14ac:dyDescent="0.2">
      <c r="A102">
        <f t="shared" si="3"/>
        <v>2011</v>
      </c>
      <c r="B102" s="110">
        <v>40634</v>
      </c>
      <c r="C102" s="203">
        <f t="shared" si="4"/>
        <v>11253.333333333336</v>
      </c>
      <c r="D102" s="203">
        <f>VLOOKUP(A102,$I$2:K114,3)</f>
        <v>-0.66666666666666663</v>
      </c>
      <c r="F102" s="227">
        <f t="shared" si="5"/>
        <v>28900</v>
      </c>
    </row>
    <row r="103" spans="1:6" x14ac:dyDescent="0.2">
      <c r="A103">
        <f t="shared" si="3"/>
        <v>2011</v>
      </c>
      <c r="B103" s="170">
        <v>40664</v>
      </c>
      <c r="C103" s="203">
        <f t="shared" si="4"/>
        <v>11252.66666666667</v>
      </c>
      <c r="D103" s="203">
        <f>VLOOKUP(A103,$I$2:K115,3)</f>
        <v>-0.66666666666666663</v>
      </c>
      <c r="F103" s="218">
        <f>D233</f>
        <v>0</v>
      </c>
    </row>
    <row r="104" spans="1:6" x14ac:dyDescent="0.2">
      <c r="A104">
        <f t="shared" si="3"/>
        <v>2011</v>
      </c>
      <c r="B104" s="110">
        <v>40695</v>
      </c>
      <c r="C104" s="203">
        <f t="shared" si="4"/>
        <v>11252.000000000004</v>
      </c>
      <c r="D104" s="203">
        <f>VLOOKUP(A104,$I$2:K116,3)</f>
        <v>-0.66666666666666663</v>
      </c>
      <c r="F104" s="227">
        <f>F103+$I$229</f>
        <v>0</v>
      </c>
    </row>
    <row r="105" spans="1:6" x14ac:dyDescent="0.2">
      <c r="A105">
        <f t="shared" si="3"/>
        <v>2011</v>
      </c>
      <c r="B105" s="170">
        <v>40725</v>
      </c>
      <c r="C105" s="203">
        <f t="shared" si="4"/>
        <v>11251.333333333338</v>
      </c>
      <c r="D105" s="203">
        <f>VLOOKUP(A105,$I$2:K117,3)</f>
        <v>-0.66666666666666663</v>
      </c>
      <c r="F105" s="227">
        <f t="shared" ref="F105:F122" si="6">F104+$I$229</f>
        <v>0</v>
      </c>
    </row>
    <row r="106" spans="1:6" x14ac:dyDescent="0.2">
      <c r="A106">
        <f t="shared" si="3"/>
        <v>2011</v>
      </c>
      <c r="B106" s="110">
        <v>40756</v>
      </c>
      <c r="C106" s="203">
        <f t="shared" si="4"/>
        <v>11250.666666666672</v>
      </c>
      <c r="D106" s="203">
        <f>VLOOKUP(A106,$I$2:K118,3)</f>
        <v>-0.66666666666666663</v>
      </c>
      <c r="F106" s="227">
        <f t="shared" si="6"/>
        <v>0</v>
      </c>
    </row>
    <row r="107" spans="1:6" x14ac:dyDescent="0.2">
      <c r="A107">
        <f t="shared" si="3"/>
        <v>2011</v>
      </c>
      <c r="B107" s="170">
        <v>40787</v>
      </c>
      <c r="C107" s="203">
        <f t="shared" si="4"/>
        <v>11250.000000000005</v>
      </c>
      <c r="D107" s="203">
        <f>VLOOKUP(A107,$I$2:K119,3)</f>
        <v>-0.66666666666666663</v>
      </c>
      <c r="F107" s="227">
        <f t="shared" si="6"/>
        <v>0</v>
      </c>
    </row>
    <row r="108" spans="1:6" x14ac:dyDescent="0.2">
      <c r="A108">
        <f t="shared" si="3"/>
        <v>2011</v>
      </c>
      <c r="B108" s="110">
        <v>40817</v>
      </c>
      <c r="C108" s="203">
        <f t="shared" si="4"/>
        <v>11249.333333333339</v>
      </c>
      <c r="D108" s="203">
        <f>VLOOKUP(A108,$I$2:K120,3)</f>
        <v>-0.66666666666666663</v>
      </c>
      <c r="F108" s="227">
        <f t="shared" si="6"/>
        <v>0</v>
      </c>
    </row>
    <row r="109" spans="1:6" x14ac:dyDescent="0.2">
      <c r="A109">
        <f t="shared" si="3"/>
        <v>2011</v>
      </c>
      <c r="B109" s="170">
        <v>40848</v>
      </c>
      <c r="C109" s="203">
        <f t="shared" si="4"/>
        <v>11248.666666666673</v>
      </c>
      <c r="D109" s="203">
        <f>VLOOKUP(A109,$I$2:K121,3)</f>
        <v>-0.66666666666666663</v>
      </c>
      <c r="F109" s="227">
        <f t="shared" si="6"/>
        <v>0</v>
      </c>
    </row>
    <row r="110" spans="1:6" x14ac:dyDescent="0.2">
      <c r="A110">
        <f t="shared" si="3"/>
        <v>2011</v>
      </c>
      <c r="B110" s="110">
        <v>40878</v>
      </c>
      <c r="C110" s="203">
        <f t="shared" si="4"/>
        <v>11248.000000000007</v>
      </c>
      <c r="D110" s="203">
        <f>VLOOKUP(A110,$I$2:K122,3)</f>
        <v>-0.66666666666666663</v>
      </c>
      <c r="F110" s="227">
        <f t="shared" si="6"/>
        <v>0</v>
      </c>
    </row>
    <row r="111" spans="1:6" x14ac:dyDescent="0.2">
      <c r="A111">
        <f t="shared" si="3"/>
        <v>2012</v>
      </c>
      <c r="B111" s="170">
        <v>40909</v>
      </c>
      <c r="C111" s="203">
        <f t="shared" si="4"/>
        <v>11260.000000000007</v>
      </c>
      <c r="D111" s="203">
        <f>VLOOKUP(A111,$I$2:K123,3)</f>
        <v>12</v>
      </c>
      <c r="F111" s="227">
        <f t="shared" si="6"/>
        <v>0</v>
      </c>
    </row>
    <row r="112" spans="1:6" x14ac:dyDescent="0.2">
      <c r="A112">
        <f t="shared" si="3"/>
        <v>2012</v>
      </c>
      <c r="B112" s="110">
        <v>40940</v>
      </c>
      <c r="C112" s="203">
        <f t="shared" si="4"/>
        <v>11272.000000000007</v>
      </c>
      <c r="D112" s="203">
        <f>VLOOKUP(A112,$I$2:K124,3)</f>
        <v>12</v>
      </c>
      <c r="F112" s="227">
        <f t="shared" si="6"/>
        <v>0</v>
      </c>
    </row>
    <row r="113" spans="1:6" x14ac:dyDescent="0.2">
      <c r="A113">
        <f t="shared" si="3"/>
        <v>2012</v>
      </c>
      <c r="B113" s="170">
        <v>40969</v>
      </c>
      <c r="C113" s="203">
        <f t="shared" si="4"/>
        <v>11284.000000000007</v>
      </c>
      <c r="D113" s="203">
        <f>VLOOKUP(A113,$I$2:K125,3)</f>
        <v>12</v>
      </c>
      <c r="F113" s="227">
        <f t="shared" si="6"/>
        <v>0</v>
      </c>
    </row>
    <row r="114" spans="1:6" x14ac:dyDescent="0.2">
      <c r="A114">
        <f t="shared" si="3"/>
        <v>2012</v>
      </c>
      <c r="B114" s="110">
        <v>41000</v>
      </c>
      <c r="C114" s="203">
        <f t="shared" si="4"/>
        <v>11296.000000000007</v>
      </c>
      <c r="D114" s="203">
        <f>VLOOKUP(A114,$I$2:K126,3)</f>
        <v>12</v>
      </c>
      <c r="F114" s="227">
        <f t="shared" si="6"/>
        <v>0</v>
      </c>
    </row>
    <row r="115" spans="1:6" x14ac:dyDescent="0.2">
      <c r="A115">
        <f t="shared" si="3"/>
        <v>2012</v>
      </c>
      <c r="B115" s="170">
        <v>41030</v>
      </c>
      <c r="C115" s="203">
        <f t="shared" si="4"/>
        <v>11308.000000000007</v>
      </c>
      <c r="D115" s="203">
        <f>VLOOKUP(A115,$I$2:K127,3)</f>
        <v>12</v>
      </c>
      <c r="F115" s="227">
        <f t="shared" si="6"/>
        <v>0</v>
      </c>
    </row>
    <row r="116" spans="1:6" x14ac:dyDescent="0.2">
      <c r="A116">
        <f t="shared" si="3"/>
        <v>2012</v>
      </c>
      <c r="B116" s="110">
        <v>41061</v>
      </c>
      <c r="C116" s="203">
        <f t="shared" si="4"/>
        <v>11320.000000000007</v>
      </c>
      <c r="D116" s="203">
        <f>VLOOKUP(A116,$I$2:K128,3)</f>
        <v>12</v>
      </c>
      <c r="F116" s="227">
        <f t="shared" si="6"/>
        <v>0</v>
      </c>
    </row>
    <row r="117" spans="1:6" x14ac:dyDescent="0.2">
      <c r="A117">
        <f t="shared" si="3"/>
        <v>2012</v>
      </c>
      <c r="B117" s="170">
        <v>41091</v>
      </c>
      <c r="C117" s="203">
        <f t="shared" si="4"/>
        <v>11332.000000000007</v>
      </c>
      <c r="D117" s="203">
        <f>VLOOKUP(A117,$I$2:K129,3)</f>
        <v>12</v>
      </c>
      <c r="F117" s="227">
        <f t="shared" si="6"/>
        <v>0</v>
      </c>
    </row>
    <row r="118" spans="1:6" x14ac:dyDescent="0.2">
      <c r="A118">
        <f t="shared" si="3"/>
        <v>2012</v>
      </c>
      <c r="B118" s="110">
        <v>41122</v>
      </c>
      <c r="C118" s="203">
        <f t="shared" si="4"/>
        <v>11344.000000000007</v>
      </c>
      <c r="D118" s="203">
        <f>VLOOKUP(A118,$I$2:K130,3)</f>
        <v>12</v>
      </c>
      <c r="F118" s="227">
        <f t="shared" si="6"/>
        <v>0</v>
      </c>
    </row>
    <row r="119" spans="1:6" x14ac:dyDescent="0.2">
      <c r="A119">
        <f t="shared" si="3"/>
        <v>2012</v>
      </c>
      <c r="B119" s="170">
        <v>41153</v>
      </c>
      <c r="C119" s="203">
        <f t="shared" si="4"/>
        <v>11356.000000000007</v>
      </c>
      <c r="D119" s="203">
        <f>VLOOKUP(A119,$I$2:K131,3)</f>
        <v>12</v>
      </c>
      <c r="F119" s="227">
        <f t="shared" si="6"/>
        <v>0</v>
      </c>
    </row>
    <row r="120" spans="1:6" x14ac:dyDescent="0.2">
      <c r="A120">
        <f t="shared" si="3"/>
        <v>2012</v>
      </c>
      <c r="B120" s="110">
        <v>41183</v>
      </c>
      <c r="C120" s="203">
        <f t="shared" si="4"/>
        <v>11368.000000000007</v>
      </c>
      <c r="D120" s="203">
        <f>VLOOKUP(A120,$I$2:K132,3)</f>
        <v>12</v>
      </c>
      <c r="F120" s="227">
        <f t="shared" si="6"/>
        <v>0</v>
      </c>
    </row>
    <row r="121" spans="1:6" x14ac:dyDescent="0.2">
      <c r="A121">
        <f t="shared" si="3"/>
        <v>2012</v>
      </c>
      <c r="B121" s="170">
        <v>41214</v>
      </c>
      <c r="C121" s="203">
        <f t="shared" si="4"/>
        <v>11380.000000000007</v>
      </c>
      <c r="D121" s="203">
        <f>VLOOKUP(A121,$I$2:K133,3)</f>
        <v>12</v>
      </c>
      <c r="F121" s="227">
        <f t="shared" si="6"/>
        <v>0</v>
      </c>
    </row>
    <row r="122" spans="1:6" x14ac:dyDescent="0.2">
      <c r="A122">
        <f t="shared" si="3"/>
        <v>2012</v>
      </c>
      <c r="B122" s="110">
        <v>41244</v>
      </c>
      <c r="C122" s="203">
        <f t="shared" si="4"/>
        <v>11392.000000000007</v>
      </c>
      <c r="D122" s="203">
        <f>VLOOKUP(A122,$I$2:K134,3)</f>
        <v>12</v>
      </c>
      <c r="F122" s="227">
        <f t="shared" si="6"/>
        <v>0</v>
      </c>
    </row>
    <row r="123" spans="1:6" x14ac:dyDescent="0.2">
      <c r="A123">
        <f t="shared" si="3"/>
        <v>2013</v>
      </c>
      <c r="B123" s="170">
        <v>41275</v>
      </c>
      <c r="C123" s="203">
        <f t="shared" si="4"/>
        <v>10442.666666666673</v>
      </c>
      <c r="D123" s="203">
        <f>VLOOKUP(A123,$I$2:K135,3)</f>
        <v>-949.33333333333337</v>
      </c>
      <c r="F123" s="227">
        <f>F122+($K$134-$K$122)/12</f>
        <v>0</v>
      </c>
    </row>
    <row r="124" spans="1:6" x14ac:dyDescent="0.2">
      <c r="A124">
        <f t="shared" si="3"/>
        <v>2013</v>
      </c>
      <c r="B124" s="110">
        <v>41306</v>
      </c>
      <c r="C124" s="203">
        <f t="shared" si="4"/>
        <v>9493.3333333333394</v>
      </c>
      <c r="D124" s="203">
        <f>VLOOKUP(A124,$I$2:K136,3)</f>
        <v>-949.33333333333337</v>
      </c>
      <c r="F124" s="227">
        <f t="shared" ref="F124:F133" si="7">($K$134-$K$122)/12+F123</f>
        <v>0</v>
      </c>
    </row>
    <row r="125" spans="1:6" x14ac:dyDescent="0.2">
      <c r="A125">
        <f t="shared" si="3"/>
        <v>2013</v>
      </c>
      <c r="B125" s="170">
        <v>41334</v>
      </c>
      <c r="C125" s="203">
        <f t="shared" si="4"/>
        <v>8544.0000000000055</v>
      </c>
      <c r="D125" s="203">
        <f>VLOOKUP(A125,$I$2:K137,3)</f>
        <v>-949.33333333333337</v>
      </c>
      <c r="F125" s="227">
        <f t="shared" si="7"/>
        <v>0</v>
      </c>
    </row>
    <row r="126" spans="1:6" x14ac:dyDescent="0.2">
      <c r="A126">
        <f t="shared" si="3"/>
        <v>2013</v>
      </c>
      <c r="B126" s="110">
        <v>41365</v>
      </c>
      <c r="C126" s="203">
        <f t="shared" si="4"/>
        <v>7594.6666666666724</v>
      </c>
      <c r="D126" s="203">
        <f>VLOOKUP(A126,$I$2:K138,3)</f>
        <v>-949.33333333333337</v>
      </c>
      <c r="F126" s="227">
        <f t="shared" si="7"/>
        <v>0</v>
      </c>
    </row>
    <row r="127" spans="1:6" x14ac:dyDescent="0.2">
      <c r="A127">
        <f t="shared" si="3"/>
        <v>2013</v>
      </c>
      <c r="B127" s="170">
        <v>41395</v>
      </c>
      <c r="C127" s="203">
        <f t="shared" si="4"/>
        <v>6645.3333333333394</v>
      </c>
      <c r="D127" s="203">
        <f>VLOOKUP(A127,$I$2:K139,3)</f>
        <v>-949.33333333333337</v>
      </c>
      <c r="F127" s="227">
        <f t="shared" si="7"/>
        <v>0</v>
      </c>
    </row>
    <row r="128" spans="1:6" x14ac:dyDescent="0.2">
      <c r="A128">
        <f t="shared" si="3"/>
        <v>2013</v>
      </c>
      <c r="B128" s="110">
        <v>41426</v>
      </c>
      <c r="C128" s="203">
        <f t="shared" si="4"/>
        <v>5696.0000000000064</v>
      </c>
      <c r="D128" s="203">
        <f>VLOOKUP(A128,$I$2:K140,3)</f>
        <v>-949.33333333333337</v>
      </c>
      <c r="F128" s="227">
        <f t="shared" si="7"/>
        <v>0</v>
      </c>
    </row>
    <row r="129" spans="1:6" x14ac:dyDescent="0.2">
      <c r="A129">
        <f t="shared" si="3"/>
        <v>2013</v>
      </c>
      <c r="B129" s="170">
        <v>41456</v>
      </c>
      <c r="C129" s="203">
        <f t="shared" si="4"/>
        <v>4746.6666666666733</v>
      </c>
      <c r="D129" s="203">
        <f>VLOOKUP(A129,$I$2:K141,3)</f>
        <v>-949.33333333333337</v>
      </c>
      <c r="F129" s="227">
        <f t="shared" si="7"/>
        <v>0</v>
      </c>
    </row>
    <row r="130" spans="1:6" x14ac:dyDescent="0.2">
      <c r="A130">
        <f t="shared" si="3"/>
        <v>2013</v>
      </c>
      <c r="B130" s="110">
        <v>41487</v>
      </c>
      <c r="C130" s="203">
        <f t="shared" si="4"/>
        <v>3797.3333333333399</v>
      </c>
      <c r="D130" s="203">
        <f>VLOOKUP(A130,$I$2:K142,3)</f>
        <v>-949.33333333333337</v>
      </c>
      <c r="F130" s="227">
        <f t="shared" si="7"/>
        <v>0</v>
      </c>
    </row>
    <row r="131" spans="1:6" x14ac:dyDescent="0.2">
      <c r="A131">
        <f t="shared" ref="A131:A146" si="8">YEAR(B131)</f>
        <v>2013</v>
      </c>
      <c r="B131" s="170">
        <v>41518</v>
      </c>
      <c r="C131" s="203">
        <f t="shared" si="4"/>
        <v>2848.0000000000064</v>
      </c>
      <c r="D131" s="203">
        <f>VLOOKUP(A131,$I$2:K143,3)</f>
        <v>-949.33333333333337</v>
      </c>
      <c r="F131" s="227">
        <f t="shared" si="7"/>
        <v>0</v>
      </c>
    </row>
    <row r="132" spans="1:6" x14ac:dyDescent="0.2">
      <c r="A132">
        <f t="shared" si="8"/>
        <v>2013</v>
      </c>
      <c r="B132" s="170">
        <v>41548</v>
      </c>
      <c r="C132" s="203">
        <f t="shared" ref="C132:C146" si="9">C131+D132</f>
        <v>1898.6666666666729</v>
      </c>
      <c r="D132" s="203">
        <f>VLOOKUP(A132,$I$2:K144,3)</f>
        <v>-949.33333333333337</v>
      </c>
      <c r="F132" s="227">
        <f t="shared" si="7"/>
        <v>0</v>
      </c>
    </row>
    <row r="133" spans="1:6" x14ac:dyDescent="0.2">
      <c r="A133">
        <f t="shared" si="8"/>
        <v>2013</v>
      </c>
      <c r="B133" s="110">
        <v>41579</v>
      </c>
      <c r="C133" s="203">
        <f t="shared" si="9"/>
        <v>949.33333333333951</v>
      </c>
      <c r="D133" s="203">
        <f>VLOOKUP(A133,$I$2:K145,3)</f>
        <v>-949.33333333333337</v>
      </c>
      <c r="F133" s="227">
        <f t="shared" si="7"/>
        <v>0</v>
      </c>
    </row>
    <row r="134" spans="1:6" x14ac:dyDescent="0.2">
      <c r="A134">
        <f t="shared" si="8"/>
        <v>2013</v>
      </c>
      <c r="B134" s="170">
        <v>41609</v>
      </c>
      <c r="C134" s="203">
        <f t="shared" si="9"/>
        <v>6.1390892369672656E-12</v>
      </c>
      <c r="D134" s="203">
        <f>VLOOKUP(A134,$I$2:K146,3)</f>
        <v>-949.33333333333337</v>
      </c>
      <c r="F134" s="264">
        <f>29035+B236</f>
        <v>29035</v>
      </c>
    </row>
    <row r="135" spans="1:6" x14ac:dyDescent="0.2">
      <c r="A135">
        <f t="shared" si="8"/>
        <v>2014</v>
      </c>
      <c r="B135" s="110">
        <v>41640</v>
      </c>
      <c r="C135" s="203">
        <f t="shared" si="9"/>
        <v>6.1390892369672656E-12</v>
      </c>
      <c r="D135" s="203">
        <f>VLOOKUP(A135,$I$2:K147,3)</f>
        <v>0</v>
      </c>
      <c r="F135" s="227">
        <f t="shared" ref="F135:F145" si="10">($K$146-$K$134)/12+F134</f>
        <v>29035</v>
      </c>
    </row>
    <row r="136" spans="1:6" x14ac:dyDescent="0.2">
      <c r="A136">
        <f t="shared" si="8"/>
        <v>2014</v>
      </c>
      <c r="B136" s="170">
        <v>41671</v>
      </c>
      <c r="C136" s="203">
        <f t="shared" si="9"/>
        <v>6.1390892369672656E-12</v>
      </c>
      <c r="D136" s="203">
        <f>VLOOKUP(A136,$I$2:K148,3)</f>
        <v>0</v>
      </c>
      <c r="F136" s="227">
        <f t="shared" si="10"/>
        <v>29035</v>
      </c>
    </row>
    <row r="137" spans="1:6" x14ac:dyDescent="0.2">
      <c r="A137">
        <f t="shared" si="8"/>
        <v>2014</v>
      </c>
      <c r="B137" s="110">
        <v>41699</v>
      </c>
      <c r="C137" s="203">
        <f t="shared" si="9"/>
        <v>6.1390892369672656E-12</v>
      </c>
      <c r="D137" s="203">
        <f>VLOOKUP(A137,$I$2:K149,3)</f>
        <v>0</v>
      </c>
      <c r="F137" s="227">
        <f t="shared" si="10"/>
        <v>29035</v>
      </c>
    </row>
    <row r="138" spans="1:6" x14ac:dyDescent="0.2">
      <c r="A138">
        <f t="shared" si="8"/>
        <v>2014</v>
      </c>
      <c r="B138" s="170">
        <v>41730</v>
      </c>
      <c r="C138" s="203">
        <f t="shared" si="9"/>
        <v>6.1390892369672656E-12</v>
      </c>
      <c r="D138" s="203">
        <f>VLOOKUP(A138,$I$2:K150,3)</f>
        <v>0</v>
      </c>
      <c r="F138" s="227">
        <f t="shared" si="10"/>
        <v>29035</v>
      </c>
    </row>
    <row r="139" spans="1:6" x14ac:dyDescent="0.2">
      <c r="A139">
        <f t="shared" si="8"/>
        <v>2014</v>
      </c>
      <c r="B139" s="110">
        <v>41760</v>
      </c>
      <c r="C139" s="203">
        <f t="shared" si="9"/>
        <v>6.1390892369672656E-12</v>
      </c>
      <c r="D139" s="203">
        <f>VLOOKUP(A139,$I$2:K151,3)</f>
        <v>0</v>
      </c>
      <c r="F139" s="227">
        <f t="shared" si="10"/>
        <v>29035</v>
      </c>
    </row>
    <row r="140" spans="1:6" x14ac:dyDescent="0.2">
      <c r="A140">
        <f t="shared" si="8"/>
        <v>2014</v>
      </c>
      <c r="B140" s="170">
        <v>41791</v>
      </c>
      <c r="C140" s="203">
        <f t="shared" si="9"/>
        <v>6.1390892369672656E-12</v>
      </c>
      <c r="D140" s="203">
        <f>VLOOKUP(A140,$I$2:K152,3)</f>
        <v>0</v>
      </c>
      <c r="F140" s="227">
        <f t="shared" si="10"/>
        <v>29035</v>
      </c>
    </row>
    <row r="141" spans="1:6" x14ac:dyDescent="0.2">
      <c r="A141">
        <f t="shared" si="8"/>
        <v>2014</v>
      </c>
      <c r="B141" s="110">
        <v>41821</v>
      </c>
      <c r="C141" s="203">
        <f t="shared" si="9"/>
        <v>6.1390892369672656E-12</v>
      </c>
      <c r="D141" s="203">
        <f>VLOOKUP(A141,$I$2:K153,3)</f>
        <v>0</v>
      </c>
      <c r="F141" s="227">
        <f t="shared" si="10"/>
        <v>29035</v>
      </c>
    </row>
    <row r="142" spans="1:6" x14ac:dyDescent="0.2">
      <c r="A142">
        <f t="shared" si="8"/>
        <v>2014</v>
      </c>
      <c r="B142" s="170">
        <v>41852</v>
      </c>
      <c r="C142" s="203">
        <f t="shared" si="9"/>
        <v>6.1390892369672656E-12</v>
      </c>
      <c r="D142" s="203">
        <f>VLOOKUP(A142,$I$2:K154,3)</f>
        <v>0</v>
      </c>
      <c r="F142" s="227">
        <f t="shared" si="10"/>
        <v>29035</v>
      </c>
    </row>
    <row r="143" spans="1:6" x14ac:dyDescent="0.2">
      <c r="A143">
        <f t="shared" si="8"/>
        <v>2014</v>
      </c>
      <c r="B143" s="110">
        <v>41883</v>
      </c>
      <c r="C143" s="203">
        <f t="shared" si="9"/>
        <v>6.1390892369672656E-12</v>
      </c>
      <c r="D143" s="203">
        <f>VLOOKUP(A143,$I$2:K155,3)</f>
        <v>0</v>
      </c>
      <c r="F143" s="227">
        <f t="shared" si="10"/>
        <v>29035</v>
      </c>
    </row>
    <row r="144" spans="1:6" x14ac:dyDescent="0.2">
      <c r="A144">
        <f t="shared" si="8"/>
        <v>2014</v>
      </c>
      <c r="B144" s="170">
        <v>41913</v>
      </c>
      <c r="C144" s="203">
        <f t="shared" si="9"/>
        <v>6.1390892369672656E-12</v>
      </c>
      <c r="D144" s="203">
        <f>VLOOKUP(A144,$I$2:K156,3)</f>
        <v>0</v>
      </c>
      <c r="F144" s="227">
        <f t="shared" si="10"/>
        <v>29035</v>
      </c>
    </row>
    <row r="145" spans="1:6" x14ac:dyDescent="0.2">
      <c r="A145">
        <f t="shared" si="8"/>
        <v>2014</v>
      </c>
      <c r="B145" s="110">
        <v>41944</v>
      </c>
      <c r="C145" s="203">
        <f t="shared" si="9"/>
        <v>6.1390892369672656E-12</v>
      </c>
      <c r="D145" s="203">
        <f>VLOOKUP(A145,$I$2:K157,3)</f>
        <v>0</v>
      </c>
      <c r="F145" s="227">
        <f t="shared" si="10"/>
        <v>29035</v>
      </c>
    </row>
    <row r="146" spans="1:6" x14ac:dyDescent="0.2">
      <c r="A146">
        <f t="shared" si="8"/>
        <v>2014</v>
      </c>
      <c r="B146" s="170">
        <v>41974</v>
      </c>
      <c r="C146" s="203">
        <f t="shared" si="9"/>
        <v>6.1390892369672656E-12</v>
      </c>
      <c r="D146" s="203">
        <f>VLOOKUP(A146,$I$2:K158,3)</f>
        <v>0</v>
      </c>
      <c r="F146" s="264">
        <f>29578+B237</f>
        <v>29578</v>
      </c>
    </row>
  </sheetData>
  <conditionalFormatting sqref="F75:F146">
    <cfRule type="expression" dxfId="0" priority="1">
      <formula>MONTH(XFA75)=12</formula>
    </cfRule>
  </conditionalFormatting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N190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3" sqref="G3"/>
    </sheetView>
  </sheetViews>
  <sheetFormatPr defaultRowHeight="12.75" x14ac:dyDescent="0.2"/>
  <cols>
    <col min="1" max="1" width="11.85546875" customWidth="1"/>
    <col min="2" max="2" width="18" style="22" customWidth="1"/>
    <col min="3" max="3" width="11.7109375" style="19" customWidth="1"/>
    <col min="4" max="4" width="13.42578125" style="19" customWidth="1"/>
    <col min="5" max="5" width="12.42578125" style="19" customWidth="1"/>
    <col min="6" max="6" width="10.140625" style="19" customWidth="1"/>
    <col min="7" max="8" width="12.42578125" style="19" customWidth="1"/>
    <col min="9" max="11" width="12.42578125" style="19" hidden="1" customWidth="1"/>
    <col min="12" max="12" width="14.42578125" style="28" hidden="1" customWidth="1"/>
    <col min="13" max="13" width="12.42578125" style="19" customWidth="1"/>
    <col min="14" max="14" width="29" style="19" bestFit="1" customWidth="1"/>
    <col min="15" max="15" width="26.42578125" style="19" customWidth="1"/>
    <col min="16" max="16" width="22.7109375" style="19" customWidth="1"/>
    <col min="17" max="17" width="15.7109375" style="89" customWidth="1"/>
    <col min="18" max="18" width="17" style="89" customWidth="1"/>
    <col min="19" max="19" width="12.42578125" style="89" customWidth="1"/>
    <col min="20" max="20" width="25.85546875" bestFit="1" customWidth="1"/>
    <col min="21" max="23" width="18" customWidth="1"/>
    <col min="24" max="24" width="17.140625" customWidth="1"/>
    <col min="25" max="26" width="15.7109375" customWidth="1"/>
    <col min="27" max="27" width="15" customWidth="1"/>
    <col min="28" max="29" width="14.140625" bestFit="1" customWidth="1"/>
    <col min="30" max="30" width="11.7109375" bestFit="1" customWidth="1"/>
    <col min="31" max="31" width="11.85546875" bestFit="1" customWidth="1"/>
    <col min="32" max="32" width="12.5703125" customWidth="1"/>
    <col min="33" max="33" width="11.28515625" customWidth="1"/>
    <col min="34" max="34" width="11.5703125" customWidth="1"/>
    <col min="35" max="35" width="9.28515625" style="6" customWidth="1"/>
    <col min="36" max="36" width="9.140625" style="6"/>
    <col min="37" max="37" width="11.7109375" style="6" bestFit="1" customWidth="1"/>
    <col min="38" max="38" width="10.7109375" style="6" bestFit="1" customWidth="1"/>
    <col min="39" max="40" width="9.140625" style="6"/>
    <col min="257" max="257" width="11.85546875" customWidth="1"/>
    <col min="258" max="258" width="18" customWidth="1"/>
    <col min="259" max="259" width="11.7109375" customWidth="1"/>
    <col min="260" max="260" width="13.42578125" customWidth="1"/>
    <col min="261" max="261" width="12.42578125" customWidth="1"/>
    <col min="262" max="262" width="10.140625" customWidth="1"/>
    <col min="263" max="264" width="12.42578125" customWidth="1"/>
    <col min="265" max="268" width="0" hidden="1" customWidth="1"/>
    <col min="269" max="269" width="12.42578125" customWidth="1"/>
    <col min="270" max="270" width="29" bestFit="1" customWidth="1"/>
    <col min="271" max="271" width="26.42578125" customWidth="1"/>
    <col min="272" max="272" width="22.7109375" customWidth="1"/>
    <col min="273" max="273" width="15.7109375" customWidth="1"/>
    <col min="274" max="274" width="17" customWidth="1"/>
    <col min="275" max="275" width="12.42578125" customWidth="1"/>
    <col min="276" max="276" width="25.85546875" bestFit="1" customWidth="1"/>
    <col min="277" max="279" width="18" customWidth="1"/>
    <col min="280" max="280" width="17.140625" customWidth="1"/>
    <col min="281" max="282" width="15.7109375" customWidth="1"/>
    <col min="283" max="283" width="15" customWidth="1"/>
    <col min="284" max="285" width="14.140625" bestFit="1" customWidth="1"/>
    <col min="286" max="286" width="11.7109375" bestFit="1" customWidth="1"/>
    <col min="287" max="287" width="11.85546875" bestFit="1" customWidth="1"/>
    <col min="288" max="288" width="12.5703125" customWidth="1"/>
    <col min="289" max="289" width="11.28515625" customWidth="1"/>
    <col min="290" max="290" width="11.5703125" customWidth="1"/>
    <col min="291" max="291" width="9.28515625" customWidth="1"/>
    <col min="293" max="293" width="11.7109375" bestFit="1" customWidth="1"/>
    <col min="294" max="294" width="10.7109375" bestFit="1" customWidth="1"/>
    <col min="513" max="513" width="11.85546875" customWidth="1"/>
    <col min="514" max="514" width="18" customWidth="1"/>
    <col min="515" max="515" width="11.7109375" customWidth="1"/>
    <col min="516" max="516" width="13.42578125" customWidth="1"/>
    <col min="517" max="517" width="12.42578125" customWidth="1"/>
    <col min="518" max="518" width="10.140625" customWidth="1"/>
    <col min="519" max="520" width="12.42578125" customWidth="1"/>
    <col min="521" max="524" width="0" hidden="1" customWidth="1"/>
    <col min="525" max="525" width="12.42578125" customWidth="1"/>
    <col min="526" max="526" width="29" bestFit="1" customWidth="1"/>
    <col min="527" max="527" width="26.42578125" customWidth="1"/>
    <col min="528" max="528" width="22.7109375" customWidth="1"/>
    <col min="529" max="529" width="15.7109375" customWidth="1"/>
    <col min="530" max="530" width="17" customWidth="1"/>
    <col min="531" max="531" width="12.42578125" customWidth="1"/>
    <col min="532" max="532" width="25.85546875" bestFit="1" customWidth="1"/>
    <col min="533" max="535" width="18" customWidth="1"/>
    <col min="536" max="536" width="17.140625" customWidth="1"/>
    <col min="537" max="538" width="15.7109375" customWidth="1"/>
    <col min="539" max="539" width="15" customWidth="1"/>
    <col min="540" max="541" width="14.140625" bestFit="1" customWidth="1"/>
    <col min="542" max="542" width="11.7109375" bestFit="1" customWidth="1"/>
    <col min="543" max="543" width="11.85546875" bestFit="1" customWidth="1"/>
    <col min="544" max="544" width="12.5703125" customWidth="1"/>
    <col min="545" max="545" width="11.28515625" customWidth="1"/>
    <col min="546" max="546" width="11.5703125" customWidth="1"/>
    <col min="547" max="547" width="9.28515625" customWidth="1"/>
    <col min="549" max="549" width="11.7109375" bestFit="1" customWidth="1"/>
    <col min="550" max="550" width="10.7109375" bestFit="1" customWidth="1"/>
    <col min="769" max="769" width="11.85546875" customWidth="1"/>
    <col min="770" max="770" width="18" customWidth="1"/>
    <col min="771" max="771" width="11.7109375" customWidth="1"/>
    <col min="772" max="772" width="13.42578125" customWidth="1"/>
    <col min="773" max="773" width="12.42578125" customWidth="1"/>
    <col min="774" max="774" width="10.140625" customWidth="1"/>
    <col min="775" max="776" width="12.42578125" customWidth="1"/>
    <col min="777" max="780" width="0" hidden="1" customWidth="1"/>
    <col min="781" max="781" width="12.42578125" customWidth="1"/>
    <col min="782" max="782" width="29" bestFit="1" customWidth="1"/>
    <col min="783" max="783" width="26.42578125" customWidth="1"/>
    <col min="784" max="784" width="22.7109375" customWidth="1"/>
    <col min="785" max="785" width="15.7109375" customWidth="1"/>
    <col min="786" max="786" width="17" customWidth="1"/>
    <col min="787" max="787" width="12.42578125" customWidth="1"/>
    <col min="788" max="788" width="25.85546875" bestFit="1" customWidth="1"/>
    <col min="789" max="791" width="18" customWidth="1"/>
    <col min="792" max="792" width="17.140625" customWidth="1"/>
    <col min="793" max="794" width="15.7109375" customWidth="1"/>
    <col min="795" max="795" width="15" customWidth="1"/>
    <col min="796" max="797" width="14.140625" bestFit="1" customWidth="1"/>
    <col min="798" max="798" width="11.7109375" bestFit="1" customWidth="1"/>
    <col min="799" max="799" width="11.85546875" bestFit="1" customWidth="1"/>
    <col min="800" max="800" width="12.5703125" customWidth="1"/>
    <col min="801" max="801" width="11.28515625" customWidth="1"/>
    <col min="802" max="802" width="11.5703125" customWidth="1"/>
    <col min="803" max="803" width="9.28515625" customWidth="1"/>
    <col min="805" max="805" width="11.7109375" bestFit="1" customWidth="1"/>
    <col min="806" max="806" width="10.7109375" bestFit="1" customWidth="1"/>
    <col min="1025" max="1025" width="11.85546875" customWidth="1"/>
    <col min="1026" max="1026" width="18" customWidth="1"/>
    <col min="1027" max="1027" width="11.7109375" customWidth="1"/>
    <col min="1028" max="1028" width="13.42578125" customWidth="1"/>
    <col min="1029" max="1029" width="12.42578125" customWidth="1"/>
    <col min="1030" max="1030" width="10.140625" customWidth="1"/>
    <col min="1031" max="1032" width="12.42578125" customWidth="1"/>
    <col min="1033" max="1036" width="0" hidden="1" customWidth="1"/>
    <col min="1037" max="1037" width="12.42578125" customWidth="1"/>
    <col min="1038" max="1038" width="29" bestFit="1" customWidth="1"/>
    <col min="1039" max="1039" width="26.42578125" customWidth="1"/>
    <col min="1040" max="1040" width="22.7109375" customWidth="1"/>
    <col min="1041" max="1041" width="15.7109375" customWidth="1"/>
    <col min="1042" max="1042" width="17" customWidth="1"/>
    <col min="1043" max="1043" width="12.42578125" customWidth="1"/>
    <col min="1044" max="1044" width="25.85546875" bestFit="1" customWidth="1"/>
    <col min="1045" max="1047" width="18" customWidth="1"/>
    <col min="1048" max="1048" width="17.140625" customWidth="1"/>
    <col min="1049" max="1050" width="15.7109375" customWidth="1"/>
    <col min="1051" max="1051" width="15" customWidth="1"/>
    <col min="1052" max="1053" width="14.140625" bestFit="1" customWidth="1"/>
    <col min="1054" max="1054" width="11.7109375" bestFit="1" customWidth="1"/>
    <col min="1055" max="1055" width="11.85546875" bestFit="1" customWidth="1"/>
    <col min="1056" max="1056" width="12.5703125" customWidth="1"/>
    <col min="1057" max="1057" width="11.28515625" customWidth="1"/>
    <col min="1058" max="1058" width="11.5703125" customWidth="1"/>
    <col min="1059" max="1059" width="9.28515625" customWidth="1"/>
    <col min="1061" max="1061" width="11.7109375" bestFit="1" customWidth="1"/>
    <col min="1062" max="1062" width="10.7109375" bestFit="1" customWidth="1"/>
    <col min="1281" max="1281" width="11.85546875" customWidth="1"/>
    <col min="1282" max="1282" width="18" customWidth="1"/>
    <col min="1283" max="1283" width="11.7109375" customWidth="1"/>
    <col min="1284" max="1284" width="13.42578125" customWidth="1"/>
    <col min="1285" max="1285" width="12.42578125" customWidth="1"/>
    <col min="1286" max="1286" width="10.140625" customWidth="1"/>
    <col min="1287" max="1288" width="12.42578125" customWidth="1"/>
    <col min="1289" max="1292" width="0" hidden="1" customWidth="1"/>
    <col min="1293" max="1293" width="12.42578125" customWidth="1"/>
    <col min="1294" max="1294" width="29" bestFit="1" customWidth="1"/>
    <col min="1295" max="1295" width="26.42578125" customWidth="1"/>
    <col min="1296" max="1296" width="22.7109375" customWidth="1"/>
    <col min="1297" max="1297" width="15.7109375" customWidth="1"/>
    <col min="1298" max="1298" width="17" customWidth="1"/>
    <col min="1299" max="1299" width="12.42578125" customWidth="1"/>
    <col min="1300" max="1300" width="25.85546875" bestFit="1" customWidth="1"/>
    <col min="1301" max="1303" width="18" customWidth="1"/>
    <col min="1304" max="1304" width="17.140625" customWidth="1"/>
    <col min="1305" max="1306" width="15.7109375" customWidth="1"/>
    <col min="1307" max="1307" width="15" customWidth="1"/>
    <col min="1308" max="1309" width="14.140625" bestFit="1" customWidth="1"/>
    <col min="1310" max="1310" width="11.7109375" bestFit="1" customWidth="1"/>
    <col min="1311" max="1311" width="11.85546875" bestFit="1" customWidth="1"/>
    <col min="1312" max="1312" width="12.5703125" customWidth="1"/>
    <col min="1313" max="1313" width="11.28515625" customWidth="1"/>
    <col min="1314" max="1314" width="11.5703125" customWidth="1"/>
    <col min="1315" max="1315" width="9.28515625" customWidth="1"/>
    <col min="1317" max="1317" width="11.7109375" bestFit="1" customWidth="1"/>
    <col min="1318" max="1318" width="10.7109375" bestFit="1" customWidth="1"/>
    <col min="1537" max="1537" width="11.85546875" customWidth="1"/>
    <col min="1538" max="1538" width="18" customWidth="1"/>
    <col min="1539" max="1539" width="11.7109375" customWidth="1"/>
    <col min="1540" max="1540" width="13.42578125" customWidth="1"/>
    <col min="1541" max="1541" width="12.42578125" customWidth="1"/>
    <col min="1542" max="1542" width="10.140625" customWidth="1"/>
    <col min="1543" max="1544" width="12.42578125" customWidth="1"/>
    <col min="1545" max="1548" width="0" hidden="1" customWidth="1"/>
    <col min="1549" max="1549" width="12.42578125" customWidth="1"/>
    <col min="1550" max="1550" width="29" bestFit="1" customWidth="1"/>
    <col min="1551" max="1551" width="26.42578125" customWidth="1"/>
    <col min="1552" max="1552" width="22.7109375" customWidth="1"/>
    <col min="1553" max="1553" width="15.7109375" customWidth="1"/>
    <col min="1554" max="1554" width="17" customWidth="1"/>
    <col min="1555" max="1555" width="12.42578125" customWidth="1"/>
    <col min="1556" max="1556" width="25.85546875" bestFit="1" customWidth="1"/>
    <col min="1557" max="1559" width="18" customWidth="1"/>
    <col min="1560" max="1560" width="17.140625" customWidth="1"/>
    <col min="1561" max="1562" width="15.7109375" customWidth="1"/>
    <col min="1563" max="1563" width="15" customWidth="1"/>
    <col min="1564" max="1565" width="14.140625" bestFit="1" customWidth="1"/>
    <col min="1566" max="1566" width="11.7109375" bestFit="1" customWidth="1"/>
    <col min="1567" max="1567" width="11.85546875" bestFit="1" customWidth="1"/>
    <col min="1568" max="1568" width="12.5703125" customWidth="1"/>
    <col min="1569" max="1569" width="11.28515625" customWidth="1"/>
    <col min="1570" max="1570" width="11.5703125" customWidth="1"/>
    <col min="1571" max="1571" width="9.28515625" customWidth="1"/>
    <col min="1573" max="1573" width="11.7109375" bestFit="1" customWidth="1"/>
    <col min="1574" max="1574" width="10.7109375" bestFit="1" customWidth="1"/>
    <col min="1793" max="1793" width="11.85546875" customWidth="1"/>
    <col min="1794" max="1794" width="18" customWidth="1"/>
    <col min="1795" max="1795" width="11.7109375" customWidth="1"/>
    <col min="1796" max="1796" width="13.42578125" customWidth="1"/>
    <col min="1797" max="1797" width="12.42578125" customWidth="1"/>
    <col min="1798" max="1798" width="10.140625" customWidth="1"/>
    <col min="1799" max="1800" width="12.42578125" customWidth="1"/>
    <col min="1801" max="1804" width="0" hidden="1" customWidth="1"/>
    <col min="1805" max="1805" width="12.42578125" customWidth="1"/>
    <col min="1806" max="1806" width="29" bestFit="1" customWidth="1"/>
    <col min="1807" max="1807" width="26.42578125" customWidth="1"/>
    <col min="1808" max="1808" width="22.7109375" customWidth="1"/>
    <col min="1809" max="1809" width="15.7109375" customWidth="1"/>
    <col min="1810" max="1810" width="17" customWidth="1"/>
    <col min="1811" max="1811" width="12.42578125" customWidth="1"/>
    <col min="1812" max="1812" width="25.85546875" bestFit="1" customWidth="1"/>
    <col min="1813" max="1815" width="18" customWidth="1"/>
    <col min="1816" max="1816" width="17.140625" customWidth="1"/>
    <col min="1817" max="1818" width="15.7109375" customWidth="1"/>
    <col min="1819" max="1819" width="15" customWidth="1"/>
    <col min="1820" max="1821" width="14.140625" bestFit="1" customWidth="1"/>
    <col min="1822" max="1822" width="11.7109375" bestFit="1" customWidth="1"/>
    <col min="1823" max="1823" width="11.85546875" bestFit="1" customWidth="1"/>
    <col min="1824" max="1824" width="12.5703125" customWidth="1"/>
    <col min="1825" max="1825" width="11.28515625" customWidth="1"/>
    <col min="1826" max="1826" width="11.5703125" customWidth="1"/>
    <col min="1827" max="1827" width="9.28515625" customWidth="1"/>
    <col min="1829" max="1829" width="11.7109375" bestFit="1" customWidth="1"/>
    <col min="1830" max="1830" width="10.7109375" bestFit="1" customWidth="1"/>
    <col min="2049" max="2049" width="11.85546875" customWidth="1"/>
    <col min="2050" max="2050" width="18" customWidth="1"/>
    <col min="2051" max="2051" width="11.7109375" customWidth="1"/>
    <col min="2052" max="2052" width="13.42578125" customWidth="1"/>
    <col min="2053" max="2053" width="12.42578125" customWidth="1"/>
    <col min="2054" max="2054" width="10.140625" customWidth="1"/>
    <col min="2055" max="2056" width="12.42578125" customWidth="1"/>
    <col min="2057" max="2060" width="0" hidden="1" customWidth="1"/>
    <col min="2061" max="2061" width="12.42578125" customWidth="1"/>
    <col min="2062" max="2062" width="29" bestFit="1" customWidth="1"/>
    <col min="2063" max="2063" width="26.42578125" customWidth="1"/>
    <col min="2064" max="2064" width="22.7109375" customWidth="1"/>
    <col min="2065" max="2065" width="15.7109375" customWidth="1"/>
    <col min="2066" max="2066" width="17" customWidth="1"/>
    <col min="2067" max="2067" width="12.42578125" customWidth="1"/>
    <col min="2068" max="2068" width="25.85546875" bestFit="1" customWidth="1"/>
    <col min="2069" max="2071" width="18" customWidth="1"/>
    <col min="2072" max="2072" width="17.140625" customWidth="1"/>
    <col min="2073" max="2074" width="15.7109375" customWidth="1"/>
    <col min="2075" max="2075" width="15" customWidth="1"/>
    <col min="2076" max="2077" width="14.140625" bestFit="1" customWidth="1"/>
    <col min="2078" max="2078" width="11.7109375" bestFit="1" customWidth="1"/>
    <col min="2079" max="2079" width="11.85546875" bestFit="1" customWidth="1"/>
    <col min="2080" max="2080" width="12.5703125" customWidth="1"/>
    <col min="2081" max="2081" width="11.28515625" customWidth="1"/>
    <col min="2082" max="2082" width="11.5703125" customWidth="1"/>
    <col min="2083" max="2083" width="9.28515625" customWidth="1"/>
    <col min="2085" max="2085" width="11.7109375" bestFit="1" customWidth="1"/>
    <col min="2086" max="2086" width="10.7109375" bestFit="1" customWidth="1"/>
    <col min="2305" max="2305" width="11.85546875" customWidth="1"/>
    <col min="2306" max="2306" width="18" customWidth="1"/>
    <col min="2307" max="2307" width="11.7109375" customWidth="1"/>
    <col min="2308" max="2308" width="13.42578125" customWidth="1"/>
    <col min="2309" max="2309" width="12.42578125" customWidth="1"/>
    <col min="2310" max="2310" width="10.140625" customWidth="1"/>
    <col min="2311" max="2312" width="12.42578125" customWidth="1"/>
    <col min="2313" max="2316" width="0" hidden="1" customWidth="1"/>
    <col min="2317" max="2317" width="12.42578125" customWidth="1"/>
    <col min="2318" max="2318" width="29" bestFit="1" customWidth="1"/>
    <col min="2319" max="2319" width="26.42578125" customWidth="1"/>
    <col min="2320" max="2320" width="22.7109375" customWidth="1"/>
    <col min="2321" max="2321" width="15.7109375" customWidth="1"/>
    <col min="2322" max="2322" width="17" customWidth="1"/>
    <col min="2323" max="2323" width="12.42578125" customWidth="1"/>
    <col min="2324" max="2324" width="25.85546875" bestFit="1" customWidth="1"/>
    <col min="2325" max="2327" width="18" customWidth="1"/>
    <col min="2328" max="2328" width="17.140625" customWidth="1"/>
    <col min="2329" max="2330" width="15.7109375" customWidth="1"/>
    <col min="2331" max="2331" width="15" customWidth="1"/>
    <col min="2332" max="2333" width="14.140625" bestFit="1" customWidth="1"/>
    <col min="2334" max="2334" width="11.7109375" bestFit="1" customWidth="1"/>
    <col min="2335" max="2335" width="11.85546875" bestFit="1" customWidth="1"/>
    <col min="2336" max="2336" width="12.5703125" customWidth="1"/>
    <col min="2337" max="2337" width="11.28515625" customWidth="1"/>
    <col min="2338" max="2338" width="11.5703125" customWidth="1"/>
    <col min="2339" max="2339" width="9.28515625" customWidth="1"/>
    <col min="2341" max="2341" width="11.7109375" bestFit="1" customWidth="1"/>
    <col min="2342" max="2342" width="10.7109375" bestFit="1" customWidth="1"/>
    <col min="2561" max="2561" width="11.85546875" customWidth="1"/>
    <col min="2562" max="2562" width="18" customWidth="1"/>
    <col min="2563" max="2563" width="11.7109375" customWidth="1"/>
    <col min="2564" max="2564" width="13.42578125" customWidth="1"/>
    <col min="2565" max="2565" width="12.42578125" customWidth="1"/>
    <col min="2566" max="2566" width="10.140625" customWidth="1"/>
    <col min="2567" max="2568" width="12.42578125" customWidth="1"/>
    <col min="2569" max="2572" width="0" hidden="1" customWidth="1"/>
    <col min="2573" max="2573" width="12.42578125" customWidth="1"/>
    <col min="2574" max="2574" width="29" bestFit="1" customWidth="1"/>
    <col min="2575" max="2575" width="26.42578125" customWidth="1"/>
    <col min="2576" max="2576" width="22.7109375" customWidth="1"/>
    <col min="2577" max="2577" width="15.7109375" customWidth="1"/>
    <col min="2578" max="2578" width="17" customWidth="1"/>
    <col min="2579" max="2579" width="12.42578125" customWidth="1"/>
    <col min="2580" max="2580" width="25.85546875" bestFit="1" customWidth="1"/>
    <col min="2581" max="2583" width="18" customWidth="1"/>
    <col min="2584" max="2584" width="17.140625" customWidth="1"/>
    <col min="2585" max="2586" width="15.7109375" customWidth="1"/>
    <col min="2587" max="2587" width="15" customWidth="1"/>
    <col min="2588" max="2589" width="14.140625" bestFit="1" customWidth="1"/>
    <col min="2590" max="2590" width="11.7109375" bestFit="1" customWidth="1"/>
    <col min="2591" max="2591" width="11.85546875" bestFit="1" customWidth="1"/>
    <col min="2592" max="2592" width="12.5703125" customWidth="1"/>
    <col min="2593" max="2593" width="11.28515625" customWidth="1"/>
    <col min="2594" max="2594" width="11.5703125" customWidth="1"/>
    <col min="2595" max="2595" width="9.28515625" customWidth="1"/>
    <col min="2597" max="2597" width="11.7109375" bestFit="1" customWidth="1"/>
    <col min="2598" max="2598" width="10.7109375" bestFit="1" customWidth="1"/>
    <col min="2817" max="2817" width="11.85546875" customWidth="1"/>
    <col min="2818" max="2818" width="18" customWidth="1"/>
    <col min="2819" max="2819" width="11.7109375" customWidth="1"/>
    <col min="2820" max="2820" width="13.42578125" customWidth="1"/>
    <col min="2821" max="2821" width="12.42578125" customWidth="1"/>
    <col min="2822" max="2822" width="10.140625" customWidth="1"/>
    <col min="2823" max="2824" width="12.42578125" customWidth="1"/>
    <col min="2825" max="2828" width="0" hidden="1" customWidth="1"/>
    <col min="2829" max="2829" width="12.42578125" customWidth="1"/>
    <col min="2830" max="2830" width="29" bestFit="1" customWidth="1"/>
    <col min="2831" max="2831" width="26.42578125" customWidth="1"/>
    <col min="2832" max="2832" width="22.7109375" customWidth="1"/>
    <col min="2833" max="2833" width="15.7109375" customWidth="1"/>
    <col min="2834" max="2834" width="17" customWidth="1"/>
    <col min="2835" max="2835" width="12.42578125" customWidth="1"/>
    <col min="2836" max="2836" width="25.85546875" bestFit="1" customWidth="1"/>
    <col min="2837" max="2839" width="18" customWidth="1"/>
    <col min="2840" max="2840" width="17.140625" customWidth="1"/>
    <col min="2841" max="2842" width="15.7109375" customWidth="1"/>
    <col min="2843" max="2843" width="15" customWidth="1"/>
    <col min="2844" max="2845" width="14.140625" bestFit="1" customWidth="1"/>
    <col min="2846" max="2846" width="11.7109375" bestFit="1" customWidth="1"/>
    <col min="2847" max="2847" width="11.85546875" bestFit="1" customWidth="1"/>
    <col min="2848" max="2848" width="12.5703125" customWidth="1"/>
    <col min="2849" max="2849" width="11.28515625" customWidth="1"/>
    <col min="2850" max="2850" width="11.5703125" customWidth="1"/>
    <col min="2851" max="2851" width="9.28515625" customWidth="1"/>
    <col min="2853" max="2853" width="11.7109375" bestFit="1" customWidth="1"/>
    <col min="2854" max="2854" width="10.7109375" bestFit="1" customWidth="1"/>
    <col min="3073" max="3073" width="11.85546875" customWidth="1"/>
    <col min="3074" max="3074" width="18" customWidth="1"/>
    <col min="3075" max="3075" width="11.7109375" customWidth="1"/>
    <col min="3076" max="3076" width="13.42578125" customWidth="1"/>
    <col min="3077" max="3077" width="12.42578125" customWidth="1"/>
    <col min="3078" max="3078" width="10.140625" customWidth="1"/>
    <col min="3079" max="3080" width="12.42578125" customWidth="1"/>
    <col min="3081" max="3084" width="0" hidden="1" customWidth="1"/>
    <col min="3085" max="3085" width="12.42578125" customWidth="1"/>
    <col min="3086" max="3086" width="29" bestFit="1" customWidth="1"/>
    <col min="3087" max="3087" width="26.42578125" customWidth="1"/>
    <col min="3088" max="3088" width="22.7109375" customWidth="1"/>
    <col min="3089" max="3089" width="15.7109375" customWidth="1"/>
    <col min="3090" max="3090" width="17" customWidth="1"/>
    <col min="3091" max="3091" width="12.42578125" customWidth="1"/>
    <col min="3092" max="3092" width="25.85546875" bestFit="1" customWidth="1"/>
    <col min="3093" max="3095" width="18" customWidth="1"/>
    <col min="3096" max="3096" width="17.140625" customWidth="1"/>
    <col min="3097" max="3098" width="15.7109375" customWidth="1"/>
    <col min="3099" max="3099" width="15" customWidth="1"/>
    <col min="3100" max="3101" width="14.140625" bestFit="1" customWidth="1"/>
    <col min="3102" max="3102" width="11.7109375" bestFit="1" customWidth="1"/>
    <col min="3103" max="3103" width="11.85546875" bestFit="1" customWidth="1"/>
    <col min="3104" max="3104" width="12.5703125" customWidth="1"/>
    <col min="3105" max="3105" width="11.28515625" customWidth="1"/>
    <col min="3106" max="3106" width="11.5703125" customWidth="1"/>
    <col min="3107" max="3107" width="9.28515625" customWidth="1"/>
    <col min="3109" max="3109" width="11.7109375" bestFit="1" customWidth="1"/>
    <col min="3110" max="3110" width="10.7109375" bestFit="1" customWidth="1"/>
    <col min="3329" max="3329" width="11.85546875" customWidth="1"/>
    <col min="3330" max="3330" width="18" customWidth="1"/>
    <col min="3331" max="3331" width="11.7109375" customWidth="1"/>
    <col min="3332" max="3332" width="13.42578125" customWidth="1"/>
    <col min="3333" max="3333" width="12.42578125" customWidth="1"/>
    <col min="3334" max="3334" width="10.140625" customWidth="1"/>
    <col min="3335" max="3336" width="12.42578125" customWidth="1"/>
    <col min="3337" max="3340" width="0" hidden="1" customWidth="1"/>
    <col min="3341" max="3341" width="12.42578125" customWidth="1"/>
    <col min="3342" max="3342" width="29" bestFit="1" customWidth="1"/>
    <col min="3343" max="3343" width="26.42578125" customWidth="1"/>
    <col min="3344" max="3344" width="22.7109375" customWidth="1"/>
    <col min="3345" max="3345" width="15.7109375" customWidth="1"/>
    <col min="3346" max="3346" width="17" customWidth="1"/>
    <col min="3347" max="3347" width="12.42578125" customWidth="1"/>
    <col min="3348" max="3348" width="25.85546875" bestFit="1" customWidth="1"/>
    <col min="3349" max="3351" width="18" customWidth="1"/>
    <col min="3352" max="3352" width="17.140625" customWidth="1"/>
    <col min="3353" max="3354" width="15.7109375" customWidth="1"/>
    <col min="3355" max="3355" width="15" customWidth="1"/>
    <col min="3356" max="3357" width="14.140625" bestFit="1" customWidth="1"/>
    <col min="3358" max="3358" width="11.7109375" bestFit="1" customWidth="1"/>
    <col min="3359" max="3359" width="11.85546875" bestFit="1" customWidth="1"/>
    <col min="3360" max="3360" width="12.5703125" customWidth="1"/>
    <col min="3361" max="3361" width="11.28515625" customWidth="1"/>
    <col min="3362" max="3362" width="11.5703125" customWidth="1"/>
    <col min="3363" max="3363" width="9.28515625" customWidth="1"/>
    <col min="3365" max="3365" width="11.7109375" bestFit="1" customWidth="1"/>
    <col min="3366" max="3366" width="10.7109375" bestFit="1" customWidth="1"/>
    <col min="3585" max="3585" width="11.85546875" customWidth="1"/>
    <col min="3586" max="3586" width="18" customWidth="1"/>
    <col min="3587" max="3587" width="11.7109375" customWidth="1"/>
    <col min="3588" max="3588" width="13.42578125" customWidth="1"/>
    <col min="3589" max="3589" width="12.42578125" customWidth="1"/>
    <col min="3590" max="3590" width="10.140625" customWidth="1"/>
    <col min="3591" max="3592" width="12.42578125" customWidth="1"/>
    <col min="3593" max="3596" width="0" hidden="1" customWidth="1"/>
    <col min="3597" max="3597" width="12.42578125" customWidth="1"/>
    <col min="3598" max="3598" width="29" bestFit="1" customWidth="1"/>
    <col min="3599" max="3599" width="26.42578125" customWidth="1"/>
    <col min="3600" max="3600" width="22.7109375" customWidth="1"/>
    <col min="3601" max="3601" width="15.7109375" customWidth="1"/>
    <col min="3602" max="3602" width="17" customWidth="1"/>
    <col min="3603" max="3603" width="12.42578125" customWidth="1"/>
    <col min="3604" max="3604" width="25.85546875" bestFit="1" customWidth="1"/>
    <col min="3605" max="3607" width="18" customWidth="1"/>
    <col min="3608" max="3608" width="17.140625" customWidth="1"/>
    <col min="3609" max="3610" width="15.7109375" customWidth="1"/>
    <col min="3611" max="3611" width="15" customWidth="1"/>
    <col min="3612" max="3613" width="14.140625" bestFit="1" customWidth="1"/>
    <col min="3614" max="3614" width="11.7109375" bestFit="1" customWidth="1"/>
    <col min="3615" max="3615" width="11.85546875" bestFit="1" customWidth="1"/>
    <col min="3616" max="3616" width="12.5703125" customWidth="1"/>
    <col min="3617" max="3617" width="11.28515625" customWidth="1"/>
    <col min="3618" max="3618" width="11.5703125" customWidth="1"/>
    <col min="3619" max="3619" width="9.28515625" customWidth="1"/>
    <col min="3621" max="3621" width="11.7109375" bestFit="1" customWidth="1"/>
    <col min="3622" max="3622" width="10.7109375" bestFit="1" customWidth="1"/>
    <col min="3841" max="3841" width="11.85546875" customWidth="1"/>
    <col min="3842" max="3842" width="18" customWidth="1"/>
    <col min="3843" max="3843" width="11.7109375" customWidth="1"/>
    <col min="3844" max="3844" width="13.42578125" customWidth="1"/>
    <col min="3845" max="3845" width="12.42578125" customWidth="1"/>
    <col min="3846" max="3846" width="10.140625" customWidth="1"/>
    <col min="3847" max="3848" width="12.42578125" customWidth="1"/>
    <col min="3849" max="3852" width="0" hidden="1" customWidth="1"/>
    <col min="3853" max="3853" width="12.42578125" customWidth="1"/>
    <col min="3854" max="3854" width="29" bestFit="1" customWidth="1"/>
    <col min="3855" max="3855" width="26.42578125" customWidth="1"/>
    <col min="3856" max="3856" width="22.7109375" customWidth="1"/>
    <col min="3857" max="3857" width="15.7109375" customWidth="1"/>
    <col min="3858" max="3858" width="17" customWidth="1"/>
    <col min="3859" max="3859" width="12.42578125" customWidth="1"/>
    <col min="3860" max="3860" width="25.85546875" bestFit="1" customWidth="1"/>
    <col min="3861" max="3863" width="18" customWidth="1"/>
    <col min="3864" max="3864" width="17.140625" customWidth="1"/>
    <col min="3865" max="3866" width="15.7109375" customWidth="1"/>
    <col min="3867" max="3867" width="15" customWidth="1"/>
    <col min="3868" max="3869" width="14.140625" bestFit="1" customWidth="1"/>
    <col min="3870" max="3870" width="11.7109375" bestFit="1" customWidth="1"/>
    <col min="3871" max="3871" width="11.85546875" bestFit="1" customWidth="1"/>
    <col min="3872" max="3872" width="12.5703125" customWidth="1"/>
    <col min="3873" max="3873" width="11.28515625" customWidth="1"/>
    <col min="3874" max="3874" width="11.5703125" customWidth="1"/>
    <col min="3875" max="3875" width="9.28515625" customWidth="1"/>
    <col min="3877" max="3877" width="11.7109375" bestFit="1" customWidth="1"/>
    <col min="3878" max="3878" width="10.7109375" bestFit="1" customWidth="1"/>
    <col min="4097" max="4097" width="11.85546875" customWidth="1"/>
    <col min="4098" max="4098" width="18" customWidth="1"/>
    <col min="4099" max="4099" width="11.7109375" customWidth="1"/>
    <col min="4100" max="4100" width="13.42578125" customWidth="1"/>
    <col min="4101" max="4101" width="12.42578125" customWidth="1"/>
    <col min="4102" max="4102" width="10.140625" customWidth="1"/>
    <col min="4103" max="4104" width="12.42578125" customWidth="1"/>
    <col min="4105" max="4108" width="0" hidden="1" customWidth="1"/>
    <col min="4109" max="4109" width="12.42578125" customWidth="1"/>
    <col min="4110" max="4110" width="29" bestFit="1" customWidth="1"/>
    <col min="4111" max="4111" width="26.42578125" customWidth="1"/>
    <col min="4112" max="4112" width="22.7109375" customWidth="1"/>
    <col min="4113" max="4113" width="15.7109375" customWidth="1"/>
    <col min="4114" max="4114" width="17" customWidth="1"/>
    <col min="4115" max="4115" width="12.42578125" customWidth="1"/>
    <col min="4116" max="4116" width="25.85546875" bestFit="1" customWidth="1"/>
    <col min="4117" max="4119" width="18" customWidth="1"/>
    <col min="4120" max="4120" width="17.140625" customWidth="1"/>
    <col min="4121" max="4122" width="15.7109375" customWidth="1"/>
    <col min="4123" max="4123" width="15" customWidth="1"/>
    <col min="4124" max="4125" width="14.140625" bestFit="1" customWidth="1"/>
    <col min="4126" max="4126" width="11.7109375" bestFit="1" customWidth="1"/>
    <col min="4127" max="4127" width="11.85546875" bestFit="1" customWidth="1"/>
    <col min="4128" max="4128" width="12.5703125" customWidth="1"/>
    <col min="4129" max="4129" width="11.28515625" customWidth="1"/>
    <col min="4130" max="4130" width="11.5703125" customWidth="1"/>
    <col min="4131" max="4131" width="9.28515625" customWidth="1"/>
    <col min="4133" max="4133" width="11.7109375" bestFit="1" customWidth="1"/>
    <col min="4134" max="4134" width="10.7109375" bestFit="1" customWidth="1"/>
    <col min="4353" max="4353" width="11.85546875" customWidth="1"/>
    <col min="4354" max="4354" width="18" customWidth="1"/>
    <col min="4355" max="4355" width="11.7109375" customWidth="1"/>
    <col min="4356" max="4356" width="13.42578125" customWidth="1"/>
    <col min="4357" max="4357" width="12.42578125" customWidth="1"/>
    <col min="4358" max="4358" width="10.140625" customWidth="1"/>
    <col min="4359" max="4360" width="12.42578125" customWidth="1"/>
    <col min="4361" max="4364" width="0" hidden="1" customWidth="1"/>
    <col min="4365" max="4365" width="12.42578125" customWidth="1"/>
    <col min="4366" max="4366" width="29" bestFit="1" customWidth="1"/>
    <col min="4367" max="4367" width="26.42578125" customWidth="1"/>
    <col min="4368" max="4368" width="22.7109375" customWidth="1"/>
    <col min="4369" max="4369" width="15.7109375" customWidth="1"/>
    <col min="4370" max="4370" width="17" customWidth="1"/>
    <col min="4371" max="4371" width="12.42578125" customWidth="1"/>
    <col min="4372" max="4372" width="25.85546875" bestFit="1" customWidth="1"/>
    <col min="4373" max="4375" width="18" customWidth="1"/>
    <col min="4376" max="4376" width="17.140625" customWidth="1"/>
    <col min="4377" max="4378" width="15.7109375" customWidth="1"/>
    <col min="4379" max="4379" width="15" customWidth="1"/>
    <col min="4380" max="4381" width="14.140625" bestFit="1" customWidth="1"/>
    <col min="4382" max="4382" width="11.7109375" bestFit="1" customWidth="1"/>
    <col min="4383" max="4383" width="11.85546875" bestFit="1" customWidth="1"/>
    <col min="4384" max="4384" width="12.5703125" customWidth="1"/>
    <col min="4385" max="4385" width="11.28515625" customWidth="1"/>
    <col min="4386" max="4386" width="11.5703125" customWidth="1"/>
    <col min="4387" max="4387" width="9.28515625" customWidth="1"/>
    <col min="4389" max="4389" width="11.7109375" bestFit="1" customWidth="1"/>
    <col min="4390" max="4390" width="10.7109375" bestFit="1" customWidth="1"/>
    <col min="4609" max="4609" width="11.85546875" customWidth="1"/>
    <col min="4610" max="4610" width="18" customWidth="1"/>
    <col min="4611" max="4611" width="11.7109375" customWidth="1"/>
    <col min="4612" max="4612" width="13.42578125" customWidth="1"/>
    <col min="4613" max="4613" width="12.42578125" customWidth="1"/>
    <col min="4614" max="4614" width="10.140625" customWidth="1"/>
    <col min="4615" max="4616" width="12.42578125" customWidth="1"/>
    <col min="4617" max="4620" width="0" hidden="1" customWidth="1"/>
    <col min="4621" max="4621" width="12.42578125" customWidth="1"/>
    <col min="4622" max="4622" width="29" bestFit="1" customWidth="1"/>
    <col min="4623" max="4623" width="26.42578125" customWidth="1"/>
    <col min="4624" max="4624" width="22.7109375" customWidth="1"/>
    <col min="4625" max="4625" width="15.7109375" customWidth="1"/>
    <col min="4626" max="4626" width="17" customWidth="1"/>
    <col min="4627" max="4627" width="12.42578125" customWidth="1"/>
    <col min="4628" max="4628" width="25.85546875" bestFit="1" customWidth="1"/>
    <col min="4629" max="4631" width="18" customWidth="1"/>
    <col min="4632" max="4632" width="17.140625" customWidth="1"/>
    <col min="4633" max="4634" width="15.7109375" customWidth="1"/>
    <col min="4635" max="4635" width="15" customWidth="1"/>
    <col min="4636" max="4637" width="14.140625" bestFit="1" customWidth="1"/>
    <col min="4638" max="4638" width="11.7109375" bestFit="1" customWidth="1"/>
    <col min="4639" max="4639" width="11.85546875" bestFit="1" customWidth="1"/>
    <col min="4640" max="4640" width="12.5703125" customWidth="1"/>
    <col min="4641" max="4641" width="11.28515625" customWidth="1"/>
    <col min="4642" max="4642" width="11.5703125" customWidth="1"/>
    <col min="4643" max="4643" width="9.28515625" customWidth="1"/>
    <col min="4645" max="4645" width="11.7109375" bestFit="1" customWidth="1"/>
    <col min="4646" max="4646" width="10.7109375" bestFit="1" customWidth="1"/>
    <col min="4865" max="4865" width="11.85546875" customWidth="1"/>
    <col min="4866" max="4866" width="18" customWidth="1"/>
    <col min="4867" max="4867" width="11.7109375" customWidth="1"/>
    <col min="4868" max="4868" width="13.42578125" customWidth="1"/>
    <col min="4869" max="4869" width="12.42578125" customWidth="1"/>
    <col min="4870" max="4870" width="10.140625" customWidth="1"/>
    <col min="4871" max="4872" width="12.42578125" customWidth="1"/>
    <col min="4873" max="4876" width="0" hidden="1" customWidth="1"/>
    <col min="4877" max="4877" width="12.42578125" customWidth="1"/>
    <col min="4878" max="4878" width="29" bestFit="1" customWidth="1"/>
    <col min="4879" max="4879" width="26.42578125" customWidth="1"/>
    <col min="4880" max="4880" width="22.7109375" customWidth="1"/>
    <col min="4881" max="4881" width="15.7109375" customWidth="1"/>
    <col min="4882" max="4882" width="17" customWidth="1"/>
    <col min="4883" max="4883" width="12.42578125" customWidth="1"/>
    <col min="4884" max="4884" width="25.85546875" bestFit="1" customWidth="1"/>
    <col min="4885" max="4887" width="18" customWidth="1"/>
    <col min="4888" max="4888" width="17.140625" customWidth="1"/>
    <col min="4889" max="4890" width="15.7109375" customWidth="1"/>
    <col min="4891" max="4891" width="15" customWidth="1"/>
    <col min="4892" max="4893" width="14.140625" bestFit="1" customWidth="1"/>
    <col min="4894" max="4894" width="11.7109375" bestFit="1" customWidth="1"/>
    <col min="4895" max="4895" width="11.85546875" bestFit="1" customWidth="1"/>
    <col min="4896" max="4896" width="12.5703125" customWidth="1"/>
    <col min="4897" max="4897" width="11.28515625" customWidth="1"/>
    <col min="4898" max="4898" width="11.5703125" customWidth="1"/>
    <col min="4899" max="4899" width="9.28515625" customWidth="1"/>
    <col min="4901" max="4901" width="11.7109375" bestFit="1" customWidth="1"/>
    <col min="4902" max="4902" width="10.7109375" bestFit="1" customWidth="1"/>
    <col min="5121" max="5121" width="11.85546875" customWidth="1"/>
    <col min="5122" max="5122" width="18" customWidth="1"/>
    <col min="5123" max="5123" width="11.7109375" customWidth="1"/>
    <col min="5124" max="5124" width="13.42578125" customWidth="1"/>
    <col min="5125" max="5125" width="12.42578125" customWidth="1"/>
    <col min="5126" max="5126" width="10.140625" customWidth="1"/>
    <col min="5127" max="5128" width="12.42578125" customWidth="1"/>
    <col min="5129" max="5132" width="0" hidden="1" customWidth="1"/>
    <col min="5133" max="5133" width="12.42578125" customWidth="1"/>
    <col min="5134" max="5134" width="29" bestFit="1" customWidth="1"/>
    <col min="5135" max="5135" width="26.42578125" customWidth="1"/>
    <col min="5136" max="5136" width="22.7109375" customWidth="1"/>
    <col min="5137" max="5137" width="15.7109375" customWidth="1"/>
    <col min="5138" max="5138" width="17" customWidth="1"/>
    <col min="5139" max="5139" width="12.42578125" customWidth="1"/>
    <col min="5140" max="5140" width="25.85546875" bestFit="1" customWidth="1"/>
    <col min="5141" max="5143" width="18" customWidth="1"/>
    <col min="5144" max="5144" width="17.140625" customWidth="1"/>
    <col min="5145" max="5146" width="15.7109375" customWidth="1"/>
    <col min="5147" max="5147" width="15" customWidth="1"/>
    <col min="5148" max="5149" width="14.140625" bestFit="1" customWidth="1"/>
    <col min="5150" max="5150" width="11.7109375" bestFit="1" customWidth="1"/>
    <col min="5151" max="5151" width="11.85546875" bestFit="1" customWidth="1"/>
    <col min="5152" max="5152" width="12.5703125" customWidth="1"/>
    <col min="5153" max="5153" width="11.28515625" customWidth="1"/>
    <col min="5154" max="5154" width="11.5703125" customWidth="1"/>
    <col min="5155" max="5155" width="9.28515625" customWidth="1"/>
    <col min="5157" max="5157" width="11.7109375" bestFit="1" customWidth="1"/>
    <col min="5158" max="5158" width="10.7109375" bestFit="1" customWidth="1"/>
    <col min="5377" max="5377" width="11.85546875" customWidth="1"/>
    <col min="5378" max="5378" width="18" customWidth="1"/>
    <col min="5379" max="5379" width="11.7109375" customWidth="1"/>
    <col min="5380" max="5380" width="13.42578125" customWidth="1"/>
    <col min="5381" max="5381" width="12.42578125" customWidth="1"/>
    <col min="5382" max="5382" width="10.140625" customWidth="1"/>
    <col min="5383" max="5384" width="12.42578125" customWidth="1"/>
    <col min="5385" max="5388" width="0" hidden="1" customWidth="1"/>
    <col min="5389" max="5389" width="12.42578125" customWidth="1"/>
    <col min="5390" max="5390" width="29" bestFit="1" customWidth="1"/>
    <col min="5391" max="5391" width="26.42578125" customWidth="1"/>
    <col min="5392" max="5392" width="22.7109375" customWidth="1"/>
    <col min="5393" max="5393" width="15.7109375" customWidth="1"/>
    <col min="5394" max="5394" width="17" customWidth="1"/>
    <col min="5395" max="5395" width="12.42578125" customWidth="1"/>
    <col min="5396" max="5396" width="25.85546875" bestFit="1" customWidth="1"/>
    <col min="5397" max="5399" width="18" customWidth="1"/>
    <col min="5400" max="5400" width="17.140625" customWidth="1"/>
    <col min="5401" max="5402" width="15.7109375" customWidth="1"/>
    <col min="5403" max="5403" width="15" customWidth="1"/>
    <col min="5404" max="5405" width="14.140625" bestFit="1" customWidth="1"/>
    <col min="5406" max="5406" width="11.7109375" bestFit="1" customWidth="1"/>
    <col min="5407" max="5407" width="11.85546875" bestFit="1" customWidth="1"/>
    <col min="5408" max="5408" width="12.5703125" customWidth="1"/>
    <col min="5409" max="5409" width="11.28515625" customWidth="1"/>
    <col min="5410" max="5410" width="11.5703125" customWidth="1"/>
    <col min="5411" max="5411" width="9.28515625" customWidth="1"/>
    <col min="5413" max="5413" width="11.7109375" bestFit="1" customWidth="1"/>
    <col min="5414" max="5414" width="10.7109375" bestFit="1" customWidth="1"/>
    <col min="5633" max="5633" width="11.85546875" customWidth="1"/>
    <col min="5634" max="5634" width="18" customWidth="1"/>
    <col min="5635" max="5635" width="11.7109375" customWidth="1"/>
    <col min="5636" max="5636" width="13.42578125" customWidth="1"/>
    <col min="5637" max="5637" width="12.42578125" customWidth="1"/>
    <col min="5638" max="5638" width="10.140625" customWidth="1"/>
    <col min="5639" max="5640" width="12.42578125" customWidth="1"/>
    <col min="5641" max="5644" width="0" hidden="1" customWidth="1"/>
    <col min="5645" max="5645" width="12.42578125" customWidth="1"/>
    <col min="5646" max="5646" width="29" bestFit="1" customWidth="1"/>
    <col min="5647" max="5647" width="26.42578125" customWidth="1"/>
    <col min="5648" max="5648" width="22.7109375" customWidth="1"/>
    <col min="5649" max="5649" width="15.7109375" customWidth="1"/>
    <col min="5650" max="5650" width="17" customWidth="1"/>
    <col min="5651" max="5651" width="12.42578125" customWidth="1"/>
    <col min="5652" max="5652" width="25.85546875" bestFit="1" customWidth="1"/>
    <col min="5653" max="5655" width="18" customWidth="1"/>
    <col min="5656" max="5656" width="17.140625" customWidth="1"/>
    <col min="5657" max="5658" width="15.7109375" customWidth="1"/>
    <col min="5659" max="5659" width="15" customWidth="1"/>
    <col min="5660" max="5661" width="14.140625" bestFit="1" customWidth="1"/>
    <col min="5662" max="5662" width="11.7109375" bestFit="1" customWidth="1"/>
    <col min="5663" max="5663" width="11.85546875" bestFit="1" customWidth="1"/>
    <col min="5664" max="5664" width="12.5703125" customWidth="1"/>
    <col min="5665" max="5665" width="11.28515625" customWidth="1"/>
    <col min="5666" max="5666" width="11.5703125" customWidth="1"/>
    <col min="5667" max="5667" width="9.28515625" customWidth="1"/>
    <col min="5669" max="5669" width="11.7109375" bestFit="1" customWidth="1"/>
    <col min="5670" max="5670" width="10.7109375" bestFit="1" customWidth="1"/>
    <col min="5889" max="5889" width="11.85546875" customWidth="1"/>
    <col min="5890" max="5890" width="18" customWidth="1"/>
    <col min="5891" max="5891" width="11.7109375" customWidth="1"/>
    <col min="5892" max="5892" width="13.42578125" customWidth="1"/>
    <col min="5893" max="5893" width="12.42578125" customWidth="1"/>
    <col min="5894" max="5894" width="10.140625" customWidth="1"/>
    <col min="5895" max="5896" width="12.42578125" customWidth="1"/>
    <col min="5897" max="5900" width="0" hidden="1" customWidth="1"/>
    <col min="5901" max="5901" width="12.42578125" customWidth="1"/>
    <col min="5902" max="5902" width="29" bestFit="1" customWidth="1"/>
    <col min="5903" max="5903" width="26.42578125" customWidth="1"/>
    <col min="5904" max="5904" width="22.7109375" customWidth="1"/>
    <col min="5905" max="5905" width="15.7109375" customWidth="1"/>
    <col min="5906" max="5906" width="17" customWidth="1"/>
    <col min="5907" max="5907" width="12.42578125" customWidth="1"/>
    <col min="5908" max="5908" width="25.85546875" bestFit="1" customWidth="1"/>
    <col min="5909" max="5911" width="18" customWidth="1"/>
    <col min="5912" max="5912" width="17.140625" customWidth="1"/>
    <col min="5913" max="5914" width="15.7109375" customWidth="1"/>
    <col min="5915" max="5915" width="15" customWidth="1"/>
    <col min="5916" max="5917" width="14.140625" bestFit="1" customWidth="1"/>
    <col min="5918" max="5918" width="11.7109375" bestFit="1" customWidth="1"/>
    <col min="5919" max="5919" width="11.85546875" bestFit="1" customWidth="1"/>
    <col min="5920" max="5920" width="12.5703125" customWidth="1"/>
    <col min="5921" max="5921" width="11.28515625" customWidth="1"/>
    <col min="5922" max="5922" width="11.5703125" customWidth="1"/>
    <col min="5923" max="5923" width="9.28515625" customWidth="1"/>
    <col min="5925" max="5925" width="11.7109375" bestFit="1" customWidth="1"/>
    <col min="5926" max="5926" width="10.7109375" bestFit="1" customWidth="1"/>
    <col min="6145" max="6145" width="11.85546875" customWidth="1"/>
    <col min="6146" max="6146" width="18" customWidth="1"/>
    <col min="6147" max="6147" width="11.7109375" customWidth="1"/>
    <col min="6148" max="6148" width="13.42578125" customWidth="1"/>
    <col min="6149" max="6149" width="12.42578125" customWidth="1"/>
    <col min="6150" max="6150" width="10.140625" customWidth="1"/>
    <col min="6151" max="6152" width="12.42578125" customWidth="1"/>
    <col min="6153" max="6156" width="0" hidden="1" customWidth="1"/>
    <col min="6157" max="6157" width="12.42578125" customWidth="1"/>
    <col min="6158" max="6158" width="29" bestFit="1" customWidth="1"/>
    <col min="6159" max="6159" width="26.42578125" customWidth="1"/>
    <col min="6160" max="6160" width="22.7109375" customWidth="1"/>
    <col min="6161" max="6161" width="15.7109375" customWidth="1"/>
    <col min="6162" max="6162" width="17" customWidth="1"/>
    <col min="6163" max="6163" width="12.42578125" customWidth="1"/>
    <col min="6164" max="6164" width="25.85546875" bestFit="1" customWidth="1"/>
    <col min="6165" max="6167" width="18" customWidth="1"/>
    <col min="6168" max="6168" width="17.140625" customWidth="1"/>
    <col min="6169" max="6170" width="15.7109375" customWidth="1"/>
    <col min="6171" max="6171" width="15" customWidth="1"/>
    <col min="6172" max="6173" width="14.140625" bestFit="1" customWidth="1"/>
    <col min="6174" max="6174" width="11.7109375" bestFit="1" customWidth="1"/>
    <col min="6175" max="6175" width="11.85546875" bestFit="1" customWidth="1"/>
    <col min="6176" max="6176" width="12.5703125" customWidth="1"/>
    <col min="6177" max="6177" width="11.28515625" customWidth="1"/>
    <col min="6178" max="6178" width="11.5703125" customWidth="1"/>
    <col min="6179" max="6179" width="9.28515625" customWidth="1"/>
    <col min="6181" max="6181" width="11.7109375" bestFit="1" customWidth="1"/>
    <col min="6182" max="6182" width="10.7109375" bestFit="1" customWidth="1"/>
    <col min="6401" max="6401" width="11.85546875" customWidth="1"/>
    <col min="6402" max="6402" width="18" customWidth="1"/>
    <col min="6403" max="6403" width="11.7109375" customWidth="1"/>
    <col min="6404" max="6404" width="13.42578125" customWidth="1"/>
    <col min="6405" max="6405" width="12.42578125" customWidth="1"/>
    <col min="6406" max="6406" width="10.140625" customWidth="1"/>
    <col min="6407" max="6408" width="12.42578125" customWidth="1"/>
    <col min="6409" max="6412" width="0" hidden="1" customWidth="1"/>
    <col min="6413" max="6413" width="12.42578125" customWidth="1"/>
    <col min="6414" max="6414" width="29" bestFit="1" customWidth="1"/>
    <col min="6415" max="6415" width="26.42578125" customWidth="1"/>
    <col min="6416" max="6416" width="22.7109375" customWidth="1"/>
    <col min="6417" max="6417" width="15.7109375" customWidth="1"/>
    <col min="6418" max="6418" width="17" customWidth="1"/>
    <col min="6419" max="6419" width="12.42578125" customWidth="1"/>
    <col min="6420" max="6420" width="25.85546875" bestFit="1" customWidth="1"/>
    <col min="6421" max="6423" width="18" customWidth="1"/>
    <col min="6424" max="6424" width="17.140625" customWidth="1"/>
    <col min="6425" max="6426" width="15.7109375" customWidth="1"/>
    <col min="6427" max="6427" width="15" customWidth="1"/>
    <col min="6428" max="6429" width="14.140625" bestFit="1" customWidth="1"/>
    <col min="6430" max="6430" width="11.7109375" bestFit="1" customWidth="1"/>
    <col min="6431" max="6431" width="11.85546875" bestFit="1" customWidth="1"/>
    <col min="6432" max="6432" width="12.5703125" customWidth="1"/>
    <col min="6433" max="6433" width="11.28515625" customWidth="1"/>
    <col min="6434" max="6434" width="11.5703125" customWidth="1"/>
    <col min="6435" max="6435" width="9.28515625" customWidth="1"/>
    <col min="6437" max="6437" width="11.7109375" bestFit="1" customWidth="1"/>
    <col min="6438" max="6438" width="10.7109375" bestFit="1" customWidth="1"/>
    <col min="6657" max="6657" width="11.85546875" customWidth="1"/>
    <col min="6658" max="6658" width="18" customWidth="1"/>
    <col min="6659" max="6659" width="11.7109375" customWidth="1"/>
    <col min="6660" max="6660" width="13.42578125" customWidth="1"/>
    <col min="6661" max="6661" width="12.42578125" customWidth="1"/>
    <col min="6662" max="6662" width="10.140625" customWidth="1"/>
    <col min="6663" max="6664" width="12.42578125" customWidth="1"/>
    <col min="6665" max="6668" width="0" hidden="1" customWidth="1"/>
    <col min="6669" max="6669" width="12.42578125" customWidth="1"/>
    <col min="6670" max="6670" width="29" bestFit="1" customWidth="1"/>
    <col min="6671" max="6671" width="26.42578125" customWidth="1"/>
    <col min="6672" max="6672" width="22.7109375" customWidth="1"/>
    <col min="6673" max="6673" width="15.7109375" customWidth="1"/>
    <col min="6674" max="6674" width="17" customWidth="1"/>
    <col min="6675" max="6675" width="12.42578125" customWidth="1"/>
    <col min="6676" max="6676" width="25.85546875" bestFit="1" customWidth="1"/>
    <col min="6677" max="6679" width="18" customWidth="1"/>
    <col min="6680" max="6680" width="17.140625" customWidth="1"/>
    <col min="6681" max="6682" width="15.7109375" customWidth="1"/>
    <col min="6683" max="6683" width="15" customWidth="1"/>
    <col min="6684" max="6685" width="14.140625" bestFit="1" customWidth="1"/>
    <col min="6686" max="6686" width="11.7109375" bestFit="1" customWidth="1"/>
    <col min="6687" max="6687" width="11.85546875" bestFit="1" customWidth="1"/>
    <col min="6688" max="6688" width="12.5703125" customWidth="1"/>
    <col min="6689" max="6689" width="11.28515625" customWidth="1"/>
    <col min="6690" max="6690" width="11.5703125" customWidth="1"/>
    <col min="6691" max="6691" width="9.28515625" customWidth="1"/>
    <col min="6693" max="6693" width="11.7109375" bestFit="1" customWidth="1"/>
    <col min="6694" max="6694" width="10.7109375" bestFit="1" customWidth="1"/>
    <col min="6913" max="6913" width="11.85546875" customWidth="1"/>
    <col min="6914" max="6914" width="18" customWidth="1"/>
    <col min="6915" max="6915" width="11.7109375" customWidth="1"/>
    <col min="6916" max="6916" width="13.42578125" customWidth="1"/>
    <col min="6917" max="6917" width="12.42578125" customWidth="1"/>
    <col min="6918" max="6918" width="10.140625" customWidth="1"/>
    <col min="6919" max="6920" width="12.42578125" customWidth="1"/>
    <col min="6921" max="6924" width="0" hidden="1" customWidth="1"/>
    <col min="6925" max="6925" width="12.42578125" customWidth="1"/>
    <col min="6926" max="6926" width="29" bestFit="1" customWidth="1"/>
    <col min="6927" max="6927" width="26.42578125" customWidth="1"/>
    <col min="6928" max="6928" width="22.7109375" customWidth="1"/>
    <col min="6929" max="6929" width="15.7109375" customWidth="1"/>
    <col min="6930" max="6930" width="17" customWidth="1"/>
    <col min="6931" max="6931" width="12.42578125" customWidth="1"/>
    <col min="6932" max="6932" width="25.85546875" bestFit="1" customWidth="1"/>
    <col min="6933" max="6935" width="18" customWidth="1"/>
    <col min="6936" max="6936" width="17.140625" customWidth="1"/>
    <col min="6937" max="6938" width="15.7109375" customWidth="1"/>
    <col min="6939" max="6939" width="15" customWidth="1"/>
    <col min="6940" max="6941" width="14.140625" bestFit="1" customWidth="1"/>
    <col min="6942" max="6942" width="11.7109375" bestFit="1" customWidth="1"/>
    <col min="6943" max="6943" width="11.85546875" bestFit="1" customWidth="1"/>
    <col min="6944" max="6944" width="12.5703125" customWidth="1"/>
    <col min="6945" max="6945" width="11.28515625" customWidth="1"/>
    <col min="6946" max="6946" width="11.5703125" customWidth="1"/>
    <col min="6947" max="6947" width="9.28515625" customWidth="1"/>
    <col min="6949" max="6949" width="11.7109375" bestFit="1" customWidth="1"/>
    <col min="6950" max="6950" width="10.7109375" bestFit="1" customWidth="1"/>
    <col min="7169" max="7169" width="11.85546875" customWidth="1"/>
    <col min="7170" max="7170" width="18" customWidth="1"/>
    <col min="7171" max="7171" width="11.7109375" customWidth="1"/>
    <col min="7172" max="7172" width="13.42578125" customWidth="1"/>
    <col min="7173" max="7173" width="12.42578125" customWidth="1"/>
    <col min="7174" max="7174" width="10.140625" customWidth="1"/>
    <col min="7175" max="7176" width="12.42578125" customWidth="1"/>
    <col min="7177" max="7180" width="0" hidden="1" customWidth="1"/>
    <col min="7181" max="7181" width="12.42578125" customWidth="1"/>
    <col min="7182" max="7182" width="29" bestFit="1" customWidth="1"/>
    <col min="7183" max="7183" width="26.42578125" customWidth="1"/>
    <col min="7184" max="7184" width="22.7109375" customWidth="1"/>
    <col min="7185" max="7185" width="15.7109375" customWidth="1"/>
    <col min="7186" max="7186" width="17" customWidth="1"/>
    <col min="7187" max="7187" width="12.42578125" customWidth="1"/>
    <col min="7188" max="7188" width="25.85546875" bestFit="1" customWidth="1"/>
    <col min="7189" max="7191" width="18" customWidth="1"/>
    <col min="7192" max="7192" width="17.140625" customWidth="1"/>
    <col min="7193" max="7194" width="15.7109375" customWidth="1"/>
    <col min="7195" max="7195" width="15" customWidth="1"/>
    <col min="7196" max="7197" width="14.140625" bestFit="1" customWidth="1"/>
    <col min="7198" max="7198" width="11.7109375" bestFit="1" customWidth="1"/>
    <col min="7199" max="7199" width="11.85546875" bestFit="1" customWidth="1"/>
    <col min="7200" max="7200" width="12.5703125" customWidth="1"/>
    <col min="7201" max="7201" width="11.28515625" customWidth="1"/>
    <col min="7202" max="7202" width="11.5703125" customWidth="1"/>
    <col min="7203" max="7203" width="9.28515625" customWidth="1"/>
    <col min="7205" max="7205" width="11.7109375" bestFit="1" customWidth="1"/>
    <col min="7206" max="7206" width="10.7109375" bestFit="1" customWidth="1"/>
    <col min="7425" max="7425" width="11.85546875" customWidth="1"/>
    <col min="7426" max="7426" width="18" customWidth="1"/>
    <col min="7427" max="7427" width="11.7109375" customWidth="1"/>
    <col min="7428" max="7428" width="13.42578125" customWidth="1"/>
    <col min="7429" max="7429" width="12.42578125" customWidth="1"/>
    <col min="7430" max="7430" width="10.140625" customWidth="1"/>
    <col min="7431" max="7432" width="12.42578125" customWidth="1"/>
    <col min="7433" max="7436" width="0" hidden="1" customWidth="1"/>
    <col min="7437" max="7437" width="12.42578125" customWidth="1"/>
    <col min="7438" max="7438" width="29" bestFit="1" customWidth="1"/>
    <col min="7439" max="7439" width="26.42578125" customWidth="1"/>
    <col min="7440" max="7440" width="22.7109375" customWidth="1"/>
    <col min="7441" max="7441" width="15.7109375" customWidth="1"/>
    <col min="7442" max="7442" width="17" customWidth="1"/>
    <col min="7443" max="7443" width="12.42578125" customWidth="1"/>
    <col min="7444" max="7444" width="25.85546875" bestFit="1" customWidth="1"/>
    <col min="7445" max="7447" width="18" customWidth="1"/>
    <col min="7448" max="7448" width="17.140625" customWidth="1"/>
    <col min="7449" max="7450" width="15.7109375" customWidth="1"/>
    <col min="7451" max="7451" width="15" customWidth="1"/>
    <col min="7452" max="7453" width="14.140625" bestFit="1" customWidth="1"/>
    <col min="7454" max="7454" width="11.7109375" bestFit="1" customWidth="1"/>
    <col min="7455" max="7455" width="11.85546875" bestFit="1" customWidth="1"/>
    <col min="7456" max="7456" width="12.5703125" customWidth="1"/>
    <col min="7457" max="7457" width="11.28515625" customWidth="1"/>
    <col min="7458" max="7458" width="11.5703125" customWidth="1"/>
    <col min="7459" max="7459" width="9.28515625" customWidth="1"/>
    <col min="7461" max="7461" width="11.7109375" bestFit="1" customWidth="1"/>
    <col min="7462" max="7462" width="10.7109375" bestFit="1" customWidth="1"/>
    <col min="7681" max="7681" width="11.85546875" customWidth="1"/>
    <col min="7682" max="7682" width="18" customWidth="1"/>
    <col min="7683" max="7683" width="11.7109375" customWidth="1"/>
    <col min="7684" max="7684" width="13.42578125" customWidth="1"/>
    <col min="7685" max="7685" width="12.42578125" customWidth="1"/>
    <col min="7686" max="7686" width="10.140625" customWidth="1"/>
    <col min="7687" max="7688" width="12.42578125" customWidth="1"/>
    <col min="7689" max="7692" width="0" hidden="1" customWidth="1"/>
    <col min="7693" max="7693" width="12.42578125" customWidth="1"/>
    <col min="7694" max="7694" width="29" bestFit="1" customWidth="1"/>
    <col min="7695" max="7695" width="26.42578125" customWidth="1"/>
    <col min="7696" max="7696" width="22.7109375" customWidth="1"/>
    <col min="7697" max="7697" width="15.7109375" customWidth="1"/>
    <col min="7698" max="7698" width="17" customWidth="1"/>
    <col min="7699" max="7699" width="12.42578125" customWidth="1"/>
    <col min="7700" max="7700" width="25.85546875" bestFit="1" customWidth="1"/>
    <col min="7701" max="7703" width="18" customWidth="1"/>
    <col min="7704" max="7704" width="17.140625" customWidth="1"/>
    <col min="7705" max="7706" width="15.7109375" customWidth="1"/>
    <col min="7707" max="7707" width="15" customWidth="1"/>
    <col min="7708" max="7709" width="14.140625" bestFit="1" customWidth="1"/>
    <col min="7710" max="7710" width="11.7109375" bestFit="1" customWidth="1"/>
    <col min="7711" max="7711" width="11.85546875" bestFit="1" customWidth="1"/>
    <col min="7712" max="7712" width="12.5703125" customWidth="1"/>
    <col min="7713" max="7713" width="11.28515625" customWidth="1"/>
    <col min="7714" max="7714" width="11.5703125" customWidth="1"/>
    <col min="7715" max="7715" width="9.28515625" customWidth="1"/>
    <col min="7717" max="7717" width="11.7109375" bestFit="1" customWidth="1"/>
    <col min="7718" max="7718" width="10.7109375" bestFit="1" customWidth="1"/>
    <col min="7937" max="7937" width="11.85546875" customWidth="1"/>
    <col min="7938" max="7938" width="18" customWidth="1"/>
    <col min="7939" max="7939" width="11.7109375" customWidth="1"/>
    <col min="7940" max="7940" width="13.42578125" customWidth="1"/>
    <col min="7941" max="7941" width="12.42578125" customWidth="1"/>
    <col min="7942" max="7942" width="10.140625" customWidth="1"/>
    <col min="7943" max="7944" width="12.42578125" customWidth="1"/>
    <col min="7945" max="7948" width="0" hidden="1" customWidth="1"/>
    <col min="7949" max="7949" width="12.42578125" customWidth="1"/>
    <col min="7950" max="7950" width="29" bestFit="1" customWidth="1"/>
    <col min="7951" max="7951" width="26.42578125" customWidth="1"/>
    <col min="7952" max="7952" width="22.7109375" customWidth="1"/>
    <col min="7953" max="7953" width="15.7109375" customWidth="1"/>
    <col min="7954" max="7954" width="17" customWidth="1"/>
    <col min="7955" max="7955" width="12.42578125" customWidth="1"/>
    <col min="7956" max="7956" width="25.85546875" bestFit="1" customWidth="1"/>
    <col min="7957" max="7959" width="18" customWidth="1"/>
    <col min="7960" max="7960" width="17.140625" customWidth="1"/>
    <col min="7961" max="7962" width="15.7109375" customWidth="1"/>
    <col min="7963" max="7963" width="15" customWidth="1"/>
    <col min="7964" max="7965" width="14.140625" bestFit="1" customWidth="1"/>
    <col min="7966" max="7966" width="11.7109375" bestFit="1" customWidth="1"/>
    <col min="7967" max="7967" width="11.85546875" bestFit="1" customWidth="1"/>
    <col min="7968" max="7968" width="12.5703125" customWidth="1"/>
    <col min="7969" max="7969" width="11.28515625" customWidth="1"/>
    <col min="7970" max="7970" width="11.5703125" customWidth="1"/>
    <col min="7971" max="7971" width="9.28515625" customWidth="1"/>
    <col min="7973" max="7973" width="11.7109375" bestFit="1" customWidth="1"/>
    <col min="7974" max="7974" width="10.7109375" bestFit="1" customWidth="1"/>
    <col min="8193" max="8193" width="11.85546875" customWidth="1"/>
    <col min="8194" max="8194" width="18" customWidth="1"/>
    <col min="8195" max="8195" width="11.7109375" customWidth="1"/>
    <col min="8196" max="8196" width="13.42578125" customWidth="1"/>
    <col min="8197" max="8197" width="12.42578125" customWidth="1"/>
    <col min="8198" max="8198" width="10.140625" customWidth="1"/>
    <col min="8199" max="8200" width="12.42578125" customWidth="1"/>
    <col min="8201" max="8204" width="0" hidden="1" customWidth="1"/>
    <col min="8205" max="8205" width="12.42578125" customWidth="1"/>
    <col min="8206" max="8206" width="29" bestFit="1" customWidth="1"/>
    <col min="8207" max="8207" width="26.42578125" customWidth="1"/>
    <col min="8208" max="8208" width="22.7109375" customWidth="1"/>
    <col min="8209" max="8209" width="15.7109375" customWidth="1"/>
    <col min="8210" max="8210" width="17" customWidth="1"/>
    <col min="8211" max="8211" width="12.42578125" customWidth="1"/>
    <col min="8212" max="8212" width="25.85546875" bestFit="1" customWidth="1"/>
    <col min="8213" max="8215" width="18" customWidth="1"/>
    <col min="8216" max="8216" width="17.140625" customWidth="1"/>
    <col min="8217" max="8218" width="15.7109375" customWidth="1"/>
    <col min="8219" max="8219" width="15" customWidth="1"/>
    <col min="8220" max="8221" width="14.140625" bestFit="1" customWidth="1"/>
    <col min="8222" max="8222" width="11.7109375" bestFit="1" customWidth="1"/>
    <col min="8223" max="8223" width="11.85546875" bestFit="1" customWidth="1"/>
    <col min="8224" max="8224" width="12.5703125" customWidth="1"/>
    <col min="8225" max="8225" width="11.28515625" customWidth="1"/>
    <col min="8226" max="8226" width="11.5703125" customWidth="1"/>
    <col min="8227" max="8227" width="9.28515625" customWidth="1"/>
    <col min="8229" max="8229" width="11.7109375" bestFit="1" customWidth="1"/>
    <col min="8230" max="8230" width="10.7109375" bestFit="1" customWidth="1"/>
    <col min="8449" max="8449" width="11.85546875" customWidth="1"/>
    <col min="8450" max="8450" width="18" customWidth="1"/>
    <col min="8451" max="8451" width="11.7109375" customWidth="1"/>
    <col min="8452" max="8452" width="13.42578125" customWidth="1"/>
    <col min="8453" max="8453" width="12.42578125" customWidth="1"/>
    <col min="8454" max="8454" width="10.140625" customWidth="1"/>
    <col min="8455" max="8456" width="12.42578125" customWidth="1"/>
    <col min="8457" max="8460" width="0" hidden="1" customWidth="1"/>
    <col min="8461" max="8461" width="12.42578125" customWidth="1"/>
    <col min="8462" max="8462" width="29" bestFit="1" customWidth="1"/>
    <col min="8463" max="8463" width="26.42578125" customWidth="1"/>
    <col min="8464" max="8464" width="22.7109375" customWidth="1"/>
    <col min="8465" max="8465" width="15.7109375" customWidth="1"/>
    <col min="8466" max="8466" width="17" customWidth="1"/>
    <col min="8467" max="8467" width="12.42578125" customWidth="1"/>
    <col min="8468" max="8468" width="25.85546875" bestFit="1" customWidth="1"/>
    <col min="8469" max="8471" width="18" customWidth="1"/>
    <col min="8472" max="8472" width="17.140625" customWidth="1"/>
    <col min="8473" max="8474" width="15.7109375" customWidth="1"/>
    <col min="8475" max="8475" width="15" customWidth="1"/>
    <col min="8476" max="8477" width="14.140625" bestFit="1" customWidth="1"/>
    <col min="8478" max="8478" width="11.7109375" bestFit="1" customWidth="1"/>
    <col min="8479" max="8479" width="11.85546875" bestFit="1" customWidth="1"/>
    <col min="8480" max="8480" width="12.5703125" customWidth="1"/>
    <col min="8481" max="8481" width="11.28515625" customWidth="1"/>
    <col min="8482" max="8482" width="11.5703125" customWidth="1"/>
    <col min="8483" max="8483" width="9.28515625" customWidth="1"/>
    <col min="8485" max="8485" width="11.7109375" bestFit="1" customWidth="1"/>
    <col min="8486" max="8486" width="10.7109375" bestFit="1" customWidth="1"/>
    <col min="8705" max="8705" width="11.85546875" customWidth="1"/>
    <col min="8706" max="8706" width="18" customWidth="1"/>
    <col min="8707" max="8707" width="11.7109375" customWidth="1"/>
    <col min="8708" max="8708" width="13.42578125" customWidth="1"/>
    <col min="8709" max="8709" width="12.42578125" customWidth="1"/>
    <col min="8710" max="8710" width="10.140625" customWidth="1"/>
    <col min="8711" max="8712" width="12.42578125" customWidth="1"/>
    <col min="8713" max="8716" width="0" hidden="1" customWidth="1"/>
    <col min="8717" max="8717" width="12.42578125" customWidth="1"/>
    <col min="8718" max="8718" width="29" bestFit="1" customWidth="1"/>
    <col min="8719" max="8719" width="26.42578125" customWidth="1"/>
    <col min="8720" max="8720" width="22.7109375" customWidth="1"/>
    <col min="8721" max="8721" width="15.7109375" customWidth="1"/>
    <col min="8722" max="8722" width="17" customWidth="1"/>
    <col min="8723" max="8723" width="12.42578125" customWidth="1"/>
    <col min="8724" max="8724" width="25.85546875" bestFit="1" customWidth="1"/>
    <col min="8725" max="8727" width="18" customWidth="1"/>
    <col min="8728" max="8728" width="17.140625" customWidth="1"/>
    <col min="8729" max="8730" width="15.7109375" customWidth="1"/>
    <col min="8731" max="8731" width="15" customWidth="1"/>
    <col min="8732" max="8733" width="14.140625" bestFit="1" customWidth="1"/>
    <col min="8734" max="8734" width="11.7109375" bestFit="1" customWidth="1"/>
    <col min="8735" max="8735" width="11.85546875" bestFit="1" customWidth="1"/>
    <col min="8736" max="8736" width="12.5703125" customWidth="1"/>
    <col min="8737" max="8737" width="11.28515625" customWidth="1"/>
    <col min="8738" max="8738" width="11.5703125" customWidth="1"/>
    <col min="8739" max="8739" width="9.28515625" customWidth="1"/>
    <col min="8741" max="8741" width="11.7109375" bestFit="1" customWidth="1"/>
    <col min="8742" max="8742" width="10.7109375" bestFit="1" customWidth="1"/>
    <col min="8961" max="8961" width="11.85546875" customWidth="1"/>
    <col min="8962" max="8962" width="18" customWidth="1"/>
    <col min="8963" max="8963" width="11.7109375" customWidth="1"/>
    <col min="8964" max="8964" width="13.42578125" customWidth="1"/>
    <col min="8965" max="8965" width="12.42578125" customWidth="1"/>
    <col min="8966" max="8966" width="10.140625" customWidth="1"/>
    <col min="8967" max="8968" width="12.42578125" customWidth="1"/>
    <col min="8969" max="8972" width="0" hidden="1" customWidth="1"/>
    <col min="8973" max="8973" width="12.42578125" customWidth="1"/>
    <col min="8974" max="8974" width="29" bestFit="1" customWidth="1"/>
    <col min="8975" max="8975" width="26.42578125" customWidth="1"/>
    <col min="8976" max="8976" width="22.7109375" customWidth="1"/>
    <col min="8977" max="8977" width="15.7109375" customWidth="1"/>
    <col min="8978" max="8978" width="17" customWidth="1"/>
    <col min="8979" max="8979" width="12.42578125" customWidth="1"/>
    <col min="8980" max="8980" width="25.85546875" bestFit="1" customWidth="1"/>
    <col min="8981" max="8983" width="18" customWidth="1"/>
    <col min="8984" max="8984" width="17.140625" customWidth="1"/>
    <col min="8985" max="8986" width="15.7109375" customWidth="1"/>
    <col min="8987" max="8987" width="15" customWidth="1"/>
    <col min="8988" max="8989" width="14.140625" bestFit="1" customWidth="1"/>
    <col min="8990" max="8990" width="11.7109375" bestFit="1" customWidth="1"/>
    <col min="8991" max="8991" width="11.85546875" bestFit="1" customWidth="1"/>
    <col min="8992" max="8992" width="12.5703125" customWidth="1"/>
    <col min="8993" max="8993" width="11.28515625" customWidth="1"/>
    <col min="8994" max="8994" width="11.5703125" customWidth="1"/>
    <col min="8995" max="8995" width="9.28515625" customWidth="1"/>
    <col min="8997" max="8997" width="11.7109375" bestFit="1" customWidth="1"/>
    <col min="8998" max="8998" width="10.7109375" bestFit="1" customWidth="1"/>
    <col min="9217" max="9217" width="11.85546875" customWidth="1"/>
    <col min="9218" max="9218" width="18" customWidth="1"/>
    <col min="9219" max="9219" width="11.7109375" customWidth="1"/>
    <col min="9220" max="9220" width="13.42578125" customWidth="1"/>
    <col min="9221" max="9221" width="12.42578125" customWidth="1"/>
    <col min="9222" max="9222" width="10.140625" customWidth="1"/>
    <col min="9223" max="9224" width="12.42578125" customWidth="1"/>
    <col min="9225" max="9228" width="0" hidden="1" customWidth="1"/>
    <col min="9229" max="9229" width="12.42578125" customWidth="1"/>
    <col min="9230" max="9230" width="29" bestFit="1" customWidth="1"/>
    <col min="9231" max="9231" width="26.42578125" customWidth="1"/>
    <col min="9232" max="9232" width="22.7109375" customWidth="1"/>
    <col min="9233" max="9233" width="15.7109375" customWidth="1"/>
    <col min="9234" max="9234" width="17" customWidth="1"/>
    <col min="9235" max="9235" width="12.42578125" customWidth="1"/>
    <col min="9236" max="9236" width="25.85546875" bestFit="1" customWidth="1"/>
    <col min="9237" max="9239" width="18" customWidth="1"/>
    <col min="9240" max="9240" width="17.140625" customWidth="1"/>
    <col min="9241" max="9242" width="15.7109375" customWidth="1"/>
    <col min="9243" max="9243" width="15" customWidth="1"/>
    <col min="9244" max="9245" width="14.140625" bestFit="1" customWidth="1"/>
    <col min="9246" max="9246" width="11.7109375" bestFit="1" customWidth="1"/>
    <col min="9247" max="9247" width="11.85546875" bestFit="1" customWidth="1"/>
    <col min="9248" max="9248" width="12.5703125" customWidth="1"/>
    <col min="9249" max="9249" width="11.28515625" customWidth="1"/>
    <col min="9250" max="9250" width="11.5703125" customWidth="1"/>
    <col min="9251" max="9251" width="9.28515625" customWidth="1"/>
    <col min="9253" max="9253" width="11.7109375" bestFit="1" customWidth="1"/>
    <col min="9254" max="9254" width="10.7109375" bestFit="1" customWidth="1"/>
    <col min="9473" max="9473" width="11.85546875" customWidth="1"/>
    <col min="9474" max="9474" width="18" customWidth="1"/>
    <col min="9475" max="9475" width="11.7109375" customWidth="1"/>
    <col min="9476" max="9476" width="13.42578125" customWidth="1"/>
    <col min="9477" max="9477" width="12.42578125" customWidth="1"/>
    <col min="9478" max="9478" width="10.140625" customWidth="1"/>
    <col min="9479" max="9480" width="12.42578125" customWidth="1"/>
    <col min="9481" max="9484" width="0" hidden="1" customWidth="1"/>
    <col min="9485" max="9485" width="12.42578125" customWidth="1"/>
    <col min="9486" max="9486" width="29" bestFit="1" customWidth="1"/>
    <col min="9487" max="9487" width="26.42578125" customWidth="1"/>
    <col min="9488" max="9488" width="22.7109375" customWidth="1"/>
    <col min="9489" max="9489" width="15.7109375" customWidth="1"/>
    <col min="9490" max="9490" width="17" customWidth="1"/>
    <col min="9491" max="9491" width="12.42578125" customWidth="1"/>
    <col min="9492" max="9492" width="25.85546875" bestFit="1" customWidth="1"/>
    <col min="9493" max="9495" width="18" customWidth="1"/>
    <col min="9496" max="9496" width="17.140625" customWidth="1"/>
    <col min="9497" max="9498" width="15.7109375" customWidth="1"/>
    <col min="9499" max="9499" width="15" customWidth="1"/>
    <col min="9500" max="9501" width="14.140625" bestFit="1" customWidth="1"/>
    <col min="9502" max="9502" width="11.7109375" bestFit="1" customWidth="1"/>
    <col min="9503" max="9503" width="11.85546875" bestFit="1" customWidth="1"/>
    <col min="9504" max="9504" width="12.5703125" customWidth="1"/>
    <col min="9505" max="9505" width="11.28515625" customWidth="1"/>
    <col min="9506" max="9506" width="11.5703125" customWidth="1"/>
    <col min="9507" max="9507" width="9.28515625" customWidth="1"/>
    <col min="9509" max="9509" width="11.7109375" bestFit="1" customWidth="1"/>
    <col min="9510" max="9510" width="10.7109375" bestFit="1" customWidth="1"/>
    <col min="9729" max="9729" width="11.85546875" customWidth="1"/>
    <col min="9730" max="9730" width="18" customWidth="1"/>
    <col min="9731" max="9731" width="11.7109375" customWidth="1"/>
    <col min="9732" max="9732" width="13.42578125" customWidth="1"/>
    <col min="9733" max="9733" width="12.42578125" customWidth="1"/>
    <col min="9734" max="9734" width="10.140625" customWidth="1"/>
    <col min="9735" max="9736" width="12.42578125" customWidth="1"/>
    <col min="9737" max="9740" width="0" hidden="1" customWidth="1"/>
    <col min="9741" max="9741" width="12.42578125" customWidth="1"/>
    <col min="9742" max="9742" width="29" bestFit="1" customWidth="1"/>
    <col min="9743" max="9743" width="26.42578125" customWidth="1"/>
    <col min="9744" max="9744" width="22.7109375" customWidth="1"/>
    <col min="9745" max="9745" width="15.7109375" customWidth="1"/>
    <col min="9746" max="9746" width="17" customWidth="1"/>
    <col min="9747" max="9747" width="12.42578125" customWidth="1"/>
    <col min="9748" max="9748" width="25.85546875" bestFit="1" customWidth="1"/>
    <col min="9749" max="9751" width="18" customWidth="1"/>
    <col min="9752" max="9752" width="17.140625" customWidth="1"/>
    <col min="9753" max="9754" width="15.7109375" customWidth="1"/>
    <col min="9755" max="9755" width="15" customWidth="1"/>
    <col min="9756" max="9757" width="14.140625" bestFit="1" customWidth="1"/>
    <col min="9758" max="9758" width="11.7109375" bestFit="1" customWidth="1"/>
    <col min="9759" max="9759" width="11.85546875" bestFit="1" customWidth="1"/>
    <col min="9760" max="9760" width="12.5703125" customWidth="1"/>
    <col min="9761" max="9761" width="11.28515625" customWidth="1"/>
    <col min="9762" max="9762" width="11.5703125" customWidth="1"/>
    <col min="9763" max="9763" width="9.28515625" customWidth="1"/>
    <col min="9765" max="9765" width="11.7109375" bestFit="1" customWidth="1"/>
    <col min="9766" max="9766" width="10.7109375" bestFit="1" customWidth="1"/>
    <col min="9985" max="9985" width="11.85546875" customWidth="1"/>
    <col min="9986" max="9986" width="18" customWidth="1"/>
    <col min="9987" max="9987" width="11.7109375" customWidth="1"/>
    <col min="9988" max="9988" width="13.42578125" customWidth="1"/>
    <col min="9989" max="9989" width="12.42578125" customWidth="1"/>
    <col min="9990" max="9990" width="10.140625" customWidth="1"/>
    <col min="9991" max="9992" width="12.42578125" customWidth="1"/>
    <col min="9993" max="9996" width="0" hidden="1" customWidth="1"/>
    <col min="9997" max="9997" width="12.42578125" customWidth="1"/>
    <col min="9998" max="9998" width="29" bestFit="1" customWidth="1"/>
    <col min="9999" max="9999" width="26.42578125" customWidth="1"/>
    <col min="10000" max="10000" width="22.7109375" customWidth="1"/>
    <col min="10001" max="10001" width="15.7109375" customWidth="1"/>
    <col min="10002" max="10002" width="17" customWidth="1"/>
    <col min="10003" max="10003" width="12.42578125" customWidth="1"/>
    <col min="10004" max="10004" width="25.85546875" bestFit="1" customWidth="1"/>
    <col min="10005" max="10007" width="18" customWidth="1"/>
    <col min="10008" max="10008" width="17.140625" customWidth="1"/>
    <col min="10009" max="10010" width="15.7109375" customWidth="1"/>
    <col min="10011" max="10011" width="15" customWidth="1"/>
    <col min="10012" max="10013" width="14.140625" bestFit="1" customWidth="1"/>
    <col min="10014" max="10014" width="11.7109375" bestFit="1" customWidth="1"/>
    <col min="10015" max="10015" width="11.85546875" bestFit="1" customWidth="1"/>
    <col min="10016" max="10016" width="12.5703125" customWidth="1"/>
    <col min="10017" max="10017" width="11.28515625" customWidth="1"/>
    <col min="10018" max="10018" width="11.5703125" customWidth="1"/>
    <col min="10019" max="10019" width="9.28515625" customWidth="1"/>
    <col min="10021" max="10021" width="11.7109375" bestFit="1" customWidth="1"/>
    <col min="10022" max="10022" width="10.7109375" bestFit="1" customWidth="1"/>
    <col min="10241" max="10241" width="11.85546875" customWidth="1"/>
    <col min="10242" max="10242" width="18" customWidth="1"/>
    <col min="10243" max="10243" width="11.7109375" customWidth="1"/>
    <col min="10244" max="10244" width="13.42578125" customWidth="1"/>
    <col min="10245" max="10245" width="12.42578125" customWidth="1"/>
    <col min="10246" max="10246" width="10.140625" customWidth="1"/>
    <col min="10247" max="10248" width="12.42578125" customWidth="1"/>
    <col min="10249" max="10252" width="0" hidden="1" customWidth="1"/>
    <col min="10253" max="10253" width="12.42578125" customWidth="1"/>
    <col min="10254" max="10254" width="29" bestFit="1" customWidth="1"/>
    <col min="10255" max="10255" width="26.42578125" customWidth="1"/>
    <col min="10256" max="10256" width="22.7109375" customWidth="1"/>
    <col min="10257" max="10257" width="15.7109375" customWidth="1"/>
    <col min="10258" max="10258" width="17" customWidth="1"/>
    <col min="10259" max="10259" width="12.42578125" customWidth="1"/>
    <col min="10260" max="10260" width="25.85546875" bestFit="1" customWidth="1"/>
    <col min="10261" max="10263" width="18" customWidth="1"/>
    <col min="10264" max="10264" width="17.140625" customWidth="1"/>
    <col min="10265" max="10266" width="15.7109375" customWidth="1"/>
    <col min="10267" max="10267" width="15" customWidth="1"/>
    <col min="10268" max="10269" width="14.140625" bestFit="1" customWidth="1"/>
    <col min="10270" max="10270" width="11.7109375" bestFit="1" customWidth="1"/>
    <col min="10271" max="10271" width="11.85546875" bestFit="1" customWidth="1"/>
    <col min="10272" max="10272" width="12.5703125" customWidth="1"/>
    <col min="10273" max="10273" width="11.28515625" customWidth="1"/>
    <col min="10274" max="10274" width="11.5703125" customWidth="1"/>
    <col min="10275" max="10275" width="9.28515625" customWidth="1"/>
    <col min="10277" max="10277" width="11.7109375" bestFit="1" customWidth="1"/>
    <col min="10278" max="10278" width="10.7109375" bestFit="1" customWidth="1"/>
    <col min="10497" max="10497" width="11.85546875" customWidth="1"/>
    <col min="10498" max="10498" width="18" customWidth="1"/>
    <col min="10499" max="10499" width="11.7109375" customWidth="1"/>
    <col min="10500" max="10500" width="13.42578125" customWidth="1"/>
    <col min="10501" max="10501" width="12.42578125" customWidth="1"/>
    <col min="10502" max="10502" width="10.140625" customWidth="1"/>
    <col min="10503" max="10504" width="12.42578125" customWidth="1"/>
    <col min="10505" max="10508" width="0" hidden="1" customWidth="1"/>
    <col min="10509" max="10509" width="12.42578125" customWidth="1"/>
    <col min="10510" max="10510" width="29" bestFit="1" customWidth="1"/>
    <col min="10511" max="10511" width="26.42578125" customWidth="1"/>
    <col min="10512" max="10512" width="22.7109375" customWidth="1"/>
    <col min="10513" max="10513" width="15.7109375" customWidth="1"/>
    <col min="10514" max="10514" width="17" customWidth="1"/>
    <col min="10515" max="10515" width="12.42578125" customWidth="1"/>
    <col min="10516" max="10516" width="25.85546875" bestFit="1" customWidth="1"/>
    <col min="10517" max="10519" width="18" customWidth="1"/>
    <col min="10520" max="10520" width="17.140625" customWidth="1"/>
    <col min="10521" max="10522" width="15.7109375" customWidth="1"/>
    <col min="10523" max="10523" width="15" customWidth="1"/>
    <col min="10524" max="10525" width="14.140625" bestFit="1" customWidth="1"/>
    <col min="10526" max="10526" width="11.7109375" bestFit="1" customWidth="1"/>
    <col min="10527" max="10527" width="11.85546875" bestFit="1" customWidth="1"/>
    <col min="10528" max="10528" width="12.5703125" customWidth="1"/>
    <col min="10529" max="10529" width="11.28515625" customWidth="1"/>
    <col min="10530" max="10530" width="11.5703125" customWidth="1"/>
    <col min="10531" max="10531" width="9.28515625" customWidth="1"/>
    <col min="10533" max="10533" width="11.7109375" bestFit="1" customWidth="1"/>
    <col min="10534" max="10534" width="10.7109375" bestFit="1" customWidth="1"/>
    <col min="10753" max="10753" width="11.85546875" customWidth="1"/>
    <col min="10754" max="10754" width="18" customWidth="1"/>
    <col min="10755" max="10755" width="11.7109375" customWidth="1"/>
    <col min="10756" max="10756" width="13.42578125" customWidth="1"/>
    <col min="10757" max="10757" width="12.42578125" customWidth="1"/>
    <col min="10758" max="10758" width="10.140625" customWidth="1"/>
    <col min="10759" max="10760" width="12.42578125" customWidth="1"/>
    <col min="10761" max="10764" width="0" hidden="1" customWidth="1"/>
    <col min="10765" max="10765" width="12.42578125" customWidth="1"/>
    <col min="10766" max="10766" width="29" bestFit="1" customWidth="1"/>
    <col min="10767" max="10767" width="26.42578125" customWidth="1"/>
    <col min="10768" max="10768" width="22.7109375" customWidth="1"/>
    <col min="10769" max="10769" width="15.7109375" customWidth="1"/>
    <col min="10770" max="10770" width="17" customWidth="1"/>
    <col min="10771" max="10771" width="12.42578125" customWidth="1"/>
    <col min="10772" max="10772" width="25.85546875" bestFit="1" customWidth="1"/>
    <col min="10773" max="10775" width="18" customWidth="1"/>
    <col min="10776" max="10776" width="17.140625" customWidth="1"/>
    <col min="10777" max="10778" width="15.7109375" customWidth="1"/>
    <col min="10779" max="10779" width="15" customWidth="1"/>
    <col min="10780" max="10781" width="14.140625" bestFit="1" customWidth="1"/>
    <col min="10782" max="10782" width="11.7109375" bestFit="1" customWidth="1"/>
    <col min="10783" max="10783" width="11.85546875" bestFit="1" customWidth="1"/>
    <col min="10784" max="10784" width="12.5703125" customWidth="1"/>
    <col min="10785" max="10785" width="11.28515625" customWidth="1"/>
    <col min="10786" max="10786" width="11.5703125" customWidth="1"/>
    <col min="10787" max="10787" width="9.28515625" customWidth="1"/>
    <col min="10789" max="10789" width="11.7109375" bestFit="1" customWidth="1"/>
    <col min="10790" max="10790" width="10.7109375" bestFit="1" customWidth="1"/>
    <col min="11009" max="11009" width="11.85546875" customWidth="1"/>
    <col min="11010" max="11010" width="18" customWidth="1"/>
    <col min="11011" max="11011" width="11.7109375" customWidth="1"/>
    <col min="11012" max="11012" width="13.42578125" customWidth="1"/>
    <col min="11013" max="11013" width="12.42578125" customWidth="1"/>
    <col min="11014" max="11014" width="10.140625" customWidth="1"/>
    <col min="11015" max="11016" width="12.42578125" customWidth="1"/>
    <col min="11017" max="11020" width="0" hidden="1" customWidth="1"/>
    <col min="11021" max="11021" width="12.42578125" customWidth="1"/>
    <col min="11022" max="11022" width="29" bestFit="1" customWidth="1"/>
    <col min="11023" max="11023" width="26.42578125" customWidth="1"/>
    <col min="11024" max="11024" width="22.7109375" customWidth="1"/>
    <col min="11025" max="11025" width="15.7109375" customWidth="1"/>
    <col min="11026" max="11026" width="17" customWidth="1"/>
    <col min="11027" max="11027" width="12.42578125" customWidth="1"/>
    <col min="11028" max="11028" width="25.85546875" bestFit="1" customWidth="1"/>
    <col min="11029" max="11031" width="18" customWidth="1"/>
    <col min="11032" max="11032" width="17.140625" customWidth="1"/>
    <col min="11033" max="11034" width="15.7109375" customWidth="1"/>
    <col min="11035" max="11035" width="15" customWidth="1"/>
    <col min="11036" max="11037" width="14.140625" bestFit="1" customWidth="1"/>
    <col min="11038" max="11038" width="11.7109375" bestFit="1" customWidth="1"/>
    <col min="11039" max="11039" width="11.85546875" bestFit="1" customWidth="1"/>
    <col min="11040" max="11040" width="12.5703125" customWidth="1"/>
    <col min="11041" max="11041" width="11.28515625" customWidth="1"/>
    <col min="11042" max="11042" width="11.5703125" customWidth="1"/>
    <col min="11043" max="11043" width="9.28515625" customWidth="1"/>
    <col min="11045" max="11045" width="11.7109375" bestFit="1" customWidth="1"/>
    <col min="11046" max="11046" width="10.7109375" bestFit="1" customWidth="1"/>
    <col min="11265" max="11265" width="11.85546875" customWidth="1"/>
    <col min="11266" max="11266" width="18" customWidth="1"/>
    <col min="11267" max="11267" width="11.7109375" customWidth="1"/>
    <col min="11268" max="11268" width="13.42578125" customWidth="1"/>
    <col min="11269" max="11269" width="12.42578125" customWidth="1"/>
    <col min="11270" max="11270" width="10.140625" customWidth="1"/>
    <col min="11271" max="11272" width="12.42578125" customWidth="1"/>
    <col min="11273" max="11276" width="0" hidden="1" customWidth="1"/>
    <col min="11277" max="11277" width="12.42578125" customWidth="1"/>
    <col min="11278" max="11278" width="29" bestFit="1" customWidth="1"/>
    <col min="11279" max="11279" width="26.42578125" customWidth="1"/>
    <col min="11280" max="11280" width="22.7109375" customWidth="1"/>
    <col min="11281" max="11281" width="15.7109375" customWidth="1"/>
    <col min="11282" max="11282" width="17" customWidth="1"/>
    <col min="11283" max="11283" width="12.42578125" customWidth="1"/>
    <col min="11284" max="11284" width="25.85546875" bestFit="1" customWidth="1"/>
    <col min="11285" max="11287" width="18" customWidth="1"/>
    <col min="11288" max="11288" width="17.140625" customWidth="1"/>
    <col min="11289" max="11290" width="15.7109375" customWidth="1"/>
    <col min="11291" max="11291" width="15" customWidth="1"/>
    <col min="11292" max="11293" width="14.140625" bestFit="1" customWidth="1"/>
    <col min="11294" max="11294" width="11.7109375" bestFit="1" customWidth="1"/>
    <col min="11295" max="11295" width="11.85546875" bestFit="1" customWidth="1"/>
    <col min="11296" max="11296" width="12.5703125" customWidth="1"/>
    <col min="11297" max="11297" width="11.28515625" customWidth="1"/>
    <col min="11298" max="11298" width="11.5703125" customWidth="1"/>
    <col min="11299" max="11299" width="9.28515625" customWidth="1"/>
    <col min="11301" max="11301" width="11.7109375" bestFit="1" customWidth="1"/>
    <col min="11302" max="11302" width="10.7109375" bestFit="1" customWidth="1"/>
    <col min="11521" max="11521" width="11.85546875" customWidth="1"/>
    <col min="11522" max="11522" width="18" customWidth="1"/>
    <col min="11523" max="11523" width="11.7109375" customWidth="1"/>
    <col min="11524" max="11524" width="13.42578125" customWidth="1"/>
    <col min="11525" max="11525" width="12.42578125" customWidth="1"/>
    <col min="11526" max="11526" width="10.140625" customWidth="1"/>
    <col min="11527" max="11528" width="12.42578125" customWidth="1"/>
    <col min="11529" max="11532" width="0" hidden="1" customWidth="1"/>
    <col min="11533" max="11533" width="12.42578125" customWidth="1"/>
    <col min="11534" max="11534" width="29" bestFit="1" customWidth="1"/>
    <col min="11535" max="11535" width="26.42578125" customWidth="1"/>
    <col min="11536" max="11536" width="22.7109375" customWidth="1"/>
    <col min="11537" max="11537" width="15.7109375" customWidth="1"/>
    <col min="11538" max="11538" width="17" customWidth="1"/>
    <col min="11539" max="11539" width="12.42578125" customWidth="1"/>
    <col min="11540" max="11540" width="25.85546875" bestFit="1" customWidth="1"/>
    <col min="11541" max="11543" width="18" customWidth="1"/>
    <col min="11544" max="11544" width="17.140625" customWidth="1"/>
    <col min="11545" max="11546" width="15.7109375" customWidth="1"/>
    <col min="11547" max="11547" width="15" customWidth="1"/>
    <col min="11548" max="11549" width="14.140625" bestFit="1" customWidth="1"/>
    <col min="11550" max="11550" width="11.7109375" bestFit="1" customWidth="1"/>
    <col min="11551" max="11551" width="11.85546875" bestFit="1" customWidth="1"/>
    <col min="11552" max="11552" width="12.5703125" customWidth="1"/>
    <col min="11553" max="11553" width="11.28515625" customWidth="1"/>
    <col min="11554" max="11554" width="11.5703125" customWidth="1"/>
    <col min="11555" max="11555" width="9.28515625" customWidth="1"/>
    <col min="11557" max="11557" width="11.7109375" bestFit="1" customWidth="1"/>
    <col min="11558" max="11558" width="10.7109375" bestFit="1" customWidth="1"/>
    <col min="11777" max="11777" width="11.85546875" customWidth="1"/>
    <col min="11778" max="11778" width="18" customWidth="1"/>
    <col min="11779" max="11779" width="11.7109375" customWidth="1"/>
    <col min="11780" max="11780" width="13.42578125" customWidth="1"/>
    <col min="11781" max="11781" width="12.42578125" customWidth="1"/>
    <col min="11782" max="11782" width="10.140625" customWidth="1"/>
    <col min="11783" max="11784" width="12.42578125" customWidth="1"/>
    <col min="11785" max="11788" width="0" hidden="1" customWidth="1"/>
    <col min="11789" max="11789" width="12.42578125" customWidth="1"/>
    <col min="11790" max="11790" width="29" bestFit="1" customWidth="1"/>
    <col min="11791" max="11791" width="26.42578125" customWidth="1"/>
    <col min="11792" max="11792" width="22.7109375" customWidth="1"/>
    <col min="11793" max="11793" width="15.7109375" customWidth="1"/>
    <col min="11794" max="11794" width="17" customWidth="1"/>
    <col min="11795" max="11795" width="12.42578125" customWidth="1"/>
    <col min="11796" max="11796" width="25.85546875" bestFit="1" customWidth="1"/>
    <col min="11797" max="11799" width="18" customWidth="1"/>
    <col min="11800" max="11800" width="17.140625" customWidth="1"/>
    <col min="11801" max="11802" width="15.7109375" customWidth="1"/>
    <col min="11803" max="11803" width="15" customWidth="1"/>
    <col min="11804" max="11805" width="14.140625" bestFit="1" customWidth="1"/>
    <col min="11806" max="11806" width="11.7109375" bestFit="1" customWidth="1"/>
    <col min="11807" max="11807" width="11.85546875" bestFit="1" customWidth="1"/>
    <col min="11808" max="11808" width="12.5703125" customWidth="1"/>
    <col min="11809" max="11809" width="11.28515625" customWidth="1"/>
    <col min="11810" max="11810" width="11.5703125" customWidth="1"/>
    <col min="11811" max="11811" width="9.28515625" customWidth="1"/>
    <col min="11813" max="11813" width="11.7109375" bestFit="1" customWidth="1"/>
    <col min="11814" max="11814" width="10.7109375" bestFit="1" customWidth="1"/>
    <col min="12033" max="12033" width="11.85546875" customWidth="1"/>
    <col min="12034" max="12034" width="18" customWidth="1"/>
    <col min="12035" max="12035" width="11.7109375" customWidth="1"/>
    <col min="12036" max="12036" width="13.42578125" customWidth="1"/>
    <col min="12037" max="12037" width="12.42578125" customWidth="1"/>
    <col min="12038" max="12038" width="10.140625" customWidth="1"/>
    <col min="12039" max="12040" width="12.42578125" customWidth="1"/>
    <col min="12041" max="12044" width="0" hidden="1" customWidth="1"/>
    <col min="12045" max="12045" width="12.42578125" customWidth="1"/>
    <col min="12046" max="12046" width="29" bestFit="1" customWidth="1"/>
    <col min="12047" max="12047" width="26.42578125" customWidth="1"/>
    <col min="12048" max="12048" width="22.7109375" customWidth="1"/>
    <col min="12049" max="12049" width="15.7109375" customWidth="1"/>
    <col min="12050" max="12050" width="17" customWidth="1"/>
    <col min="12051" max="12051" width="12.42578125" customWidth="1"/>
    <col min="12052" max="12052" width="25.85546875" bestFit="1" customWidth="1"/>
    <col min="12053" max="12055" width="18" customWidth="1"/>
    <col min="12056" max="12056" width="17.140625" customWidth="1"/>
    <col min="12057" max="12058" width="15.7109375" customWidth="1"/>
    <col min="12059" max="12059" width="15" customWidth="1"/>
    <col min="12060" max="12061" width="14.140625" bestFit="1" customWidth="1"/>
    <col min="12062" max="12062" width="11.7109375" bestFit="1" customWidth="1"/>
    <col min="12063" max="12063" width="11.85546875" bestFit="1" customWidth="1"/>
    <col min="12064" max="12064" width="12.5703125" customWidth="1"/>
    <col min="12065" max="12065" width="11.28515625" customWidth="1"/>
    <col min="12066" max="12066" width="11.5703125" customWidth="1"/>
    <col min="12067" max="12067" width="9.28515625" customWidth="1"/>
    <col min="12069" max="12069" width="11.7109375" bestFit="1" customWidth="1"/>
    <col min="12070" max="12070" width="10.7109375" bestFit="1" customWidth="1"/>
    <col min="12289" max="12289" width="11.85546875" customWidth="1"/>
    <col min="12290" max="12290" width="18" customWidth="1"/>
    <col min="12291" max="12291" width="11.7109375" customWidth="1"/>
    <col min="12292" max="12292" width="13.42578125" customWidth="1"/>
    <col min="12293" max="12293" width="12.42578125" customWidth="1"/>
    <col min="12294" max="12294" width="10.140625" customWidth="1"/>
    <col min="12295" max="12296" width="12.42578125" customWidth="1"/>
    <col min="12297" max="12300" width="0" hidden="1" customWidth="1"/>
    <col min="12301" max="12301" width="12.42578125" customWidth="1"/>
    <col min="12302" max="12302" width="29" bestFit="1" customWidth="1"/>
    <col min="12303" max="12303" width="26.42578125" customWidth="1"/>
    <col min="12304" max="12304" width="22.7109375" customWidth="1"/>
    <col min="12305" max="12305" width="15.7109375" customWidth="1"/>
    <col min="12306" max="12306" width="17" customWidth="1"/>
    <col min="12307" max="12307" width="12.42578125" customWidth="1"/>
    <col min="12308" max="12308" width="25.85546875" bestFit="1" customWidth="1"/>
    <col min="12309" max="12311" width="18" customWidth="1"/>
    <col min="12312" max="12312" width="17.140625" customWidth="1"/>
    <col min="12313" max="12314" width="15.7109375" customWidth="1"/>
    <col min="12315" max="12315" width="15" customWidth="1"/>
    <col min="12316" max="12317" width="14.140625" bestFit="1" customWidth="1"/>
    <col min="12318" max="12318" width="11.7109375" bestFit="1" customWidth="1"/>
    <col min="12319" max="12319" width="11.85546875" bestFit="1" customWidth="1"/>
    <col min="12320" max="12320" width="12.5703125" customWidth="1"/>
    <col min="12321" max="12321" width="11.28515625" customWidth="1"/>
    <col min="12322" max="12322" width="11.5703125" customWidth="1"/>
    <col min="12323" max="12323" width="9.28515625" customWidth="1"/>
    <col min="12325" max="12325" width="11.7109375" bestFit="1" customWidth="1"/>
    <col min="12326" max="12326" width="10.7109375" bestFit="1" customWidth="1"/>
    <col min="12545" max="12545" width="11.85546875" customWidth="1"/>
    <col min="12546" max="12546" width="18" customWidth="1"/>
    <col min="12547" max="12547" width="11.7109375" customWidth="1"/>
    <col min="12548" max="12548" width="13.42578125" customWidth="1"/>
    <col min="12549" max="12549" width="12.42578125" customWidth="1"/>
    <col min="12550" max="12550" width="10.140625" customWidth="1"/>
    <col min="12551" max="12552" width="12.42578125" customWidth="1"/>
    <col min="12553" max="12556" width="0" hidden="1" customWidth="1"/>
    <col min="12557" max="12557" width="12.42578125" customWidth="1"/>
    <col min="12558" max="12558" width="29" bestFit="1" customWidth="1"/>
    <col min="12559" max="12559" width="26.42578125" customWidth="1"/>
    <col min="12560" max="12560" width="22.7109375" customWidth="1"/>
    <col min="12561" max="12561" width="15.7109375" customWidth="1"/>
    <col min="12562" max="12562" width="17" customWidth="1"/>
    <col min="12563" max="12563" width="12.42578125" customWidth="1"/>
    <col min="12564" max="12564" width="25.85546875" bestFit="1" customWidth="1"/>
    <col min="12565" max="12567" width="18" customWidth="1"/>
    <col min="12568" max="12568" width="17.140625" customWidth="1"/>
    <col min="12569" max="12570" width="15.7109375" customWidth="1"/>
    <col min="12571" max="12571" width="15" customWidth="1"/>
    <col min="12572" max="12573" width="14.140625" bestFit="1" customWidth="1"/>
    <col min="12574" max="12574" width="11.7109375" bestFit="1" customWidth="1"/>
    <col min="12575" max="12575" width="11.85546875" bestFit="1" customWidth="1"/>
    <col min="12576" max="12576" width="12.5703125" customWidth="1"/>
    <col min="12577" max="12577" width="11.28515625" customWidth="1"/>
    <col min="12578" max="12578" width="11.5703125" customWidth="1"/>
    <col min="12579" max="12579" width="9.28515625" customWidth="1"/>
    <col min="12581" max="12581" width="11.7109375" bestFit="1" customWidth="1"/>
    <col min="12582" max="12582" width="10.7109375" bestFit="1" customWidth="1"/>
    <col min="12801" max="12801" width="11.85546875" customWidth="1"/>
    <col min="12802" max="12802" width="18" customWidth="1"/>
    <col min="12803" max="12803" width="11.7109375" customWidth="1"/>
    <col min="12804" max="12804" width="13.42578125" customWidth="1"/>
    <col min="12805" max="12805" width="12.42578125" customWidth="1"/>
    <col min="12806" max="12806" width="10.140625" customWidth="1"/>
    <col min="12807" max="12808" width="12.42578125" customWidth="1"/>
    <col min="12809" max="12812" width="0" hidden="1" customWidth="1"/>
    <col min="12813" max="12813" width="12.42578125" customWidth="1"/>
    <col min="12814" max="12814" width="29" bestFit="1" customWidth="1"/>
    <col min="12815" max="12815" width="26.42578125" customWidth="1"/>
    <col min="12816" max="12816" width="22.7109375" customWidth="1"/>
    <col min="12817" max="12817" width="15.7109375" customWidth="1"/>
    <col min="12818" max="12818" width="17" customWidth="1"/>
    <col min="12819" max="12819" width="12.42578125" customWidth="1"/>
    <col min="12820" max="12820" width="25.85546875" bestFit="1" customWidth="1"/>
    <col min="12821" max="12823" width="18" customWidth="1"/>
    <col min="12824" max="12824" width="17.140625" customWidth="1"/>
    <col min="12825" max="12826" width="15.7109375" customWidth="1"/>
    <col min="12827" max="12827" width="15" customWidth="1"/>
    <col min="12828" max="12829" width="14.140625" bestFit="1" customWidth="1"/>
    <col min="12830" max="12830" width="11.7109375" bestFit="1" customWidth="1"/>
    <col min="12831" max="12831" width="11.85546875" bestFit="1" customWidth="1"/>
    <col min="12832" max="12832" width="12.5703125" customWidth="1"/>
    <col min="12833" max="12833" width="11.28515625" customWidth="1"/>
    <col min="12834" max="12834" width="11.5703125" customWidth="1"/>
    <col min="12835" max="12835" width="9.28515625" customWidth="1"/>
    <col min="12837" max="12837" width="11.7109375" bestFit="1" customWidth="1"/>
    <col min="12838" max="12838" width="10.7109375" bestFit="1" customWidth="1"/>
    <col min="13057" max="13057" width="11.85546875" customWidth="1"/>
    <col min="13058" max="13058" width="18" customWidth="1"/>
    <col min="13059" max="13059" width="11.7109375" customWidth="1"/>
    <col min="13060" max="13060" width="13.42578125" customWidth="1"/>
    <col min="13061" max="13061" width="12.42578125" customWidth="1"/>
    <col min="13062" max="13062" width="10.140625" customWidth="1"/>
    <col min="13063" max="13064" width="12.42578125" customWidth="1"/>
    <col min="13065" max="13068" width="0" hidden="1" customWidth="1"/>
    <col min="13069" max="13069" width="12.42578125" customWidth="1"/>
    <col min="13070" max="13070" width="29" bestFit="1" customWidth="1"/>
    <col min="13071" max="13071" width="26.42578125" customWidth="1"/>
    <col min="13072" max="13072" width="22.7109375" customWidth="1"/>
    <col min="13073" max="13073" width="15.7109375" customWidth="1"/>
    <col min="13074" max="13074" width="17" customWidth="1"/>
    <col min="13075" max="13075" width="12.42578125" customWidth="1"/>
    <col min="13076" max="13076" width="25.85546875" bestFit="1" customWidth="1"/>
    <col min="13077" max="13079" width="18" customWidth="1"/>
    <col min="13080" max="13080" width="17.140625" customWidth="1"/>
    <col min="13081" max="13082" width="15.7109375" customWidth="1"/>
    <col min="13083" max="13083" width="15" customWidth="1"/>
    <col min="13084" max="13085" width="14.140625" bestFit="1" customWidth="1"/>
    <col min="13086" max="13086" width="11.7109375" bestFit="1" customWidth="1"/>
    <col min="13087" max="13087" width="11.85546875" bestFit="1" customWidth="1"/>
    <col min="13088" max="13088" width="12.5703125" customWidth="1"/>
    <col min="13089" max="13089" width="11.28515625" customWidth="1"/>
    <col min="13090" max="13090" width="11.5703125" customWidth="1"/>
    <col min="13091" max="13091" width="9.28515625" customWidth="1"/>
    <col min="13093" max="13093" width="11.7109375" bestFit="1" customWidth="1"/>
    <col min="13094" max="13094" width="10.7109375" bestFit="1" customWidth="1"/>
    <col min="13313" max="13313" width="11.85546875" customWidth="1"/>
    <col min="13314" max="13314" width="18" customWidth="1"/>
    <col min="13315" max="13315" width="11.7109375" customWidth="1"/>
    <col min="13316" max="13316" width="13.42578125" customWidth="1"/>
    <col min="13317" max="13317" width="12.42578125" customWidth="1"/>
    <col min="13318" max="13318" width="10.140625" customWidth="1"/>
    <col min="13319" max="13320" width="12.42578125" customWidth="1"/>
    <col min="13321" max="13324" width="0" hidden="1" customWidth="1"/>
    <col min="13325" max="13325" width="12.42578125" customWidth="1"/>
    <col min="13326" max="13326" width="29" bestFit="1" customWidth="1"/>
    <col min="13327" max="13327" width="26.42578125" customWidth="1"/>
    <col min="13328" max="13328" width="22.7109375" customWidth="1"/>
    <col min="13329" max="13329" width="15.7109375" customWidth="1"/>
    <col min="13330" max="13330" width="17" customWidth="1"/>
    <col min="13331" max="13331" width="12.42578125" customWidth="1"/>
    <col min="13332" max="13332" width="25.85546875" bestFit="1" customWidth="1"/>
    <col min="13333" max="13335" width="18" customWidth="1"/>
    <col min="13336" max="13336" width="17.140625" customWidth="1"/>
    <col min="13337" max="13338" width="15.7109375" customWidth="1"/>
    <col min="13339" max="13339" width="15" customWidth="1"/>
    <col min="13340" max="13341" width="14.140625" bestFit="1" customWidth="1"/>
    <col min="13342" max="13342" width="11.7109375" bestFit="1" customWidth="1"/>
    <col min="13343" max="13343" width="11.85546875" bestFit="1" customWidth="1"/>
    <col min="13344" max="13344" width="12.5703125" customWidth="1"/>
    <col min="13345" max="13345" width="11.28515625" customWidth="1"/>
    <col min="13346" max="13346" width="11.5703125" customWidth="1"/>
    <col min="13347" max="13347" width="9.28515625" customWidth="1"/>
    <col min="13349" max="13349" width="11.7109375" bestFit="1" customWidth="1"/>
    <col min="13350" max="13350" width="10.7109375" bestFit="1" customWidth="1"/>
    <col min="13569" max="13569" width="11.85546875" customWidth="1"/>
    <col min="13570" max="13570" width="18" customWidth="1"/>
    <col min="13571" max="13571" width="11.7109375" customWidth="1"/>
    <col min="13572" max="13572" width="13.42578125" customWidth="1"/>
    <col min="13573" max="13573" width="12.42578125" customWidth="1"/>
    <col min="13574" max="13574" width="10.140625" customWidth="1"/>
    <col min="13575" max="13576" width="12.42578125" customWidth="1"/>
    <col min="13577" max="13580" width="0" hidden="1" customWidth="1"/>
    <col min="13581" max="13581" width="12.42578125" customWidth="1"/>
    <col min="13582" max="13582" width="29" bestFit="1" customWidth="1"/>
    <col min="13583" max="13583" width="26.42578125" customWidth="1"/>
    <col min="13584" max="13584" width="22.7109375" customWidth="1"/>
    <col min="13585" max="13585" width="15.7109375" customWidth="1"/>
    <col min="13586" max="13586" width="17" customWidth="1"/>
    <col min="13587" max="13587" width="12.42578125" customWidth="1"/>
    <col min="13588" max="13588" width="25.85546875" bestFit="1" customWidth="1"/>
    <col min="13589" max="13591" width="18" customWidth="1"/>
    <col min="13592" max="13592" width="17.140625" customWidth="1"/>
    <col min="13593" max="13594" width="15.7109375" customWidth="1"/>
    <col min="13595" max="13595" width="15" customWidth="1"/>
    <col min="13596" max="13597" width="14.140625" bestFit="1" customWidth="1"/>
    <col min="13598" max="13598" width="11.7109375" bestFit="1" customWidth="1"/>
    <col min="13599" max="13599" width="11.85546875" bestFit="1" customWidth="1"/>
    <col min="13600" max="13600" width="12.5703125" customWidth="1"/>
    <col min="13601" max="13601" width="11.28515625" customWidth="1"/>
    <col min="13602" max="13602" width="11.5703125" customWidth="1"/>
    <col min="13603" max="13603" width="9.28515625" customWidth="1"/>
    <col min="13605" max="13605" width="11.7109375" bestFit="1" customWidth="1"/>
    <col min="13606" max="13606" width="10.7109375" bestFit="1" customWidth="1"/>
    <col min="13825" max="13825" width="11.85546875" customWidth="1"/>
    <col min="13826" max="13826" width="18" customWidth="1"/>
    <col min="13827" max="13827" width="11.7109375" customWidth="1"/>
    <col min="13828" max="13828" width="13.42578125" customWidth="1"/>
    <col min="13829" max="13829" width="12.42578125" customWidth="1"/>
    <col min="13830" max="13830" width="10.140625" customWidth="1"/>
    <col min="13831" max="13832" width="12.42578125" customWidth="1"/>
    <col min="13833" max="13836" width="0" hidden="1" customWidth="1"/>
    <col min="13837" max="13837" width="12.42578125" customWidth="1"/>
    <col min="13838" max="13838" width="29" bestFit="1" customWidth="1"/>
    <col min="13839" max="13839" width="26.42578125" customWidth="1"/>
    <col min="13840" max="13840" width="22.7109375" customWidth="1"/>
    <col min="13841" max="13841" width="15.7109375" customWidth="1"/>
    <col min="13842" max="13842" width="17" customWidth="1"/>
    <col min="13843" max="13843" width="12.42578125" customWidth="1"/>
    <col min="13844" max="13844" width="25.85546875" bestFit="1" customWidth="1"/>
    <col min="13845" max="13847" width="18" customWidth="1"/>
    <col min="13848" max="13848" width="17.140625" customWidth="1"/>
    <col min="13849" max="13850" width="15.7109375" customWidth="1"/>
    <col min="13851" max="13851" width="15" customWidth="1"/>
    <col min="13852" max="13853" width="14.140625" bestFit="1" customWidth="1"/>
    <col min="13854" max="13854" width="11.7109375" bestFit="1" customWidth="1"/>
    <col min="13855" max="13855" width="11.85546875" bestFit="1" customWidth="1"/>
    <col min="13856" max="13856" width="12.5703125" customWidth="1"/>
    <col min="13857" max="13857" width="11.28515625" customWidth="1"/>
    <col min="13858" max="13858" width="11.5703125" customWidth="1"/>
    <col min="13859" max="13859" width="9.28515625" customWidth="1"/>
    <col min="13861" max="13861" width="11.7109375" bestFit="1" customWidth="1"/>
    <col min="13862" max="13862" width="10.7109375" bestFit="1" customWidth="1"/>
    <col min="14081" max="14081" width="11.85546875" customWidth="1"/>
    <col min="14082" max="14082" width="18" customWidth="1"/>
    <col min="14083" max="14083" width="11.7109375" customWidth="1"/>
    <col min="14084" max="14084" width="13.42578125" customWidth="1"/>
    <col min="14085" max="14085" width="12.42578125" customWidth="1"/>
    <col min="14086" max="14086" width="10.140625" customWidth="1"/>
    <col min="14087" max="14088" width="12.42578125" customWidth="1"/>
    <col min="14089" max="14092" width="0" hidden="1" customWidth="1"/>
    <col min="14093" max="14093" width="12.42578125" customWidth="1"/>
    <col min="14094" max="14094" width="29" bestFit="1" customWidth="1"/>
    <col min="14095" max="14095" width="26.42578125" customWidth="1"/>
    <col min="14096" max="14096" width="22.7109375" customWidth="1"/>
    <col min="14097" max="14097" width="15.7109375" customWidth="1"/>
    <col min="14098" max="14098" width="17" customWidth="1"/>
    <col min="14099" max="14099" width="12.42578125" customWidth="1"/>
    <col min="14100" max="14100" width="25.85546875" bestFit="1" customWidth="1"/>
    <col min="14101" max="14103" width="18" customWidth="1"/>
    <col min="14104" max="14104" width="17.140625" customWidth="1"/>
    <col min="14105" max="14106" width="15.7109375" customWidth="1"/>
    <col min="14107" max="14107" width="15" customWidth="1"/>
    <col min="14108" max="14109" width="14.140625" bestFit="1" customWidth="1"/>
    <col min="14110" max="14110" width="11.7109375" bestFit="1" customWidth="1"/>
    <col min="14111" max="14111" width="11.85546875" bestFit="1" customWidth="1"/>
    <col min="14112" max="14112" width="12.5703125" customWidth="1"/>
    <col min="14113" max="14113" width="11.28515625" customWidth="1"/>
    <col min="14114" max="14114" width="11.5703125" customWidth="1"/>
    <col min="14115" max="14115" width="9.28515625" customWidth="1"/>
    <col min="14117" max="14117" width="11.7109375" bestFit="1" customWidth="1"/>
    <col min="14118" max="14118" width="10.7109375" bestFit="1" customWidth="1"/>
    <col min="14337" max="14337" width="11.85546875" customWidth="1"/>
    <col min="14338" max="14338" width="18" customWidth="1"/>
    <col min="14339" max="14339" width="11.7109375" customWidth="1"/>
    <col min="14340" max="14340" width="13.42578125" customWidth="1"/>
    <col min="14341" max="14341" width="12.42578125" customWidth="1"/>
    <col min="14342" max="14342" width="10.140625" customWidth="1"/>
    <col min="14343" max="14344" width="12.42578125" customWidth="1"/>
    <col min="14345" max="14348" width="0" hidden="1" customWidth="1"/>
    <col min="14349" max="14349" width="12.42578125" customWidth="1"/>
    <col min="14350" max="14350" width="29" bestFit="1" customWidth="1"/>
    <col min="14351" max="14351" width="26.42578125" customWidth="1"/>
    <col min="14352" max="14352" width="22.7109375" customWidth="1"/>
    <col min="14353" max="14353" width="15.7109375" customWidth="1"/>
    <col min="14354" max="14354" width="17" customWidth="1"/>
    <col min="14355" max="14355" width="12.42578125" customWidth="1"/>
    <col min="14356" max="14356" width="25.85546875" bestFit="1" customWidth="1"/>
    <col min="14357" max="14359" width="18" customWidth="1"/>
    <col min="14360" max="14360" width="17.140625" customWidth="1"/>
    <col min="14361" max="14362" width="15.7109375" customWidth="1"/>
    <col min="14363" max="14363" width="15" customWidth="1"/>
    <col min="14364" max="14365" width="14.140625" bestFit="1" customWidth="1"/>
    <col min="14366" max="14366" width="11.7109375" bestFit="1" customWidth="1"/>
    <col min="14367" max="14367" width="11.85546875" bestFit="1" customWidth="1"/>
    <col min="14368" max="14368" width="12.5703125" customWidth="1"/>
    <col min="14369" max="14369" width="11.28515625" customWidth="1"/>
    <col min="14370" max="14370" width="11.5703125" customWidth="1"/>
    <col min="14371" max="14371" width="9.28515625" customWidth="1"/>
    <col min="14373" max="14373" width="11.7109375" bestFit="1" customWidth="1"/>
    <col min="14374" max="14374" width="10.7109375" bestFit="1" customWidth="1"/>
    <col min="14593" max="14593" width="11.85546875" customWidth="1"/>
    <col min="14594" max="14594" width="18" customWidth="1"/>
    <col min="14595" max="14595" width="11.7109375" customWidth="1"/>
    <col min="14596" max="14596" width="13.42578125" customWidth="1"/>
    <col min="14597" max="14597" width="12.42578125" customWidth="1"/>
    <col min="14598" max="14598" width="10.140625" customWidth="1"/>
    <col min="14599" max="14600" width="12.42578125" customWidth="1"/>
    <col min="14601" max="14604" width="0" hidden="1" customWidth="1"/>
    <col min="14605" max="14605" width="12.42578125" customWidth="1"/>
    <col min="14606" max="14606" width="29" bestFit="1" customWidth="1"/>
    <col min="14607" max="14607" width="26.42578125" customWidth="1"/>
    <col min="14608" max="14608" width="22.7109375" customWidth="1"/>
    <col min="14609" max="14609" width="15.7109375" customWidth="1"/>
    <col min="14610" max="14610" width="17" customWidth="1"/>
    <col min="14611" max="14611" width="12.42578125" customWidth="1"/>
    <col min="14612" max="14612" width="25.85546875" bestFit="1" customWidth="1"/>
    <col min="14613" max="14615" width="18" customWidth="1"/>
    <col min="14616" max="14616" width="17.140625" customWidth="1"/>
    <col min="14617" max="14618" width="15.7109375" customWidth="1"/>
    <col min="14619" max="14619" width="15" customWidth="1"/>
    <col min="14620" max="14621" width="14.140625" bestFit="1" customWidth="1"/>
    <col min="14622" max="14622" width="11.7109375" bestFit="1" customWidth="1"/>
    <col min="14623" max="14623" width="11.85546875" bestFit="1" customWidth="1"/>
    <col min="14624" max="14624" width="12.5703125" customWidth="1"/>
    <col min="14625" max="14625" width="11.28515625" customWidth="1"/>
    <col min="14626" max="14626" width="11.5703125" customWidth="1"/>
    <col min="14627" max="14627" width="9.28515625" customWidth="1"/>
    <col min="14629" max="14629" width="11.7109375" bestFit="1" customWidth="1"/>
    <col min="14630" max="14630" width="10.7109375" bestFit="1" customWidth="1"/>
    <col min="14849" max="14849" width="11.85546875" customWidth="1"/>
    <col min="14850" max="14850" width="18" customWidth="1"/>
    <col min="14851" max="14851" width="11.7109375" customWidth="1"/>
    <col min="14852" max="14852" width="13.42578125" customWidth="1"/>
    <col min="14853" max="14853" width="12.42578125" customWidth="1"/>
    <col min="14854" max="14854" width="10.140625" customWidth="1"/>
    <col min="14855" max="14856" width="12.42578125" customWidth="1"/>
    <col min="14857" max="14860" width="0" hidden="1" customWidth="1"/>
    <col min="14861" max="14861" width="12.42578125" customWidth="1"/>
    <col min="14862" max="14862" width="29" bestFit="1" customWidth="1"/>
    <col min="14863" max="14863" width="26.42578125" customWidth="1"/>
    <col min="14864" max="14864" width="22.7109375" customWidth="1"/>
    <col min="14865" max="14865" width="15.7109375" customWidth="1"/>
    <col min="14866" max="14866" width="17" customWidth="1"/>
    <col min="14867" max="14867" width="12.42578125" customWidth="1"/>
    <col min="14868" max="14868" width="25.85546875" bestFit="1" customWidth="1"/>
    <col min="14869" max="14871" width="18" customWidth="1"/>
    <col min="14872" max="14872" width="17.140625" customWidth="1"/>
    <col min="14873" max="14874" width="15.7109375" customWidth="1"/>
    <col min="14875" max="14875" width="15" customWidth="1"/>
    <col min="14876" max="14877" width="14.140625" bestFit="1" customWidth="1"/>
    <col min="14878" max="14878" width="11.7109375" bestFit="1" customWidth="1"/>
    <col min="14879" max="14879" width="11.85546875" bestFit="1" customWidth="1"/>
    <col min="14880" max="14880" width="12.5703125" customWidth="1"/>
    <col min="14881" max="14881" width="11.28515625" customWidth="1"/>
    <col min="14882" max="14882" width="11.5703125" customWidth="1"/>
    <col min="14883" max="14883" width="9.28515625" customWidth="1"/>
    <col min="14885" max="14885" width="11.7109375" bestFit="1" customWidth="1"/>
    <col min="14886" max="14886" width="10.7109375" bestFit="1" customWidth="1"/>
    <col min="15105" max="15105" width="11.85546875" customWidth="1"/>
    <col min="15106" max="15106" width="18" customWidth="1"/>
    <col min="15107" max="15107" width="11.7109375" customWidth="1"/>
    <col min="15108" max="15108" width="13.42578125" customWidth="1"/>
    <col min="15109" max="15109" width="12.42578125" customWidth="1"/>
    <col min="15110" max="15110" width="10.140625" customWidth="1"/>
    <col min="15111" max="15112" width="12.42578125" customWidth="1"/>
    <col min="15113" max="15116" width="0" hidden="1" customWidth="1"/>
    <col min="15117" max="15117" width="12.42578125" customWidth="1"/>
    <col min="15118" max="15118" width="29" bestFit="1" customWidth="1"/>
    <col min="15119" max="15119" width="26.42578125" customWidth="1"/>
    <col min="15120" max="15120" width="22.7109375" customWidth="1"/>
    <col min="15121" max="15121" width="15.7109375" customWidth="1"/>
    <col min="15122" max="15122" width="17" customWidth="1"/>
    <col min="15123" max="15123" width="12.42578125" customWidth="1"/>
    <col min="15124" max="15124" width="25.85546875" bestFit="1" customWidth="1"/>
    <col min="15125" max="15127" width="18" customWidth="1"/>
    <col min="15128" max="15128" width="17.140625" customWidth="1"/>
    <col min="15129" max="15130" width="15.7109375" customWidth="1"/>
    <col min="15131" max="15131" width="15" customWidth="1"/>
    <col min="15132" max="15133" width="14.140625" bestFit="1" customWidth="1"/>
    <col min="15134" max="15134" width="11.7109375" bestFit="1" customWidth="1"/>
    <col min="15135" max="15135" width="11.85546875" bestFit="1" customWidth="1"/>
    <col min="15136" max="15136" width="12.5703125" customWidth="1"/>
    <col min="15137" max="15137" width="11.28515625" customWidth="1"/>
    <col min="15138" max="15138" width="11.5703125" customWidth="1"/>
    <col min="15139" max="15139" width="9.28515625" customWidth="1"/>
    <col min="15141" max="15141" width="11.7109375" bestFit="1" customWidth="1"/>
    <col min="15142" max="15142" width="10.7109375" bestFit="1" customWidth="1"/>
    <col min="15361" max="15361" width="11.85546875" customWidth="1"/>
    <col min="15362" max="15362" width="18" customWidth="1"/>
    <col min="15363" max="15363" width="11.7109375" customWidth="1"/>
    <col min="15364" max="15364" width="13.42578125" customWidth="1"/>
    <col min="15365" max="15365" width="12.42578125" customWidth="1"/>
    <col min="15366" max="15366" width="10.140625" customWidth="1"/>
    <col min="15367" max="15368" width="12.42578125" customWidth="1"/>
    <col min="15369" max="15372" width="0" hidden="1" customWidth="1"/>
    <col min="15373" max="15373" width="12.42578125" customWidth="1"/>
    <col min="15374" max="15374" width="29" bestFit="1" customWidth="1"/>
    <col min="15375" max="15375" width="26.42578125" customWidth="1"/>
    <col min="15376" max="15376" width="22.7109375" customWidth="1"/>
    <col min="15377" max="15377" width="15.7109375" customWidth="1"/>
    <col min="15378" max="15378" width="17" customWidth="1"/>
    <col min="15379" max="15379" width="12.42578125" customWidth="1"/>
    <col min="15380" max="15380" width="25.85546875" bestFit="1" customWidth="1"/>
    <col min="15381" max="15383" width="18" customWidth="1"/>
    <col min="15384" max="15384" width="17.140625" customWidth="1"/>
    <col min="15385" max="15386" width="15.7109375" customWidth="1"/>
    <col min="15387" max="15387" width="15" customWidth="1"/>
    <col min="15388" max="15389" width="14.140625" bestFit="1" customWidth="1"/>
    <col min="15390" max="15390" width="11.7109375" bestFit="1" customWidth="1"/>
    <col min="15391" max="15391" width="11.85546875" bestFit="1" customWidth="1"/>
    <col min="15392" max="15392" width="12.5703125" customWidth="1"/>
    <col min="15393" max="15393" width="11.28515625" customWidth="1"/>
    <col min="15394" max="15394" width="11.5703125" customWidth="1"/>
    <col min="15395" max="15395" width="9.28515625" customWidth="1"/>
    <col min="15397" max="15397" width="11.7109375" bestFit="1" customWidth="1"/>
    <col min="15398" max="15398" width="10.7109375" bestFit="1" customWidth="1"/>
    <col min="15617" max="15617" width="11.85546875" customWidth="1"/>
    <col min="15618" max="15618" width="18" customWidth="1"/>
    <col min="15619" max="15619" width="11.7109375" customWidth="1"/>
    <col min="15620" max="15620" width="13.42578125" customWidth="1"/>
    <col min="15621" max="15621" width="12.42578125" customWidth="1"/>
    <col min="15622" max="15622" width="10.140625" customWidth="1"/>
    <col min="15623" max="15624" width="12.42578125" customWidth="1"/>
    <col min="15625" max="15628" width="0" hidden="1" customWidth="1"/>
    <col min="15629" max="15629" width="12.42578125" customWidth="1"/>
    <col min="15630" max="15630" width="29" bestFit="1" customWidth="1"/>
    <col min="15631" max="15631" width="26.42578125" customWidth="1"/>
    <col min="15632" max="15632" width="22.7109375" customWidth="1"/>
    <col min="15633" max="15633" width="15.7109375" customWidth="1"/>
    <col min="15634" max="15634" width="17" customWidth="1"/>
    <col min="15635" max="15635" width="12.42578125" customWidth="1"/>
    <col min="15636" max="15636" width="25.85546875" bestFit="1" customWidth="1"/>
    <col min="15637" max="15639" width="18" customWidth="1"/>
    <col min="15640" max="15640" width="17.140625" customWidth="1"/>
    <col min="15641" max="15642" width="15.7109375" customWidth="1"/>
    <col min="15643" max="15643" width="15" customWidth="1"/>
    <col min="15644" max="15645" width="14.140625" bestFit="1" customWidth="1"/>
    <col min="15646" max="15646" width="11.7109375" bestFit="1" customWidth="1"/>
    <col min="15647" max="15647" width="11.85546875" bestFit="1" customWidth="1"/>
    <col min="15648" max="15648" width="12.5703125" customWidth="1"/>
    <col min="15649" max="15649" width="11.28515625" customWidth="1"/>
    <col min="15650" max="15650" width="11.5703125" customWidth="1"/>
    <col min="15651" max="15651" width="9.28515625" customWidth="1"/>
    <col min="15653" max="15653" width="11.7109375" bestFit="1" customWidth="1"/>
    <col min="15654" max="15654" width="10.7109375" bestFit="1" customWidth="1"/>
    <col min="15873" max="15873" width="11.85546875" customWidth="1"/>
    <col min="15874" max="15874" width="18" customWidth="1"/>
    <col min="15875" max="15875" width="11.7109375" customWidth="1"/>
    <col min="15876" max="15876" width="13.42578125" customWidth="1"/>
    <col min="15877" max="15877" width="12.42578125" customWidth="1"/>
    <col min="15878" max="15878" width="10.140625" customWidth="1"/>
    <col min="15879" max="15880" width="12.42578125" customWidth="1"/>
    <col min="15881" max="15884" width="0" hidden="1" customWidth="1"/>
    <col min="15885" max="15885" width="12.42578125" customWidth="1"/>
    <col min="15886" max="15886" width="29" bestFit="1" customWidth="1"/>
    <col min="15887" max="15887" width="26.42578125" customWidth="1"/>
    <col min="15888" max="15888" width="22.7109375" customWidth="1"/>
    <col min="15889" max="15889" width="15.7109375" customWidth="1"/>
    <col min="15890" max="15890" width="17" customWidth="1"/>
    <col min="15891" max="15891" width="12.42578125" customWidth="1"/>
    <col min="15892" max="15892" width="25.85546875" bestFit="1" customWidth="1"/>
    <col min="15893" max="15895" width="18" customWidth="1"/>
    <col min="15896" max="15896" width="17.140625" customWidth="1"/>
    <col min="15897" max="15898" width="15.7109375" customWidth="1"/>
    <col min="15899" max="15899" width="15" customWidth="1"/>
    <col min="15900" max="15901" width="14.140625" bestFit="1" customWidth="1"/>
    <col min="15902" max="15902" width="11.7109375" bestFit="1" customWidth="1"/>
    <col min="15903" max="15903" width="11.85546875" bestFit="1" customWidth="1"/>
    <col min="15904" max="15904" width="12.5703125" customWidth="1"/>
    <col min="15905" max="15905" width="11.28515625" customWidth="1"/>
    <col min="15906" max="15906" width="11.5703125" customWidth="1"/>
    <col min="15907" max="15907" width="9.28515625" customWidth="1"/>
    <col min="15909" max="15909" width="11.7109375" bestFit="1" customWidth="1"/>
    <col min="15910" max="15910" width="10.7109375" bestFit="1" customWidth="1"/>
    <col min="16129" max="16129" width="11.85546875" customWidth="1"/>
    <col min="16130" max="16130" width="18" customWidth="1"/>
    <col min="16131" max="16131" width="11.7109375" customWidth="1"/>
    <col min="16132" max="16132" width="13.42578125" customWidth="1"/>
    <col min="16133" max="16133" width="12.42578125" customWidth="1"/>
    <col min="16134" max="16134" width="10.140625" customWidth="1"/>
    <col min="16135" max="16136" width="12.42578125" customWidth="1"/>
    <col min="16137" max="16140" width="0" hidden="1" customWidth="1"/>
    <col min="16141" max="16141" width="12.42578125" customWidth="1"/>
    <col min="16142" max="16142" width="29" bestFit="1" customWidth="1"/>
    <col min="16143" max="16143" width="26.42578125" customWidth="1"/>
    <col min="16144" max="16144" width="22.7109375" customWidth="1"/>
    <col min="16145" max="16145" width="15.7109375" customWidth="1"/>
    <col min="16146" max="16146" width="17" customWidth="1"/>
    <col min="16147" max="16147" width="12.42578125" customWidth="1"/>
    <col min="16148" max="16148" width="25.85546875" bestFit="1" customWidth="1"/>
    <col min="16149" max="16151" width="18" customWidth="1"/>
    <col min="16152" max="16152" width="17.140625" customWidth="1"/>
    <col min="16153" max="16154" width="15.7109375" customWidth="1"/>
    <col min="16155" max="16155" width="15" customWidth="1"/>
    <col min="16156" max="16157" width="14.140625" bestFit="1" customWidth="1"/>
    <col min="16158" max="16158" width="11.7109375" bestFit="1" customWidth="1"/>
    <col min="16159" max="16159" width="11.85546875" bestFit="1" customWidth="1"/>
    <col min="16160" max="16160" width="12.5703125" customWidth="1"/>
    <col min="16161" max="16161" width="11.28515625" customWidth="1"/>
    <col min="16162" max="16162" width="11.5703125" customWidth="1"/>
    <col min="16163" max="16163" width="9.28515625" customWidth="1"/>
    <col min="16165" max="16165" width="11.7109375" bestFit="1" customWidth="1"/>
    <col min="16166" max="16166" width="10.7109375" bestFit="1" customWidth="1"/>
  </cols>
  <sheetData>
    <row r="1" spans="1:20" x14ac:dyDescent="0.2">
      <c r="G1" s="90"/>
      <c r="H1" s="90"/>
      <c r="I1" s="832" t="s">
        <v>209</v>
      </c>
      <c r="J1" s="832"/>
      <c r="K1" s="832"/>
      <c r="L1" s="832"/>
    </row>
    <row r="2" spans="1:20" ht="42" customHeight="1" x14ac:dyDescent="0.2">
      <c r="B2" s="91" t="s">
        <v>210</v>
      </c>
      <c r="C2" s="62" t="s">
        <v>2</v>
      </c>
      <c r="D2" s="62" t="s">
        <v>3</v>
      </c>
      <c r="E2" s="62" t="s">
        <v>18</v>
      </c>
      <c r="F2" s="62" t="s">
        <v>4</v>
      </c>
      <c r="G2" s="62" t="s">
        <v>211</v>
      </c>
      <c r="H2" s="62" t="s">
        <v>73</v>
      </c>
      <c r="I2" s="62" t="s">
        <v>212</v>
      </c>
      <c r="J2" s="62" t="s">
        <v>65</v>
      </c>
      <c r="K2" s="11" t="s">
        <v>77</v>
      </c>
      <c r="L2" s="92" t="s">
        <v>5</v>
      </c>
      <c r="M2" s="93" t="s">
        <v>213</v>
      </c>
      <c r="O2" t="s">
        <v>19</v>
      </c>
      <c r="P2"/>
      <c r="Q2"/>
      <c r="R2"/>
      <c r="S2"/>
    </row>
    <row r="3" spans="1:20" ht="13.5" thickBot="1" x14ac:dyDescent="0.25">
      <c r="A3" s="3">
        <v>37408</v>
      </c>
      <c r="E3" s="94"/>
      <c r="F3" s="94"/>
      <c r="G3" s="95">
        <v>581.79999999999995</v>
      </c>
      <c r="H3" s="94"/>
      <c r="I3" s="94">
        <f>A3</f>
        <v>37408</v>
      </c>
      <c r="J3" s="94">
        <f>+'[29]Data Input'!$J10</f>
        <v>4986</v>
      </c>
      <c r="K3" s="96">
        <f>'[30]Purchased Power Model '!F5</f>
        <v>319.68</v>
      </c>
      <c r="L3" s="28">
        <f>'[30]Purchased Power Model '!I5</f>
        <v>123.31120824213403</v>
      </c>
      <c r="M3" s="94">
        <f>$P$18+$P$19*C3+$P$20*D3+$P$21*E3+$P$22*F3+$P$23*G3+$P$24*H3</f>
        <v>-548477.50730539672</v>
      </c>
      <c r="O3"/>
      <c r="P3"/>
      <c r="Q3"/>
      <c r="R3"/>
      <c r="S3"/>
    </row>
    <row r="4" spans="1:20" x14ac:dyDescent="0.2">
      <c r="A4" s="3">
        <v>37438</v>
      </c>
      <c r="E4" s="94"/>
      <c r="F4" s="94"/>
      <c r="G4" s="95">
        <v>584.70000000000005</v>
      </c>
      <c r="H4" s="94"/>
      <c r="I4" s="94">
        <f t="shared" ref="I4:I67" si="0">A4</f>
        <v>37438</v>
      </c>
      <c r="J4" s="94">
        <f>+'[29]Data Input'!$J11</f>
        <v>4986</v>
      </c>
      <c r="K4" s="96">
        <f>'[30]Purchased Power Model '!F6</f>
        <v>351.91199999999998</v>
      </c>
      <c r="L4" s="28">
        <f>'[30]Purchased Power Model '!I6</f>
        <v>123.67575966778612</v>
      </c>
      <c r="M4" s="94">
        <f t="shared" ref="M4:M67" si="1">$P$18+$P$19*C4+$P$20*D4+$P$21*E4+$P$22*F4+$P$23*G4+$P$24*H4</f>
        <v>-534973.87524085259</v>
      </c>
      <c r="O4" s="97" t="s">
        <v>20</v>
      </c>
      <c r="P4" s="98"/>
      <c r="Q4"/>
      <c r="R4"/>
      <c r="S4"/>
    </row>
    <row r="5" spans="1:20" x14ac:dyDescent="0.2">
      <c r="A5" s="3">
        <v>37469</v>
      </c>
      <c r="E5" s="94"/>
      <c r="F5" s="94"/>
      <c r="G5" s="95">
        <v>586.6</v>
      </c>
      <c r="H5" s="94"/>
      <c r="I5" s="94">
        <f t="shared" si="0"/>
        <v>37469</v>
      </c>
      <c r="J5" s="94">
        <f>+'[29]Data Input'!$J12</f>
        <v>4986</v>
      </c>
      <c r="K5" s="96">
        <f>'[30]Purchased Power Model '!F7</f>
        <v>336.28800000000001</v>
      </c>
      <c r="L5" s="28">
        <f>'[30]Purchased Power Model '!I7</f>
        <v>124.04138883603632</v>
      </c>
      <c r="M5" s="94">
        <f t="shared" si="1"/>
        <v>-526126.6680261516</v>
      </c>
      <c r="O5" s="29" t="s">
        <v>21</v>
      </c>
      <c r="P5" s="45">
        <v>0.90650367151813438</v>
      </c>
      <c r="Q5"/>
      <c r="R5"/>
      <c r="S5"/>
    </row>
    <row r="6" spans="1:20" x14ac:dyDescent="0.2">
      <c r="A6" s="3">
        <v>37500</v>
      </c>
      <c r="E6" s="94"/>
      <c r="F6" s="94"/>
      <c r="G6" s="95">
        <v>583.20000000000005</v>
      </c>
      <c r="H6" s="94"/>
      <c r="I6" s="94">
        <f t="shared" si="0"/>
        <v>37500</v>
      </c>
      <c r="J6" s="94">
        <f>+'[29]Data Input'!$J13</f>
        <v>4986</v>
      </c>
      <c r="K6" s="96">
        <f>'[30]Purchased Power Model '!F8</f>
        <v>319.68</v>
      </c>
      <c r="L6" s="28">
        <f>'[30]Purchased Power Model '!I8</f>
        <v>124.40809893307186</v>
      </c>
      <c r="M6" s="94">
        <f t="shared" si="1"/>
        <v>-541958.5125156166</v>
      </c>
      <c r="O6" s="29" t="s">
        <v>22</v>
      </c>
      <c r="P6" s="45">
        <v>0.82174890647585763</v>
      </c>
      <c r="Q6"/>
      <c r="R6"/>
      <c r="S6"/>
    </row>
    <row r="7" spans="1:20" x14ac:dyDescent="0.2">
      <c r="A7" s="3">
        <v>37530</v>
      </c>
      <c r="E7" s="94"/>
      <c r="F7" s="94"/>
      <c r="G7" s="95">
        <v>582.9</v>
      </c>
      <c r="H7" s="94"/>
      <c r="I7" s="94">
        <f t="shared" si="0"/>
        <v>37530</v>
      </c>
      <c r="J7" s="94">
        <f>+'[29]Data Input'!$J14</f>
        <v>4986</v>
      </c>
      <c r="K7" s="96">
        <f>'[30]Purchased Power Model '!F9</f>
        <v>351.91199999999998</v>
      </c>
      <c r="L7" s="28">
        <f>'[30]Purchased Power Model '!I9</f>
        <v>124.7758931544995</v>
      </c>
      <c r="M7" s="94">
        <f t="shared" si="1"/>
        <v>-543355.43997056969</v>
      </c>
      <c r="O7" s="29" t="s">
        <v>23</v>
      </c>
      <c r="P7" s="45">
        <v>0.81184606794673853</v>
      </c>
      <c r="Q7"/>
      <c r="R7"/>
      <c r="S7"/>
    </row>
    <row r="8" spans="1:20" x14ac:dyDescent="0.2">
      <c r="A8" s="3">
        <v>37561</v>
      </c>
      <c r="E8" s="94"/>
      <c r="F8" s="94"/>
      <c r="G8" s="95">
        <v>583.5</v>
      </c>
      <c r="H8" s="94"/>
      <c r="I8" s="94">
        <f t="shared" si="0"/>
        <v>37561</v>
      </c>
      <c r="J8" s="94">
        <f>+'[29]Data Input'!$J15</f>
        <v>4986</v>
      </c>
      <c r="K8" s="96">
        <f>'[30]Purchased Power Model '!F10</f>
        <v>336.24</v>
      </c>
      <c r="L8" s="28">
        <f>'[30]Purchased Power Model '!I10</f>
        <v>125.14477470537335</v>
      </c>
      <c r="M8" s="94">
        <f t="shared" si="1"/>
        <v>-540561.58506066399</v>
      </c>
      <c r="O8" s="29" t="s">
        <v>24</v>
      </c>
      <c r="P8" s="29">
        <v>206179.59371385956</v>
      </c>
      <c r="Q8"/>
      <c r="R8"/>
      <c r="S8"/>
    </row>
    <row r="9" spans="1:20" ht="13.5" thickBot="1" x14ac:dyDescent="0.25">
      <c r="A9" s="3">
        <v>37591</v>
      </c>
      <c r="E9" s="94"/>
      <c r="F9" s="94"/>
      <c r="G9" s="95">
        <v>591.79999999999995</v>
      </c>
      <c r="H9" s="94"/>
      <c r="I9" s="94">
        <f t="shared" si="0"/>
        <v>37591</v>
      </c>
      <c r="J9" s="94">
        <f>+'[29]Data Input'!$J16</f>
        <v>4986</v>
      </c>
      <c r="K9" s="96">
        <f>'[30]Purchased Power Model '!F11</f>
        <v>319.92</v>
      </c>
      <c r="L9" s="28">
        <f>'[30]Purchased Power Model '!I11</f>
        <v>125.51474680022261</v>
      </c>
      <c r="M9" s="94">
        <f t="shared" si="1"/>
        <v>-501913.25880696997</v>
      </c>
      <c r="O9" s="41" t="s">
        <v>25</v>
      </c>
      <c r="P9" s="41">
        <v>115</v>
      </c>
      <c r="Q9"/>
      <c r="R9"/>
      <c r="S9"/>
    </row>
    <row r="10" spans="1:20" x14ac:dyDescent="0.2">
      <c r="A10" s="3">
        <v>37622</v>
      </c>
      <c r="E10" s="94"/>
      <c r="F10" s="94"/>
      <c r="G10" s="95">
        <v>591.29999999999995</v>
      </c>
      <c r="H10" s="94"/>
      <c r="I10" s="94">
        <f t="shared" si="0"/>
        <v>37622</v>
      </c>
      <c r="J10" s="94">
        <f>+'[29]Data Input'!$J17</f>
        <v>5010</v>
      </c>
      <c r="K10" s="96">
        <v>351.91199999999998</v>
      </c>
      <c r="L10" s="28">
        <f>'[30]Purchased Power Model '!I12</f>
        <v>125.66024937363977</v>
      </c>
      <c r="M10" s="94">
        <f t="shared" si="1"/>
        <v>-504241.47123189131</v>
      </c>
      <c r="O10"/>
      <c r="P10"/>
      <c r="Q10"/>
      <c r="R10"/>
      <c r="S10"/>
    </row>
    <row r="11" spans="1:20" ht="13.5" thickBot="1" x14ac:dyDescent="0.25">
      <c r="A11" s="3">
        <v>37653</v>
      </c>
      <c r="E11" s="94"/>
      <c r="F11" s="94"/>
      <c r="G11" s="95">
        <v>588.4</v>
      </c>
      <c r="H11" s="94"/>
      <c r="I11" s="94">
        <f t="shared" si="0"/>
        <v>37653</v>
      </c>
      <c r="J11" s="94">
        <f>+'[29]Data Input'!$J18</f>
        <v>5034</v>
      </c>
      <c r="K11" s="96">
        <v>319.87200000000001</v>
      </c>
      <c r="L11" s="28">
        <v>125.80592062045517</v>
      </c>
      <c r="M11" s="94">
        <f t="shared" si="1"/>
        <v>-517745.10329643497</v>
      </c>
      <c r="O11" t="s">
        <v>26</v>
      </c>
      <c r="P11"/>
      <c r="Q11"/>
      <c r="R11"/>
      <c r="S11"/>
    </row>
    <row r="12" spans="1:20" x14ac:dyDescent="0.2">
      <c r="A12" s="3">
        <v>37681</v>
      </c>
      <c r="E12" s="94"/>
      <c r="F12" s="94"/>
      <c r="G12" s="95">
        <v>584.5</v>
      </c>
      <c r="H12" s="94"/>
      <c r="I12" s="94">
        <f t="shared" si="0"/>
        <v>37681</v>
      </c>
      <c r="J12" s="94">
        <f>+'[29]Data Input'!$J19</f>
        <v>5047</v>
      </c>
      <c r="K12" s="96">
        <v>336.28800000000001</v>
      </c>
      <c r="L12" s="28">
        <v>125.9517607362029</v>
      </c>
      <c r="M12" s="94">
        <f t="shared" si="1"/>
        <v>-535905.16021082131</v>
      </c>
      <c r="O12" s="99"/>
      <c r="P12" s="99" t="s">
        <v>30</v>
      </c>
      <c r="Q12" s="99" t="s">
        <v>31</v>
      </c>
      <c r="R12" s="99" t="s">
        <v>32</v>
      </c>
      <c r="S12" s="99" t="s">
        <v>33</v>
      </c>
      <c r="T12" s="99" t="s">
        <v>34</v>
      </c>
    </row>
    <row r="13" spans="1:20" x14ac:dyDescent="0.2">
      <c r="A13" s="3">
        <v>37712</v>
      </c>
      <c r="E13" s="94"/>
      <c r="F13" s="94"/>
      <c r="G13" s="95">
        <v>587.79999999999995</v>
      </c>
      <c r="H13" s="94"/>
      <c r="I13" s="94">
        <f t="shared" si="0"/>
        <v>37712</v>
      </c>
      <c r="J13" s="94">
        <f>+'[29]Data Input'!$J20</f>
        <v>5059</v>
      </c>
      <c r="K13" s="96">
        <v>336.24</v>
      </c>
      <c r="L13" s="28">
        <v>126.09776991664374</v>
      </c>
      <c r="M13" s="94">
        <f t="shared" si="1"/>
        <v>-520538.95820634067</v>
      </c>
      <c r="O13" s="29" t="s">
        <v>27</v>
      </c>
      <c r="P13" s="29">
        <v>6</v>
      </c>
      <c r="Q13" s="29">
        <v>21165183907752.48</v>
      </c>
      <c r="R13" s="29">
        <v>3527530651292.0801</v>
      </c>
      <c r="S13" s="29">
        <v>82.981147684022858</v>
      </c>
      <c r="T13" s="29">
        <v>3.7684549798394971E-38</v>
      </c>
    </row>
    <row r="14" spans="1:20" x14ac:dyDescent="0.2">
      <c r="A14" s="3">
        <v>37742</v>
      </c>
      <c r="E14" s="94"/>
      <c r="F14" s="94"/>
      <c r="G14" s="95">
        <v>596.4</v>
      </c>
      <c r="H14" s="94"/>
      <c r="I14" s="94">
        <f t="shared" si="0"/>
        <v>37742</v>
      </c>
      <c r="J14" s="94">
        <f>+'[29]Data Input'!$J21</f>
        <v>5071</v>
      </c>
      <c r="K14" s="96">
        <v>336.28800000000001</v>
      </c>
      <c r="L14" s="28">
        <v>126.2439483577654</v>
      </c>
      <c r="M14" s="94">
        <f t="shared" si="1"/>
        <v>-480493.70449769357</v>
      </c>
      <c r="O14" s="29" t="s">
        <v>28</v>
      </c>
      <c r="P14" s="29">
        <v>108</v>
      </c>
      <c r="Q14" s="29">
        <v>4591082685313.3174</v>
      </c>
      <c r="R14" s="29">
        <v>42510024864.012199</v>
      </c>
      <c r="S14" s="29"/>
      <c r="T14" s="29"/>
    </row>
    <row r="15" spans="1:20" ht="13.5" thickBot="1" x14ac:dyDescent="0.25">
      <c r="A15" s="3">
        <v>37773</v>
      </c>
      <c r="E15" s="94"/>
      <c r="F15" s="94"/>
      <c r="G15" s="95">
        <v>601.70000000000005</v>
      </c>
      <c r="H15" s="94"/>
      <c r="I15" s="94">
        <f t="shared" si="0"/>
        <v>37773</v>
      </c>
      <c r="J15" s="94">
        <f>+'[29]Data Input'!$J22</f>
        <v>5082</v>
      </c>
      <c r="K15" s="96">
        <v>336.24</v>
      </c>
      <c r="L15" s="28">
        <v>126.3902962557828</v>
      </c>
      <c r="M15" s="94">
        <f t="shared" si="1"/>
        <v>-455814.65279352712</v>
      </c>
      <c r="O15" s="41" t="s">
        <v>9</v>
      </c>
      <c r="P15" s="41">
        <v>114</v>
      </c>
      <c r="Q15" s="41">
        <v>25756266593065.797</v>
      </c>
      <c r="R15" s="41"/>
      <c r="S15" s="41"/>
      <c r="T15" s="41"/>
    </row>
    <row r="16" spans="1:20" ht="13.5" thickBot="1" x14ac:dyDescent="0.25">
      <c r="A16" s="3">
        <v>37803</v>
      </c>
      <c r="E16" s="94"/>
      <c r="F16" s="94"/>
      <c r="G16" s="95">
        <v>605.70000000000005</v>
      </c>
      <c r="H16" s="94"/>
      <c r="I16" s="94">
        <f t="shared" si="0"/>
        <v>37803</v>
      </c>
      <c r="J16" s="94">
        <f>+'[29]Data Input'!$J23</f>
        <v>5094</v>
      </c>
      <c r="K16" s="96">
        <v>351.91199999999998</v>
      </c>
      <c r="L16" s="28">
        <v>126.5368138071383</v>
      </c>
      <c r="M16" s="94">
        <f t="shared" si="1"/>
        <v>-437188.95339415642</v>
      </c>
      <c r="O16"/>
      <c r="P16"/>
      <c r="Q16"/>
      <c r="R16"/>
      <c r="S16"/>
    </row>
    <row r="17" spans="1:24" x14ac:dyDescent="0.2">
      <c r="A17" s="3">
        <v>37834</v>
      </c>
      <c r="E17" s="94"/>
      <c r="F17" s="94"/>
      <c r="G17" s="95">
        <v>607.6</v>
      </c>
      <c r="H17" s="94"/>
      <c r="I17" s="94">
        <f t="shared" si="0"/>
        <v>37834</v>
      </c>
      <c r="J17" s="94">
        <f>+'[29]Data Input'!$J24</f>
        <v>5106</v>
      </c>
      <c r="K17" s="96">
        <v>319.92</v>
      </c>
      <c r="L17" s="28">
        <v>126.68350120850199</v>
      </c>
      <c r="M17" s="94">
        <f t="shared" si="1"/>
        <v>-428341.74617945543</v>
      </c>
      <c r="O17" s="99"/>
      <c r="P17" s="99" t="s">
        <v>35</v>
      </c>
      <c r="Q17" s="99" t="s">
        <v>24</v>
      </c>
      <c r="R17" s="99" t="s">
        <v>36</v>
      </c>
      <c r="S17" s="99" t="s">
        <v>37</v>
      </c>
      <c r="T17" s="99" t="s">
        <v>38</v>
      </c>
      <c r="U17" s="99" t="s">
        <v>39</v>
      </c>
      <c r="V17" s="99" t="s">
        <v>214</v>
      </c>
      <c r="W17" s="99" t="s">
        <v>215</v>
      </c>
      <c r="X17" s="42" t="s">
        <v>215</v>
      </c>
    </row>
    <row r="18" spans="1:24" x14ac:dyDescent="0.2">
      <c r="A18" s="3">
        <v>37865</v>
      </c>
      <c r="E18" s="94"/>
      <c r="F18" s="94"/>
      <c r="G18" s="95">
        <v>607.6</v>
      </c>
      <c r="H18" s="94"/>
      <c r="I18" s="94">
        <f t="shared" si="0"/>
        <v>37865</v>
      </c>
      <c r="J18" s="94">
        <f>+'[29]Data Input'!$J25</f>
        <v>5118</v>
      </c>
      <c r="K18" s="96">
        <v>336.24</v>
      </c>
      <c r="L18" s="28">
        <v>126.83035865677196</v>
      </c>
      <c r="M18" s="94">
        <f t="shared" si="1"/>
        <v>-428341.74617945543</v>
      </c>
      <c r="O18" s="29" t="s">
        <v>29</v>
      </c>
      <c r="P18" s="64">
        <v>-3257585.4849438579</v>
      </c>
      <c r="Q18" s="29">
        <v>933061.1209445619</v>
      </c>
      <c r="R18" s="64">
        <v>-3.4912884181114734</v>
      </c>
      <c r="S18" s="29">
        <v>6.974161077814041E-4</v>
      </c>
      <c r="T18" s="29">
        <v>-5107074.4420627523</v>
      </c>
      <c r="U18" s="29">
        <v>-1408096.5278249637</v>
      </c>
      <c r="V18" s="29">
        <v>-5107074.4420627523</v>
      </c>
      <c r="W18" s="29">
        <v>-1408096.5278249637</v>
      </c>
      <c r="X18" s="29">
        <v>-1645790.1548949976</v>
      </c>
    </row>
    <row r="19" spans="1:24" x14ac:dyDescent="0.2">
      <c r="A19" s="3">
        <v>37895</v>
      </c>
      <c r="E19" s="94"/>
      <c r="F19" s="94"/>
      <c r="G19" s="95">
        <v>609.5</v>
      </c>
      <c r="H19" s="94"/>
      <c r="I19" s="94">
        <f t="shared" si="0"/>
        <v>37895</v>
      </c>
      <c r="J19" s="94">
        <f>+'[29]Data Input'!$J26</f>
        <v>5126</v>
      </c>
      <c r="K19" s="96">
        <v>351.91199999999998</v>
      </c>
      <c r="L19" s="28">
        <v>126.97738634907456</v>
      </c>
      <c r="M19" s="94">
        <f t="shared" si="1"/>
        <v>-419494.53896475444</v>
      </c>
      <c r="O19" s="29" t="s">
        <v>2</v>
      </c>
      <c r="P19" s="64">
        <v>1832.8913619281686</v>
      </c>
      <c r="Q19" s="29">
        <v>125.20936693378165</v>
      </c>
      <c r="R19" s="64">
        <v>14.638612164675454</v>
      </c>
      <c r="S19" s="29">
        <v>2.1404588887861123E-27</v>
      </c>
      <c r="T19" s="29">
        <v>1584.7046823273199</v>
      </c>
      <c r="U19" s="29">
        <v>2081.0780415290174</v>
      </c>
      <c r="V19" s="29">
        <v>1584.7046823273199</v>
      </c>
      <c r="W19" s="29">
        <v>2081.0780415290174</v>
      </c>
      <c r="X19" s="29">
        <v>2115.1381862221474</v>
      </c>
    </row>
    <row r="20" spans="1:24" x14ac:dyDescent="0.2">
      <c r="A20" s="3">
        <v>37926</v>
      </c>
      <c r="E20" s="94"/>
      <c r="F20" s="94"/>
      <c r="G20" s="95">
        <v>609</v>
      </c>
      <c r="H20" s="94"/>
      <c r="I20" s="94">
        <f t="shared" si="0"/>
        <v>37926</v>
      </c>
      <c r="J20" s="94">
        <f>+'[29]Data Input'!$J27</f>
        <v>5149</v>
      </c>
      <c r="K20" s="96">
        <v>319.68</v>
      </c>
      <c r="L20" s="28">
        <v>127.12458448276465</v>
      </c>
      <c r="M20" s="94">
        <f t="shared" si="1"/>
        <v>-421822.75138967577</v>
      </c>
      <c r="O20" s="29" t="s">
        <v>3</v>
      </c>
      <c r="P20" s="64">
        <v>4097.7364674546479</v>
      </c>
      <c r="Q20" s="29">
        <v>718.76581854892481</v>
      </c>
      <c r="R20" s="64">
        <v>5.7010730918275074</v>
      </c>
      <c r="S20" s="29">
        <v>1.0467199738301607E-7</v>
      </c>
      <c r="T20" s="29">
        <v>2673.0179636817929</v>
      </c>
      <c r="U20" s="29">
        <v>5522.4549712275029</v>
      </c>
      <c r="V20" s="29">
        <v>2673.0179636817929</v>
      </c>
      <c r="W20" s="29">
        <v>5522.4549712275029</v>
      </c>
      <c r="X20" s="29">
        <v>5594.2974908169972</v>
      </c>
    </row>
    <row r="21" spans="1:24" x14ac:dyDescent="0.2">
      <c r="A21" s="3">
        <v>37956</v>
      </c>
      <c r="E21" s="94"/>
      <c r="F21" s="94"/>
      <c r="G21" s="95">
        <v>609.20000000000005</v>
      </c>
      <c r="H21" s="94"/>
      <c r="I21" s="94">
        <f t="shared" si="0"/>
        <v>37956</v>
      </c>
      <c r="J21" s="94">
        <f>+'[29]Data Input'!$J28</f>
        <v>5163</v>
      </c>
      <c r="K21" s="96">
        <v>336.28800000000001</v>
      </c>
      <c r="L21" s="28">
        <v>127.27195325542573</v>
      </c>
      <c r="M21" s="94">
        <f t="shared" si="1"/>
        <v>-420891.46641970705</v>
      </c>
      <c r="O21" s="29" t="s">
        <v>18</v>
      </c>
      <c r="P21" s="64">
        <v>-217808.41580398206</v>
      </c>
      <c r="Q21" s="29">
        <v>53784.954956396003</v>
      </c>
      <c r="R21" s="64">
        <v>-4.0496160307387354</v>
      </c>
      <c r="S21" s="29">
        <v>9.6813728848802E-5</v>
      </c>
      <c r="T21" s="29">
        <v>-324419.52414197684</v>
      </c>
      <c r="U21" s="29">
        <v>-111197.30746598728</v>
      </c>
      <c r="V21" s="29">
        <v>-324419.52414197684</v>
      </c>
      <c r="W21" s="29">
        <v>-111197.30746598728</v>
      </c>
      <c r="X21" s="29">
        <v>-99455.138679296331</v>
      </c>
    </row>
    <row r="22" spans="1:24" x14ac:dyDescent="0.2">
      <c r="A22" s="3">
        <v>37987</v>
      </c>
      <c r="E22" s="94"/>
      <c r="F22" s="94"/>
      <c r="G22" s="95">
        <v>605</v>
      </c>
      <c r="H22" s="94"/>
      <c r="I22" s="94">
        <f t="shared" si="0"/>
        <v>37987</v>
      </c>
      <c r="J22" s="94">
        <f>+'[29]Data Input'!$J29</f>
        <v>5164</v>
      </c>
      <c r="K22" s="96">
        <v>336.28800000000001</v>
      </c>
      <c r="L22" s="28">
        <v>127.53411264087498</v>
      </c>
      <c r="M22" s="94">
        <f t="shared" si="1"/>
        <v>-440448.45078904647</v>
      </c>
      <c r="O22" s="29" t="s">
        <v>4</v>
      </c>
      <c r="P22" s="64">
        <v>114453.52908515415</v>
      </c>
      <c r="Q22" s="29">
        <v>24907.589923297663</v>
      </c>
      <c r="R22" s="64">
        <v>4.5951266034815532</v>
      </c>
      <c r="S22" s="29">
        <v>1.1782382560273738E-5</v>
      </c>
      <c r="T22" s="29">
        <v>65082.366277565772</v>
      </c>
      <c r="U22" s="29">
        <v>163824.69189274253</v>
      </c>
      <c r="V22" s="29">
        <v>65082.366277565772</v>
      </c>
      <c r="W22" s="29">
        <v>163824.69189274253</v>
      </c>
      <c r="X22" s="29">
        <v>165891.73948811216</v>
      </c>
    </row>
    <row r="23" spans="1:24" x14ac:dyDescent="0.2">
      <c r="A23" s="3">
        <v>38018</v>
      </c>
      <c r="E23" s="94"/>
      <c r="F23" s="94"/>
      <c r="G23" s="95">
        <v>599.4</v>
      </c>
      <c r="H23" s="94"/>
      <c r="I23" s="94">
        <f t="shared" si="0"/>
        <v>38018</v>
      </c>
      <c r="J23" s="94">
        <f>+'[29]Data Input'!$J30</f>
        <v>5181</v>
      </c>
      <c r="K23" s="96">
        <v>320.16000000000003</v>
      </c>
      <c r="L23" s="28">
        <v>127.79681203173486</v>
      </c>
      <c r="M23" s="94">
        <f t="shared" si="1"/>
        <v>-466524.42994816555</v>
      </c>
      <c r="O23" s="29" t="s">
        <v>211</v>
      </c>
      <c r="P23" s="64">
        <v>4656.4248498426632</v>
      </c>
      <c r="Q23" s="29">
        <v>931.85680752136091</v>
      </c>
      <c r="R23" s="64">
        <v>4.9969317305608936</v>
      </c>
      <c r="S23" s="29">
        <v>2.2595386883753299E-6</v>
      </c>
      <c r="T23" s="29">
        <v>2809.3230507856815</v>
      </c>
      <c r="U23" s="29">
        <v>6503.5266488996449</v>
      </c>
      <c r="V23" s="29">
        <v>2809.3230507856815</v>
      </c>
      <c r="W23" s="29">
        <v>6503.5266488996449</v>
      </c>
      <c r="X23" s="29">
        <v>6649.3653063251004</v>
      </c>
    </row>
    <row r="24" spans="1:24" ht="13.5" thickBot="1" x14ac:dyDescent="0.25">
      <c r="A24" s="3">
        <v>38047</v>
      </c>
      <c r="E24" s="94"/>
      <c r="F24" s="94"/>
      <c r="G24" s="95">
        <v>595.4</v>
      </c>
      <c r="H24" s="94"/>
      <c r="I24" s="94">
        <f t="shared" si="0"/>
        <v>38047</v>
      </c>
      <c r="J24" s="94">
        <f>+'[29]Data Input'!$J31</f>
        <v>5197</v>
      </c>
      <c r="K24" s="96">
        <v>368.28</v>
      </c>
      <c r="L24" s="28">
        <v>128.06005254032812</v>
      </c>
      <c r="M24" s="94">
        <f t="shared" si="1"/>
        <v>-485150.12934753625</v>
      </c>
      <c r="O24" s="41" t="s">
        <v>73</v>
      </c>
      <c r="P24" s="65">
        <v>-0.86358310054542309</v>
      </c>
      <c r="Q24" s="41">
        <v>0.24944425655416794</v>
      </c>
      <c r="R24" s="65">
        <v>-3.46202840055326</v>
      </c>
      <c r="S24" s="41">
        <v>7.6925919673678084E-4</v>
      </c>
      <c r="T24" s="41">
        <v>-1.3580248767139929</v>
      </c>
      <c r="U24" s="41">
        <v>-0.36914132437685321</v>
      </c>
      <c r="V24" s="41">
        <v>-1.3580248767139929</v>
      </c>
      <c r="W24" s="41">
        <v>-0.36914132437685321</v>
      </c>
      <c r="X24" s="41">
        <v>-0.46227572239444903</v>
      </c>
    </row>
    <row r="25" spans="1:24" x14ac:dyDescent="0.2">
      <c r="A25" s="3">
        <v>38078</v>
      </c>
      <c r="E25" s="94"/>
      <c r="F25" s="94"/>
      <c r="G25" s="95">
        <v>597.70000000000005</v>
      </c>
      <c r="H25" s="94"/>
      <c r="I25" s="94">
        <f t="shared" si="0"/>
        <v>38078</v>
      </c>
      <c r="J25" s="94">
        <f>+'[29]Data Input'!$J32</f>
        <v>5203</v>
      </c>
      <c r="K25" s="96">
        <v>336.24</v>
      </c>
      <c r="L25" s="28">
        <v>128.32383528126866</v>
      </c>
      <c r="M25" s="94">
        <f t="shared" si="1"/>
        <v>-474440.35219289782</v>
      </c>
      <c r="O25"/>
      <c r="P25"/>
      <c r="Q25"/>
      <c r="R25"/>
      <c r="S25"/>
    </row>
    <row r="26" spans="1:24" x14ac:dyDescent="0.2">
      <c r="A26" s="3">
        <v>38108</v>
      </c>
      <c r="E26" s="94"/>
      <c r="F26" s="94"/>
      <c r="G26" s="95">
        <v>605.6</v>
      </c>
      <c r="H26" s="94"/>
      <c r="I26" s="94">
        <f t="shared" si="0"/>
        <v>38108</v>
      </c>
      <c r="J26" s="94">
        <f>+'[29]Data Input'!$J33</f>
        <v>5216</v>
      </c>
      <c r="K26" s="96">
        <v>319.92</v>
      </c>
      <c r="L26" s="28">
        <v>128.58816137146633</v>
      </c>
      <c r="M26" s="94">
        <f t="shared" si="1"/>
        <v>-437654.59587914078</v>
      </c>
      <c r="N26"/>
      <c r="O26"/>
      <c r="P26"/>
      <c r="Q26"/>
      <c r="R26"/>
      <c r="S26"/>
    </row>
    <row r="27" spans="1:24" x14ac:dyDescent="0.2">
      <c r="A27" s="3">
        <v>38139</v>
      </c>
      <c r="E27" s="94"/>
      <c r="F27" s="94"/>
      <c r="G27" s="95">
        <v>615.4</v>
      </c>
      <c r="H27" s="94"/>
      <c r="I27" s="94">
        <f t="shared" si="0"/>
        <v>38139</v>
      </c>
      <c r="J27" s="94">
        <f>+'[29]Data Input'!$J34</f>
        <v>5226</v>
      </c>
      <c r="K27" s="96">
        <v>352.08</v>
      </c>
      <c r="L27" s="28">
        <v>128.85303193013166</v>
      </c>
      <c r="M27" s="94">
        <f t="shared" si="1"/>
        <v>-392021.63235068321</v>
      </c>
      <c r="N27"/>
      <c r="O27"/>
      <c r="P27"/>
      <c r="Q27"/>
      <c r="R27"/>
      <c r="S27"/>
    </row>
    <row r="28" spans="1:24" x14ac:dyDescent="0.2">
      <c r="A28" s="3">
        <v>38169</v>
      </c>
      <c r="E28" s="94"/>
      <c r="F28" s="94"/>
      <c r="G28" s="95">
        <v>623.79999999999995</v>
      </c>
      <c r="H28" s="94"/>
      <c r="I28" s="94">
        <f t="shared" si="0"/>
        <v>38169</v>
      </c>
      <c r="J28" s="94">
        <f>+'[29]Data Input'!$J35</f>
        <v>5251</v>
      </c>
      <c r="K28" s="96">
        <v>336.28800000000001</v>
      </c>
      <c r="L28" s="28">
        <v>129.11844807878055</v>
      </c>
      <c r="M28" s="94">
        <f t="shared" si="1"/>
        <v>-352907.66361200484</v>
      </c>
      <c r="N28"/>
      <c r="O28"/>
      <c r="P28"/>
      <c r="Q28"/>
      <c r="R28"/>
      <c r="S28"/>
    </row>
    <row r="29" spans="1:24" x14ac:dyDescent="0.2">
      <c r="A29" s="3">
        <v>38200</v>
      </c>
      <c r="E29" s="94"/>
      <c r="F29" s="94"/>
      <c r="G29" s="95">
        <v>625.70000000000005</v>
      </c>
      <c r="H29" s="94"/>
      <c r="I29" s="94">
        <f t="shared" si="0"/>
        <v>38200</v>
      </c>
      <c r="J29" s="94">
        <f>+'[29]Data Input'!$J36</f>
        <v>5254</v>
      </c>
      <c r="K29" s="96">
        <v>336.28800000000001</v>
      </c>
      <c r="L29" s="28">
        <v>129.38441094123903</v>
      </c>
      <c r="M29" s="94">
        <f t="shared" si="1"/>
        <v>-344060.45639730338</v>
      </c>
      <c r="N29"/>
      <c r="O29"/>
      <c r="P29"/>
      <c r="Q29"/>
      <c r="R29"/>
      <c r="S29"/>
    </row>
    <row r="30" spans="1:24" x14ac:dyDescent="0.2">
      <c r="A30" s="3">
        <v>38231</v>
      </c>
      <c r="E30" s="94"/>
      <c r="F30" s="94"/>
      <c r="G30" s="95">
        <v>626.70000000000005</v>
      </c>
      <c r="H30" s="94"/>
      <c r="I30" s="94">
        <f t="shared" si="0"/>
        <v>38231</v>
      </c>
      <c r="J30" s="94">
        <f>+'[29]Data Input'!$J37</f>
        <v>5268</v>
      </c>
      <c r="K30" s="96">
        <v>336.24</v>
      </c>
      <c r="L30" s="28">
        <v>129.65092164364802</v>
      </c>
      <c r="M30" s="94">
        <f t="shared" si="1"/>
        <v>-339404.03154746071</v>
      </c>
      <c r="N30"/>
      <c r="O30"/>
      <c r="P30"/>
      <c r="Q30"/>
      <c r="R30"/>
      <c r="S30"/>
    </row>
    <row r="31" spans="1:24" x14ac:dyDescent="0.2">
      <c r="A31" s="3">
        <v>38261</v>
      </c>
      <c r="E31" s="94"/>
      <c r="F31" s="94"/>
      <c r="G31" s="95">
        <v>625.1</v>
      </c>
      <c r="H31" s="94"/>
      <c r="I31" s="94">
        <f t="shared" si="0"/>
        <v>38261</v>
      </c>
      <c r="J31" s="94">
        <f>+'[29]Data Input'!$J38</f>
        <v>5280</v>
      </c>
      <c r="K31" s="96">
        <v>319.92</v>
      </c>
      <c r="L31" s="28">
        <v>129.91798131446814</v>
      </c>
      <c r="M31" s="94">
        <f t="shared" si="1"/>
        <v>-346854.31130720908</v>
      </c>
      <c r="N31" s="94"/>
      <c r="O31"/>
      <c r="P31"/>
      <c r="Q31"/>
      <c r="R31"/>
      <c r="S31"/>
    </row>
    <row r="32" spans="1:24" x14ac:dyDescent="0.2">
      <c r="A32" s="3">
        <v>38292</v>
      </c>
      <c r="E32" s="94"/>
      <c r="F32" s="94"/>
      <c r="G32" s="95">
        <v>625.20000000000005</v>
      </c>
      <c r="H32" s="94"/>
      <c r="I32" s="94">
        <f t="shared" si="0"/>
        <v>38292</v>
      </c>
      <c r="J32" s="94">
        <f>+'[29]Data Input'!$J39</f>
        <v>5294</v>
      </c>
      <c r="K32" s="96">
        <v>352.08</v>
      </c>
      <c r="L32" s="28">
        <v>130.18559108448443</v>
      </c>
      <c r="M32" s="94">
        <f t="shared" si="1"/>
        <v>-346388.66882222472</v>
      </c>
      <c r="N32" s="94"/>
      <c r="O32"/>
      <c r="P32"/>
      <c r="Q32"/>
      <c r="R32"/>
      <c r="S32"/>
    </row>
    <row r="33" spans="1:19" x14ac:dyDescent="0.2">
      <c r="A33" s="3">
        <v>38322</v>
      </c>
      <c r="E33" s="94"/>
      <c r="F33" s="94"/>
      <c r="G33" s="95">
        <v>628.4</v>
      </c>
      <c r="H33" s="94"/>
      <c r="I33" s="94">
        <f t="shared" si="0"/>
        <v>38322</v>
      </c>
      <c r="J33" s="94">
        <f>+'[29]Data Input'!$J40</f>
        <v>5319</v>
      </c>
      <c r="K33" s="96">
        <v>336.28800000000001</v>
      </c>
      <c r="L33" s="28">
        <v>130.45375208681136</v>
      </c>
      <c r="M33" s="94">
        <f t="shared" si="1"/>
        <v>-331488.10930272844</v>
      </c>
      <c r="N33" s="94"/>
      <c r="O33"/>
      <c r="P33"/>
      <c r="Q33"/>
      <c r="R33"/>
      <c r="S33"/>
    </row>
    <row r="34" spans="1:19" x14ac:dyDescent="0.2">
      <c r="A34" s="3">
        <v>38353</v>
      </c>
      <c r="E34" s="94"/>
      <c r="F34" s="94"/>
      <c r="G34" s="95">
        <v>629.5</v>
      </c>
      <c r="H34" s="94"/>
      <c r="I34" s="94">
        <f t="shared" si="0"/>
        <v>38353</v>
      </c>
      <c r="J34" s="94">
        <f>+'[29]Data Input'!$J41</f>
        <v>5321</v>
      </c>
      <c r="K34" s="96">
        <v>319.92</v>
      </c>
      <c r="L34" s="28">
        <v>130.74370215685079</v>
      </c>
      <c r="M34" s="94">
        <f t="shared" si="1"/>
        <v>-326366.0419679014</v>
      </c>
      <c r="N34" s="94"/>
      <c r="O34"/>
      <c r="P34"/>
      <c r="Q34"/>
      <c r="R34"/>
      <c r="S34"/>
    </row>
    <row r="35" spans="1:19" x14ac:dyDescent="0.2">
      <c r="A35" s="3">
        <v>38384</v>
      </c>
      <c r="E35" s="94"/>
      <c r="F35" s="94"/>
      <c r="G35" s="95">
        <v>630.9</v>
      </c>
      <c r="H35" s="94"/>
      <c r="I35" s="94">
        <f t="shared" si="0"/>
        <v>38384</v>
      </c>
      <c r="J35" s="94">
        <f>+'[29]Data Input'!$J42</f>
        <v>5325</v>
      </c>
      <c r="K35" s="96">
        <v>319.87200000000001</v>
      </c>
      <c r="L35" s="28">
        <v>131.0342966778299</v>
      </c>
      <c r="M35" s="94">
        <f t="shared" si="1"/>
        <v>-319847.04717812175</v>
      </c>
      <c r="N35" s="94"/>
      <c r="O35"/>
      <c r="P35"/>
      <c r="Q35"/>
      <c r="R35"/>
      <c r="S35"/>
    </row>
    <row r="36" spans="1:19" x14ac:dyDescent="0.2">
      <c r="A36" s="3">
        <v>38412</v>
      </c>
      <c r="E36" s="94"/>
      <c r="F36" s="94"/>
      <c r="G36" s="95">
        <v>628.1</v>
      </c>
      <c r="H36" s="94"/>
      <c r="I36" s="94">
        <f t="shared" si="0"/>
        <v>38412</v>
      </c>
      <c r="J36" s="94">
        <f>+'[29]Data Input'!$J43</f>
        <v>5336</v>
      </c>
      <c r="K36" s="96">
        <v>351.91199999999998</v>
      </c>
      <c r="L36" s="28">
        <v>131.32553708212293</v>
      </c>
      <c r="M36" s="94">
        <f t="shared" si="1"/>
        <v>-332885.03675768105</v>
      </c>
      <c r="N36" s="94"/>
      <c r="O36"/>
      <c r="P36"/>
      <c r="Q36"/>
      <c r="R36"/>
      <c r="S36"/>
    </row>
    <row r="37" spans="1:19" x14ac:dyDescent="0.2">
      <c r="A37" s="3">
        <v>38443</v>
      </c>
      <c r="E37" s="94"/>
      <c r="F37" s="94"/>
      <c r="G37" s="95">
        <v>631.29999999999995</v>
      </c>
      <c r="H37" s="94"/>
      <c r="I37" s="94">
        <f t="shared" si="0"/>
        <v>38443</v>
      </c>
      <c r="J37" s="94">
        <f>+'[29]Data Input'!$J44</f>
        <v>5343</v>
      </c>
      <c r="K37" s="96">
        <v>336.24</v>
      </c>
      <c r="L37" s="28">
        <v>131.61742480528775</v>
      </c>
      <c r="M37" s="94">
        <f t="shared" si="1"/>
        <v>-317984.47723818477</v>
      </c>
      <c r="N37" s="94"/>
      <c r="O37"/>
      <c r="P37"/>
      <c r="Q37"/>
      <c r="R37"/>
      <c r="S37"/>
    </row>
    <row r="38" spans="1:19" x14ac:dyDescent="0.2">
      <c r="A38" s="3">
        <v>38473</v>
      </c>
      <c r="E38" s="94"/>
      <c r="F38" s="94"/>
      <c r="G38" s="95">
        <v>638.6</v>
      </c>
      <c r="H38" s="94"/>
      <c r="I38" s="94">
        <f t="shared" si="0"/>
        <v>38473</v>
      </c>
      <c r="J38" s="94">
        <f>+'[29]Data Input'!$J45</f>
        <v>5350</v>
      </c>
      <c r="K38" s="96">
        <v>336.28800000000001</v>
      </c>
      <c r="L38" s="28">
        <v>131.90996128607298</v>
      </c>
      <c r="M38" s="94">
        <f t="shared" si="1"/>
        <v>-283992.57583433297</v>
      </c>
      <c r="N38" s="94"/>
      <c r="O38"/>
      <c r="P38"/>
      <c r="Q38"/>
      <c r="R38"/>
      <c r="S38"/>
    </row>
    <row r="39" spans="1:19" x14ac:dyDescent="0.2">
      <c r="A39" s="3">
        <v>38504</v>
      </c>
      <c r="E39" s="94"/>
      <c r="F39" s="94"/>
      <c r="G39" s="95">
        <v>648.1</v>
      </c>
      <c r="H39" s="94"/>
      <c r="I39" s="94">
        <f t="shared" si="0"/>
        <v>38504</v>
      </c>
      <c r="J39" s="94">
        <f>+'[29]Data Input'!$J46</f>
        <v>5360</v>
      </c>
      <c r="K39" s="96">
        <v>352.08</v>
      </c>
      <c r="L39" s="28">
        <v>132.20314796642501</v>
      </c>
      <c r="M39" s="94">
        <f t="shared" si="1"/>
        <v>-239756.53976082755</v>
      </c>
      <c r="N39" s="94"/>
      <c r="O39"/>
      <c r="P39"/>
      <c r="Q39"/>
      <c r="R39"/>
      <c r="S39"/>
    </row>
    <row r="40" spans="1:19" x14ac:dyDescent="0.2">
      <c r="A40" s="3">
        <v>38534</v>
      </c>
      <c r="E40" s="94"/>
      <c r="F40" s="94"/>
      <c r="G40" s="95">
        <v>653.1</v>
      </c>
      <c r="H40" s="94"/>
      <c r="I40" s="94">
        <f t="shared" si="0"/>
        <v>38534</v>
      </c>
      <c r="J40" s="94">
        <f>+'[29]Data Input'!$J47</f>
        <v>5364</v>
      </c>
      <c r="K40" s="96">
        <v>319.92</v>
      </c>
      <c r="L40" s="28">
        <v>132.49698629149512</v>
      </c>
      <c r="M40" s="94">
        <f t="shared" si="1"/>
        <v>-216474.41551161464</v>
      </c>
      <c r="N40" s="94"/>
      <c r="O40"/>
      <c r="P40"/>
      <c r="Q40"/>
      <c r="R40"/>
      <c r="S40"/>
    </row>
    <row r="41" spans="1:19" x14ac:dyDescent="0.2">
      <c r="A41" s="3">
        <v>38565</v>
      </c>
      <c r="E41" s="94"/>
      <c r="F41" s="94"/>
      <c r="G41" s="95">
        <v>655.6</v>
      </c>
      <c r="H41" s="94"/>
      <c r="I41" s="94">
        <f t="shared" si="0"/>
        <v>38565</v>
      </c>
      <c r="J41" s="94">
        <f>+'[29]Data Input'!$J48</f>
        <v>5371</v>
      </c>
      <c r="K41" s="96">
        <v>351.91199999999998</v>
      </c>
      <c r="L41" s="28">
        <v>132.79147770964664</v>
      </c>
      <c r="M41" s="94">
        <f t="shared" si="1"/>
        <v>-204833.35338700796</v>
      </c>
      <c r="N41" s="94"/>
      <c r="O41"/>
      <c r="P41"/>
      <c r="Q41"/>
      <c r="R41"/>
      <c r="S41"/>
    </row>
    <row r="42" spans="1:19" x14ac:dyDescent="0.2">
      <c r="A42" s="3">
        <v>38596</v>
      </c>
      <c r="E42" s="94"/>
      <c r="F42" s="94"/>
      <c r="G42" s="95">
        <v>652.20000000000005</v>
      </c>
      <c r="H42" s="94"/>
      <c r="I42" s="94">
        <f t="shared" si="0"/>
        <v>38596</v>
      </c>
      <c r="J42" s="94">
        <f>+'[29]Data Input'!$J49</f>
        <v>5385</v>
      </c>
      <c r="K42" s="96">
        <v>336.24</v>
      </c>
      <c r="L42" s="28">
        <v>133.08662367246211</v>
      </c>
      <c r="M42" s="94">
        <f t="shared" si="1"/>
        <v>-220665.19787647296</v>
      </c>
      <c r="N42" s="94"/>
      <c r="O42"/>
      <c r="P42"/>
      <c r="Q42"/>
      <c r="R42"/>
      <c r="S42"/>
    </row>
    <row r="43" spans="1:19" x14ac:dyDescent="0.2">
      <c r="A43" s="3">
        <v>38626</v>
      </c>
      <c r="E43" s="94"/>
      <c r="F43" s="94"/>
      <c r="G43" s="95">
        <v>649.79999999999995</v>
      </c>
      <c r="H43" s="94"/>
      <c r="I43" s="94">
        <f t="shared" si="0"/>
        <v>38626</v>
      </c>
      <c r="J43" s="94">
        <f>+'[29]Data Input'!$J50</f>
        <v>5401</v>
      </c>
      <c r="K43" s="96">
        <v>319.92</v>
      </c>
      <c r="L43" s="28">
        <v>133.38242563475035</v>
      </c>
      <c r="M43" s="94">
        <f t="shared" si="1"/>
        <v>-231840.61751609575</v>
      </c>
      <c r="N43" s="94"/>
      <c r="O43"/>
      <c r="P43"/>
      <c r="Q43"/>
      <c r="R43"/>
      <c r="S43"/>
    </row>
    <row r="44" spans="1:19" x14ac:dyDescent="0.2">
      <c r="A44" s="3">
        <v>38657</v>
      </c>
      <c r="E44" s="94"/>
      <c r="F44" s="94"/>
      <c r="G44" s="95">
        <v>643.79999999999995</v>
      </c>
      <c r="H44" s="94"/>
      <c r="I44" s="94">
        <f t="shared" si="0"/>
        <v>38657</v>
      </c>
      <c r="J44" s="94">
        <f>+'[29]Data Input'!$J51</f>
        <v>5404</v>
      </c>
      <c r="K44" s="96">
        <v>352.08</v>
      </c>
      <c r="L44" s="28">
        <v>133.67888505455369</v>
      </c>
      <c r="M44" s="94">
        <f t="shared" si="1"/>
        <v>-259779.16661515133</v>
      </c>
      <c r="N44" s="94"/>
      <c r="O44"/>
      <c r="P44"/>
      <c r="Q44"/>
      <c r="R44"/>
      <c r="S44"/>
    </row>
    <row r="45" spans="1:19" x14ac:dyDescent="0.2">
      <c r="A45" s="3">
        <v>38687</v>
      </c>
      <c r="E45" s="94"/>
      <c r="F45" s="94"/>
      <c r="G45" s="95">
        <v>644.6</v>
      </c>
      <c r="H45" s="94"/>
      <c r="I45" s="94">
        <f t="shared" si="0"/>
        <v>38687</v>
      </c>
      <c r="J45" s="94">
        <f>+'[29]Data Input'!$J52</f>
        <v>5409</v>
      </c>
      <c r="K45" s="96">
        <v>319.92</v>
      </c>
      <c r="L45" s="28">
        <v>133.97600339315525</v>
      </c>
      <c r="M45" s="94">
        <f t="shared" si="1"/>
        <v>-256054.02673527692</v>
      </c>
      <c r="N45" s="94"/>
      <c r="O45"/>
      <c r="P45"/>
      <c r="Q45"/>
      <c r="R45"/>
      <c r="S45"/>
    </row>
    <row r="46" spans="1:19" x14ac:dyDescent="0.2">
      <c r="A46" s="3">
        <v>38718</v>
      </c>
      <c r="E46" s="94"/>
      <c r="F46" s="94"/>
      <c r="G46" s="95">
        <v>643.6</v>
      </c>
      <c r="H46" s="94"/>
      <c r="I46" s="94">
        <f t="shared" si="0"/>
        <v>38718</v>
      </c>
      <c r="J46" s="94">
        <f>+'[29]Data Input'!$J53</f>
        <v>5409</v>
      </c>
      <c r="K46" s="96">
        <v>336.28800000000001</v>
      </c>
      <c r="L46" s="28">
        <v>134.25197202423305</v>
      </c>
      <c r="M46" s="94">
        <f t="shared" si="1"/>
        <v>-260710.45158511959</v>
      </c>
      <c r="N46" s="94"/>
      <c r="O46"/>
      <c r="P46"/>
      <c r="Q46"/>
      <c r="R46"/>
      <c r="S46"/>
    </row>
    <row r="47" spans="1:19" x14ac:dyDescent="0.2">
      <c r="A47" s="3">
        <v>38749</v>
      </c>
      <c r="E47" s="94"/>
      <c r="F47" s="94"/>
      <c r="G47" s="95">
        <v>642.9</v>
      </c>
      <c r="H47" s="94"/>
      <c r="I47" s="94">
        <f t="shared" si="0"/>
        <v>38749</v>
      </c>
      <c r="J47" s="94">
        <f>+'[29]Data Input'!$J54</f>
        <v>5417</v>
      </c>
      <c r="K47" s="96">
        <v>319.87200000000001</v>
      </c>
      <c r="L47" s="28">
        <v>134.52850910550649</v>
      </c>
      <c r="M47" s="94">
        <f t="shared" si="1"/>
        <v>-263969.94898000965</v>
      </c>
      <c r="N47" s="94"/>
      <c r="O47"/>
      <c r="P47"/>
      <c r="Q47"/>
      <c r="R47"/>
      <c r="S47"/>
    </row>
    <row r="48" spans="1:19" x14ac:dyDescent="0.2">
      <c r="A48" s="3">
        <v>38777</v>
      </c>
      <c r="E48" s="94"/>
      <c r="F48" s="94"/>
      <c r="G48" s="95">
        <v>641</v>
      </c>
      <c r="H48" s="94"/>
      <c r="I48" s="94">
        <f t="shared" si="0"/>
        <v>38777</v>
      </c>
      <c r="J48" s="94">
        <f>+'[29]Data Input'!$J55</f>
        <v>5418</v>
      </c>
      <c r="K48" s="96">
        <v>368.28</v>
      </c>
      <c r="L48" s="28">
        <v>134.80561580788986</v>
      </c>
      <c r="M48" s="94">
        <f t="shared" si="1"/>
        <v>-272817.15619471064</v>
      </c>
      <c r="N48" s="94"/>
      <c r="O48"/>
      <c r="P48"/>
      <c r="Q48"/>
      <c r="R48"/>
      <c r="S48"/>
    </row>
    <row r="49" spans="1:19" x14ac:dyDescent="0.2">
      <c r="A49" s="3">
        <v>38808</v>
      </c>
      <c r="E49" s="94"/>
      <c r="F49" s="94"/>
      <c r="G49" s="95">
        <v>643.6</v>
      </c>
      <c r="H49" s="94"/>
      <c r="I49" s="94">
        <f t="shared" si="0"/>
        <v>38808</v>
      </c>
      <c r="J49" s="94">
        <f>+'[29]Data Input'!$J56</f>
        <v>5422</v>
      </c>
      <c r="K49" s="96">
        <v>303.83999999999997</v>
      </c>
      <c r="L49" s="28">
        <v>135.08329330470943</v>
      </c>
      <c r="M49" s="94">
        <f t="shared" si="1"/>
        <v>-260710.45158511959</v>
      </c>
      <c r="N49" s="94"/>
      <c r="O49"/>
      <c r="P49"/>
      <c r="Q49"/>
      <c r="R49"/>
      <c r="S49"/>
    </row>
    <row r="50" spans="1:19" x14ac:dyDescent="0.2">
      <c r="A50" s="3">
        <v>38838</v>
      </c>
      <c r="E50" s="94"/>
      <c r="F50" s="94"/>
      <c r="G50" s="95">
        <v>652.29999999999995</v>
      </c>
      <c r="H50" s="94"/>
      <c r="I50" s="94">
        <f t="shared" si="0"/>
        <v>38838</v>
      </c>
      <c r="J50" s="94">
        <f>+'[29]Data Input'!$J57</f>
        <v>5429</v>
      </c>
      <c r="K50" s="96">
        <v>351.91199999999998</v>
      </c>
      <c r="L50" s="28">
        <v>135.36154277170829</v>
      </c>
      <c r="M50" s="94">
        <f t="shared" si="1"/>
        <v>-220199.55539148906</v>
      </c>
      <c r="N50" s="94"/>
      <c r="O50"/>
      <c r="P50"/>
      <c r="Q50"/>
      <c r="R50"/>
      <c r="S50"/>
    </row>
    <row r="51" spans="1:19" x14ac:dyDescent="0.2">
      <c r="A51" s="3">
        <v>38869</v>
      </c>
      <c r="E51" s="94"/>
      <c r="F51" s="94"/>
      <c r="G51" s="95">
        <v>660</v>
      </c>
      <c r="H51" s="94"/>
      <c r="I51" s="94">
        <f t="shared" si="0"/>
        <v>38869</v>
      </c>
      <c r="J51" s="94">
        <f>+'[29]Data Input'!$J58</f>
        <v>5430</v>
      </c>
      <c r="K51" s="96">
        <v>352.08</v>
      </c>
      <c r="L51" s="28">
        <v>135.64036538705133</v>
      </c>
      <c r="M51" s="94">
        <f t="shared" si="1"/>
        <v>-184345.08404770028</v>
      </c>
      <c r="N51" s="94"/>
      <c r="O51"/>
      <c r="P51"/>
      <c r="Q51"/>
      <c r="R51"/>
      <c r="S51"/>
    </row>
    <row r="52" spans="1:19" x14ac:dyDescent="0.2">
      <c r="A52" s="3">
        <v>38899</v>
      </c>
      <c r="E52" s="94"/>
      <c r="F52" s="94"/>
      <c r="G52" s="95">
        <v>665.1</v>
      </c>
      <c r="H52" s="94"/>
      <c r="I52" s="94">
        <f t="shared" si="0"/>
        <v>38899</v>
      </c>
      <c r="J52" s="94">
        <f>+'[29]Data Input'!$J59</f>
        <v>5434</v>
      </c>
      <c r="K52" s="96">
        <v>319.92</v>
      </c>
      <c r="L52" s="28">
        <v>135.9197623313303</v>
      </c>
      <c r="M52" s="94">
        <f t="shared" si="1"/>
        <v>-160597.31731350254</v>
      </c>
      <c r="N52" s="94"/>
      <c r="O52"/>
      <c r="P52"/>
      <c r="Q52"/>
      <c r="R52"/>
      <c r="S52"/>
    </row>
    <row r="53" spans="1:19" x14ac:dyDescent="0.2">
      <c r="A53" s="3">
        <v>38930</v>
      </c>
      <c r="E53" s="94"/>
      <c r="F53" s="94"/>
      <c r="G53" s="95">
        <v>667.3</v>
      </c>
      <c r="H53" s="94"/>
      <c r="I53" s="94">
        <f t="shared" si="0"/>
        <v>38930</v>
      </c>
      <c r="J53" s="94">
        <f>+'[29]Data Input'!$J60</f>
        <v>5437</v>
      </c>
      <c r="K53" s="96">
        <v>351.91199999999998</v>
      </c>
      <c r="L53" s="28">
        <v>136.19973478756879</v>
      </c>
      <c r="M53" s="94">
        <f t="shared" si="1"/>
        <v>-150353.18264384894</v>
      </c>
      <c r="N53" s="94"/>
      <c r="O53"/>
      <c r="P53"/>
      <c r="Q53"/>
      <c r="R53"/>
      <c r="S53"/>
    </row>
    <row r="54" spans="1:19" x14ac:dyDescent="0.2">
      <c r="A54" s="3">
        <v>38961</v>
      </c>
      <c r="E54" s="94"/>
      <c r="F54" s="94"/>
      <c r="G54" s="95">
        <v>664.9</v>
      </c>
      <c r="H54" s="94"/>
      <c r="I54" s="94">
        <f t="shared" si="0"/>
        <v>38961</v>
      </c>
      <c r="J54" s="94">
        <f>+'[29]Data Input'!$J61</f>
        <v>5436</v>
      </c>
      <c r="K54" s="96">
        <v>319.68</v>
      </c>
      <c r="L54" s="28">
        <v>136.48028394122719</v>
      </c>
      <c r="M54" s="94">
        <f t="shared" si="1"/>
        <v>-161528.60228347126</v>
      </c>
      <c r="N54" s="94"/>
      <c r="O54"/>
      <c r="P54"/>
      <c r="Q54"/>
      <c r="R54"/>
      <c r="S54"/>
    </row>
    <row r="55" spans="1:19" x14ac:dyDescent="0.2">
      <c r="A55" s="3">
        <v>38991</v>
      </c>
      <c r="E55" s="94"/>
      <c r="F55" s="94"/>
      <c r="G55" s="95">
        <v>667</v>
      </c>
      <c r="H55" s="94"/>
      <c r="I55" s="94">
        <f t="shared" si="0"/>
        <v>38991</v>
      </c>
      <c r="J55" s="94">
        <f>+'[29]Data Input'!$J62</f>
        <v>5439</v>
      </c>
      <c r="K55" s="96">
        <v>336.28800000000001</v>
      </c>
      <c r="L55" s="28">
        <v>136.76141098020776</v>
      </c>
      <c r="M55" s="94">
        <f t="shared" si="1"/>
        <v>-151750.11009880155</v>
      </c>
      <c r="N55" s="94"/>
      <c r="O55"/>
      <c r="P55"/>
      <c r="Q55"/>
      <c r="R55"/>
      <c r="S55"/>
    </row>
    <row r="56" spans="1:19" x14ac:dyDescent="0.2">
      <c r="A56" s="3">
        <v>39022</v>
      </c>
      <c r="E56" s="94"/>
      <c r="F56" s="94"/>
      <c r="G56" s="95">
        <v>666.2</v>
      </c>
      <c r="H56" s="94"/>
      <c r="I56" s="94">
        <f t="shared" si="0"/>
        <v>39022</v>
      </c>
      <c r="J56" s="94">
        <f>+'[29]Data Input'!$J63</f>
        <v>5467</v>
      </c>
      <c r="K56" s="96">
        <v>352.08</v>
      </c>
      <c r="L56" s="28">
        <v>137.04311709485967</v>
      </c>
      <c r="M56" s="94">
        <f t="shared" si="1"/>
        <v>-155475.24997867551</v>
      </c>
      <c r="N56" s="94"/>
      <c r="O56"/>
      <c r="P56"/>
      <c r="Q56"/>
      <c r="R56"/>
      <c r="S56"/>
    </row>
    <row r="57" spans="1:19" x14ac:dyDescent="0.2">
      <c r="A57" s="3">
        <v>39052</v>
      </c>
      <c r="E57" s="94"/>
      <c r="F57" s="94"/>
      <c r="G57" s="95">
        <v>667.7</v>
      </c>
      <c r="H57" s="94"/>
      <c r="I57" s="94">
        <f t="shared" si="0"/>
        <v>39052</v>
      </c>
      <c r="J57" s="94">
        <f>+'[29]Data Input'!$J64</f>
        <v>5466</v>
      </c>
      <c r="K57" s="96">
        <v>304.29599999999999</v>
      </c>
      <c r="L57" s="28">
        <v>137.32540347798411</v>
      </c>
      <c r="M57" s="94">
        <f t="shared" si="1"/>
        <v>-148490.61270391149</v>
      </c>
      <c r="N57" s="94"/>
      <c r="O57"/>
      <c r="P57"/>
      <c r="Q57"/>
      <c r="R57"/>
      <c r="S57"/>
    </row>
    <row r="58" spans="1:19" x14ac:dyDescent="0.2">
      <c r="A58" s="3">
        <v>39083</v>
      </c>
      <c r="E58" s="94"/>
      <c r="F58" s="94"/>
      <c r="G58" s="95">
        <v>662.2</v>
      </c>
      <c r="H58" s="94"/>
      <c r="I58" s="94">
        <f t="shared" si="0"/>
        <v>39083</v>
      </c>
      <c r="J58" s="94">
        <f>+'[29]Data Input'!$J65</f>
        <v>5472</v>
      </c>
      <c r="K58" s="96">
        <v>351.91199999999998</v>
      </c>
      <c r="L58" s="28">
        <v>137.58587596073079</v>
      </c>
      <c r="M58" s="94">
        <f t="shared" si="1"/>
        <v>-174100.94937804621</v>
      </c>
      <c r="N58" s="94"/>
      <c r="O58"/>
      <c r="P58"/>
      <c r="Q58"/>
      <c r="R58"/>
      <c r="S58"/>
    </row>
    <row r="59" spans="1:19" x14ac:dyDescent="0.2">
      <c r="A59" s="3">
        <v>39114</v>
      </c>
      <c r="E59" s="94"/>
      <c r="F59" s="94"/>
      <c r="G59" s="95">
        <v>656.8</v>
      </c>
      <c r="H59" s="94"/>
      <c r="I59" s="94">
        <f t="shared" si="0"/>
        <v>39114</v>
      </c>
      <c r="J59" s="94">
        <f>+'[29]Data Input'!$J66</f>
        <v>5477</v>
      </c>
      <c r="K59" s="96">
        <v>319.87200000000001</v>
      </c>
      <c r="L59" s="28">
        <v>137.84684249565245</v>
      </c>
      <c r="M59" s="94">
        <f t="shared" si="1"/>
        <v>-199245.64356719702</v>
      </c>
      <c r="N59" s="94"/>
      <c r="O59"/>
      <c r="P59"/>
      <c r="Q59"/>
      <c r="R59"/>
      <c r="S59"/>
    </row>
    <row r="60" spans="1:19" x14ac:dyDescent="0.2">
      <c r="A60" s="3">
        <v>39142</v>
      </c>
      <c r="E60" s="94"/>
      <c r="F60" s="94"/>
      <c r="G60" s="95">
        <v>652.20000000000005</v>
      </c>
      <c r="H60" s="94"/>
      <c r="I60" s="94">
        <f t="shared" si="0"/>
        <v>39142</v>
      </c>
      <c r="J60" s="94">
        <f>+'[29]Data Input'!$J67</f>
        <v>5472</v>
      </c>
      <c r="K60" s="96">
        <v>351.91199999999998</v>
      </c>
      <c r="L60" s="28">
        <v>138.10830401984444</v>
      </c>
      <c r="M60" s="94">
        <f t="shared" si="1"/>
        <v>-220665.19787647296</v>
      </c>
      <c r="N60" s="94"/>
      <c r="O60"/>
      <c r="P60"/>
      <c r="Q60"/>
      <c r="R60"/>
      <c r="S60"/>
    </row>
    <row r="61" spans="1:19" x14ac:dyDescent="0.2">
      <c r="A61" s="3">
        <v>39173</v>
      </c>
      <c r="E61" s="94"/>
      <c r="F61" s="94"/>
      <c r="G61" s="95">
        <v>647.4</v>
      </c>
      <c r="H61" s="94"/>
      <c r="I61" s="94">
        <f t="shared" si="0"/>
        <v>39173</v>
      </c>
      <c r="J61" s="94">
        <f>+'[29]Data Input'!$J68</f>
        <v>5477</v>
      </c>
      <c r="K61" s="96">
        <v>319.68</v>
      </c>
      <c r="L61" s="28">
        <v>138.37026147217955</v>
      </c>
      <c r="M61" s="94">
        <f t="shared" si="1"/>
        <v>-243016.03715571761</v>
      </c>
      <c r="N61" s="94"/>
      <c r="O61"/>
      <c r="P61"/>
      <c r="Q61"/>
      <c r="R61"/>
      <c r="S61"/>
    </row>
    <row r="62" spans="1:19" x14ac:dyDescent="0.2">
      <c r="A62" s="3">
        <v>39203</v>
      </c>
      <c r="E62" s="94"/>
      <c r="F62" s="94"/>
      <c r="G62" s="95">
        <v>646.9</v>
      </c>
      <c r="H62" s="94"/>
      <c r="I62" s="94">
        <f t="shared" si="0"/>
        <v>39203</v>
      </c>
      <c r="J62" s="94">
        <f>+'[29]Data Input'!$J69</f>
        <v>5480</v>
      </c>
      <c r="K62" s="96">
        <v>351.91199999999998</v>
      </c>
      <c r="L62" s="28">
        <v>138.63271579331135</v>
      </c>
      <c r="M62" s="94">
        <f t="shared" si="1"/>
        <v>-245344.24958063895</v>
      </c>
      <c r="N62" s="94"/>
      <c r="O62"/>
      <c r="P62"/>
      <c r="Q62"/>
      <c r="R62"/>
      <c r="S62"/>
    </row>
    <row r="63" spans="1:19" x14ac:dyDescent="0.2">
      <c r="A63" s="3">
        <v>39234</v>
      </c>
      <c r="E63" s="94"/>
      <c r="F63" s="94"/>
      <c r="G63" s="95">
        <v>652.29999999999995</v>
      </c>
      <c r="H63" s="94"/>
      <c r="I63" s="94">
        <f t="shared" si="0"/>
        <v>39234</v>
      </c>
      <c r="J63" s="94">
        <f>+'[29]Data Input'!$J70</f>
        <v>5492</v>
      </c>
      <c r="K63" s="96">
        <v>336.24</v>
      </c>
      <c r="L63" s="28">
        <v>138.89566792567766</v>
      </c>
      <c r="M63" s="94">
        <f t="shared" si="1"/>
        <v>-220199.55539148906</v>
      </c>
      <c r="N63" s="94"/>
      <c r="O63"/>
      <c r="P63"/>
      <c r="Q63"/>
      <c r="R63"/>
      <c r="S63"/>
    </row>
    <row r="64" spans="1:19" x14ac:dyDescent="0.2">
      <c r="A64" s="3">
        <v>39264</v>
      </c>
      <c r="E64" s="94"/>
      <c r="F64" s="94"/>
      <c r="G64" s="95">
        <v>659.9</v>
      </c>
      <c r="H64" s="94"/>
      <c r="I64" s="94">
        <f t="shared" si="0"/>
        <v>39264</v>
      </c>
      <c r="J64" s="94">
        <f>+'[29]Data Input'!$J71</f>
        <v>5495</v>
      </c>
      <c r="K64" s="96">
        <v>336.28800000000001</v>
      </c>
      <c r="L64" s="28">
        <v>139.1591188135038</v>
      </c>
      <c r="M64" s="94">
        <f t="shared" si="1"/>
        <v>-184810.72653268464</v>
      </c>
      <c r="N64" s="94"/>
      <c r="O64"/>
      <c r="P64"/>
      <c r="Q64"/>
      <c r="R64"/>
      <c r="S64"/>
    </row>
    <row r="65" spans="1:19" x14ac:dyDescent="0.2">
      <c r="A65" s="3">
        <v>39295</v>
      </c>
      <c r="E65" s="94"/>
      <c r="F65" s="94"/>
      <c r="G65" s="95">
        <v>662.1</v>
      </c>
      <c r="H65" s="94"/>
      <c r="I65" s="94">
        <f t="shared" si="0"/>
        <v>39295</v>
      </c>
      <c r="J65" s="94">
        <f>+'[29]Data Input'!$J72</f>
        <v>5501</v>
      </c>
      <c r="K65" s="96">
        <v>351.91199999999998</v>
      </c>
      <c r="L65" s="28">
        <v>139.42306940280611</v>
      </c>
      <c r="M65" s="94">
        <f t="shared" si="1"/>
        <v>-174566.59186303057</v>
      </c>
      <c r="N65" s="94"/>
      <c r="O65"/>
      <c r="P65"/>
      <c r="Q65"/>
      <c r="R65"/>
      <c r="S65"/>
    </row>
    <row r="66" spans="1:19" x14ac:dyDescent="0.2">
      <c r="A66" s="3">
        <v>39326</v>
      </c>
      <c r="E66" s="94"/>
      <c r="F66" s="94"/>
      <c r="G66" s="95">
        <v>660.7</v>
      </c>
      <c r="H66" s="94"/>
      <c r="I66" s="94">
        <f t="shared" si="0"/>
        <v>39326</v>
      </c>
      <c r="J66" s="94">
        <f>+'[29]Data Input'!$J73</f>
        <v>5510</v>
      </c>
      <c r="K66" s="96">
        <v>303.83999999999997</v>
      </c>
      <c r="L66" s="28">
        <v>139.68752064139528</v>
      </c>
      <c r="M66" s="94">
        <f t="shared" si="1"/>
        <v>-181085.58665281022</v>
      </c>
      <c r="N66" s="94"/>
      <c r="O66"/>
      <c r="P66"/>
      <c r="Q66"/>
      <c r="R66"/>
      <c r="S66"/>
    </row>
    <row r="67" spans="1:19" x14ac:dyDescent="0.2">
      <c r="A67" s="3">
        <v>39356</v>
      </c>
      <c r="E67" s="94"/>
      <c r="F67" s="94"/>
      <c r="G67" s="95">
        <v>662.5</v>
      </c>
      <c r="H67" s="94"/>
      <c r="I67" s="94">
        <f t="shared" si="0"/>
        <v>39356</v>
      </c>
      <c r="J67" s="94">
        <f>+'[29]Data Input'!$J74</f>
        <v>5510</v>
      </c>
      <c r="K67" s="96">
        <v>351.91199999999998</v>
      </c>
      <c r="L67" s="28">
        <v>139.95247347887977</v>
      </c>
      <c r="M67" s="94">
        <f t="shared" si="1"/>
        <v>-172704.02192309359</v>
      </c>
      <c r="N67" s="94"/>
      <c r="O67"/>
      <c r="P67"/>
      <c r="Q67"/>
      <c r="R67"/>
      <c r="S67"/>
    </row>
    <row r="68" spans="1:19" x14ac:dyDescent="0.2">
      <c r="A68" s="3">
        <v>39387</v>
      </c>
      <c r="E68" s="94"/>
      <c r="F68" s="94"/>
      <c r="G68" s="95">
        <v>666.7</v>
      </c>
      <c r="H68" s="94"/>
      <c r="I68" s="94">
        <f t="shared" ref="I68:I131" si="2">A68</f>
        <v>39387</v>
      </c>
      <c r="J68" s="94">
        <f>+'[29]Data Input'!$J75</f>
        <v>5513</v>
      </c>
      <c r="K68" s="96">
        <v>352.08</v>
      </c>
      <c r="L68" s="28">
        <v>140.21792886666915</v>
      </c>
      <c r="M68" s="94">
        <f t="shared" ref="M68:M131" si="3">$P$18+$P$19*C68+$P$20*D68+$P$21*E68+$P$22*F68+$P$23*G68+$P$24*H68</f>
        <v>-153147.03755375417</v>
      </c>
      <c r="N68" s="94"/>
      <c r="O68"/>
      <c r="P68"/>
      <c r="Q68"/>
      <c r="R68"/>
      <c r="S68"/>
    </row>
    <row r="69" spans="1:19" x14ac:dyDescent="0.2">
      <c r="A69" s="3">
        <v>39417</v>
      </c>
      <c r="E69" s="94"/>
      <c r="F69" s="94"/>
      <c r="G69" s="95">
        <v>668.5</v>
      </c>
      <c r="H69" s="94"/>
      <c r="I69" s="94">
        <f t="shared" si="2"/>
        <v>39417</v>
      </c>
      <c r="J69" s="94">
        <f>+'[29]Data Input'!$J76</f>
        <v>5510</v>
      </c>
      <c r="K69" s="96">
        <v>304.29599999999999</v>
      </c>
      <c r="L69" s="28">
        <v>140.48388775797773</v>
      </c>
      <c r="M69" s="94">
        <f t="shared" si="3"/>
        <v>-144765.47282403754</v>
      </c>
      <c r="N69" s="94"/>
      <c r="O69"/>
      <c r="P69"/>
      <c r="Q69"/>
      <c r="R69"/>
      <c r="S69"/>
    </row>
    <row r="70" spans="1:19" x14ac:dyDescent="0.2">
      <c r="A70" s="3">
        <v>39448</v>
      </c>
      <c r="E70" s="94"/>
      <c r="F70" s="94"/>
      <c r="G70" s="95">
        <v>661.4</v>
      </c>
      <c r="H70" s="94"/>
      <c r="I70" s="94">
        <f t="shared" si="2"/>
        <v>39448</v>
      </c>
      <c r="J70" s="94">
        <f>+'[29]Data Input'!$J77</f>
        <v>5512</v>
      </c>
      <c r="K70" s="89">
        <v>352</v>
      </c>
      <c r="L70" s="100">
        <v>140.42521823206457</v>
      </c>
      <c r="M70" s="94">
        <f t="shared" si="3"/>
        <v>-177826.08925792063</v>
      </c>
      <c r="N70" s="94"/>
      <c r="O70"/>
      <c r="P70"/>
      <c r="Q70"/>
      <c r="R70"/>
      <c r="S70"/>
    </row>
    <row r="71" spans="1:19" x14ac:dyDescent="0.2">
      <c r="A71" s="3">
        <v>39479</v>
      </c>
      <c r="E71" s="94"/>
      <c r="F71" s="94"/>
      <c r="G71" s="95">
        <v>656.3</v>
      </c>
      <c r="H71" s="94"/>
      <c r="I71" s="94">
        <f t="shared" si="2"/>
        <v>39479</v>
      </c>
      <c r="J71" s="94">
        <f>+'[29]Data Input'!$J78</f>
        <v>5522</v>
      </c>
      <c r="K71" s="89">
        <v>320</v>
      </c>
      <c r="L71" s="100">
        <v>140.36657320798807</v>
      </c>
      <c r="M71" s="94">
        <f t="shared" si="3"/>
        <v>-201573.85599211836</v>
      </c>
      <c r="N71" s="94"/>
      <c r="O71"/>
      <c r="P71"/>
      <c r="Q71"/>
      <c r="R71"/>
      <c r="S71"/>
    </row>
    <row r="72" spans="1:19" x14ac:dyDescent="0.2">
      <c r="A72" s="3">
        <v>39508</v>
      </c>
      <c r="E72" s="94"/>
      <c r="F72" s="94"/>
      <c r="G72" s="95">
        <v>647</v>
      </c>
      <c r="H72" s="94"/>
      <c r="I72" s="94">
        <f t="shared" si="2"/>
        <v>39508</v>
      </c>
      <c r="J72" s="94">
        <f>+'[29]Data Input'!$J79</f>
        <v>5523</v>
      </c>
      <c r="K72" s="89">
        <v>304</v>
      </c>
      <c r="L72" s="100">
        <v>140.30795267551565</v>
      </c>
      <c r="M72" s="94">
        <f t="shared" si="3"/>
        <v>-244878.60709565459</v>
      </c>
      <c r="N72" s="94"/>
      <c r="O72"/>
      <c r="P72"/>
      <c r="Q72"/>
      <c r="R72"/>
      <c r="S72"/>
    </row>
    <row r="73" spans="1:19" x14ac:dyDescent="0.2">
      <c r="A73" s="3">
        <v>39539</v>
      </c>
      <c r="E73" s="94"/>
      <c r="F73" s="94"/>
      <c r="G73" s="95">
        <v>647.20000000000005</v>
      </c>
      <c r="H73" s="94"/>
      <c r="I73" s="94">
        <f t="shared" si="2"/>
        <v>39539</v>
      </c>
      <c r="J73" s="94">
        <f>+'[29]Data Input'!$J80</f>
        <v>5524</v>
      </c>
      <c r="K73" s="89">
        <v>352</v>
      </c>
      <c r="L73" s="100">
        <v>140.24935662441902</v>
      </c>
      <c r="M73" s="94">
        <f t="shared" si="3"/>
        <v>-243947.32212568587</v>
      </c>
      <c r="N73" s="94"/>
      <c r="O73"/>
      <c r="P73"/>
      <c r="Q73"/>
      <c r="R73"/>
      <c r="S73"/>
    </row>
    <row r="74" spans="1:19" x14ac:dyDescent="0.2">
      <c r="A74" s="3">
        <v>39569</v>
      </c>
      <c r="E74" s="94"/>
      <c r="F74" s="94"/>
      <c r="G74" s="95">
        <v>648.79999999999995</v>
      </c>
      <c r="H74" s="94"/>
      <c r="I74" s="94">
        <f t="shared" si="2"/>
        <v>39569</v>
      </c>
      <c r="J74" s="94">
        <f>+'[29]Data Input'!$J81</f>
        <v>5530</v>
      </c>
      <c r="K74" s="89">
        <v>336</v>
      </c>
      <c r="L74" s="100">
        <v>140.19078504447415</v>
      </c>
      <c r="M74" s="94">
        <f t="shared" si="3"/>
        <v>-236497.04236593843</v>
      </c>
      <c r="N74" s="94"/>
      <c r="O74"/>
      <c r="P74"/>
      <c r="Q74"/>
      <c r="R74"/>
      <c r="S74"/>
    </row>
    <row r="75" spans="1:19" x14ac:dyDescent="0.2">
      <c r="A75" s="3">
        <v>39600</v>
      </c>
      <c r="E75" s="94"/>
      <c r="F75" s="94"/>
      <c r="G75" s="95">
        <v>656.8</v>
      </c>
      <c r="H75" s="94"/>
      <c r="I75" s="94">
        <f t="shared" si="2"/>
        <v>39600</v>
      </c>
      <c r="J75" s="94">
        <f>+'[29]Data Input'!$J82</f>
        <v>5530</v>
      </c>
      <c r="K75" s="89">
        <v>336</v>
      </c>
      <c r="L75" s="100">
        <v>140.13223792546131</v>
      </c>
      <c r="M75" s="94">
        <f t="shared" si="3"/>
        <v>-199245.64356719702</v>
      </c>
      <c r="N75" s="94"/>
      <c r="O75"/>
      <c r="P75"/>
      <c r="Q75"/>
      <c r="R75"/>
      <c r="S75"/>
    </row>
    <row r="76" spans="1:19" x14ac:dyDescent="0.2">
      <c r="A76" s="3">
        <v>39630</v>
      </c>
      <c r="E76" s="94"/>
      <c r="F76" s="94"/>
      <c r="G76" s="95">
        <v>663.6</v>
      </c>
      <c r="H76" s="94"/>
      <c r="I76" s="94">
        <f t="shared" si="2"/>
        <v>39630</v>
      </c>
      <c r="J76" s="94">
        <f>+'[29]Data Input'!$J83</f>
        <v>5537</v>
      </c>
      <c r="K76" s="89">
        <v>352</v>
      </c>
      <c r="L76" s="100">
        <v>140.07371525716499</v>
      </c>
      <c r="M76" s="94">
        <f t="shared" si="3"/>
        <v>-167581.95458826656</v>
      </c>
      <c r="N76" s="94"/>
      <c r="O76"/>
      <c r="P76"/>
      <c r="Q76"/>
      <c r="R76"/>
      <c r="S76"/>
    </row>
    <row r="77" spans="1:19" x14ac:dyDescent="0.2">
      <c r="A77" s="3">
        <v>39661</v>
      </c>
      <c r="E77" s="94"/>
      <c r="F77" s="94"/>
      <c r="G77" s="95">
        <v>666.6</v>
      </c>
      <c r="H77" s="94"/>
      <c r="I77" s="94">
        <f t="shared" si="2"/>
        <v>39661</v>
      </c>
      <c r="J77" s="94">
        <f>+'[29]Data Input'!$J84</f>
        <v>5545</v>
      </c>
      <c r="K77" s="89">
        <v>320</v>
      </c>
      <c r="L77" s="100">
        <v>140.01521702937399</v>
      </c>
      <c r="M77" s="94">
        <f t="shared" si="3"/>
        <v>-153612.68003873853</v>
      </c>
      <c r="N77" s="94"/>
      <c r="O77"/>
      <c r="P77"/>
      <c r="Q77"/>
      <c r="R77"/>
      <c r="S77"/>
    </row>
    <row r="78" spans="1:19" x14ac:dyDescent="0.2">
      <c r="A78" s="3">
        <v>39692</v>
      </c>
      <c r="E78" s="94"/>
      <c r="F78" s="94"/>
      <c r="G78" s="95">
        <v>669.7</v>
      </c>
      <c r="H78" s="94"/>
      <c r="I78" s="94">
        <f t="shared" si="2"/>
        <v>39692</v>
      </c>
      <c r="J78" s="94">
        <f>+'[29]Data Input'!$J85</f>
        <v>5546</v>
      </c>
      <c r="K78" s="89">
        <v>336</v>
      </c>
      <c r="L78" s="100">
        <v>139.95674323188132</v>
      </c>
      <c r="M78" s="94">
        <f t="shared" si="3"/>
        <v>-139177.76300422614</v>
      </c>
      <c r="N78" s="94"/>
      <c r="O78"/>
      <c r="P78"/>
      <c r="Q78"/>
      <c r="R78"/>
      <c r="S78"/>
    </row>
    <row r="79" spans="1:19" x14ac:dyDescent="0.2">
      <c r="A79" s="3">
        <v>39722</v>
      </c>
      <c r="E79" s="94"/>
      <c r="F79" s="94"/>
      <c r="G79" s="95">
        <v>673</v>
      </c>
      <c r="H79" s="94"/>
      <c r="I79" s="94">
        <f t="shared" si="2"/>
        <v>39722</v>
      </c>
      <c r="J79" s="94">
        <f>+'[29]Data Input'!$J86</f>
        <v>5556</v>
      </c>
      <c r="K79" s="89">
        <v>352</v>
      </c>
      <c r="L79" s="100">
        <v>139.89829385448431</v>
      </c>
      <c r="M79" s="94">
        <f t="shared" si="3"/>
        <v>-123811.5609997455</v>
      </c>
      <c r="N79" s="94"/>
      <c r="O79"/>
      <c r="P79"/>
      <c r="Q79"/>
      <c r="R79"/>
      <c r="S79"/>
    </row>
    <row r="80" spans="1:19" x14ac:dyDescent="0.2">
      <c r="A80" s="3">
        <v>39753</v>
      </c>
      <c r="E80" s="94"/>
      <c r="F80" s="94"/>
      <c r="G80" s="95">
        <v>676.9</v>
      </c>
      <c r="H80" s="94"/>
      <c r="I80" s="94">
        <f t="shared" si="2"/>
        <v>39753</v>
      </c>
      <c r="J80" s="94">
        <f>+'[29]Data Input'!$J87</f>
        <v>5559</v>
      </c>
      <c r="K80" s="89">
        <v>304</v>
      </c>
      <c r="L80" s="100">
        <v>139.83986888698453</v>
      </c>
      <c r="M80" s="94">
        <f t="shared" si="3"/>
        <v>-105651.50408535916</v>
      </c>
      <c r="N80" s="94"/>
      <c r="O80"/>
      <c r="P80"/>
      <c r="Q80"/>
      <c r="R80"/>
      <c r="S80"/>
    </row>
    <row r="81" spans="1:40" x14ac:dyDescent="0.2">
      <c r="A81" s="3">
        <v>39783</v>
      </c>
      <c r="E81" s="94"/>
      <c r="F81" s="94"/>
      <c r="G81" s="95">
        <v>673.6</v>
      </c>
      <c r="H81" s="94"/>
      <c r="I81" s="94">
        <f t="shared" si="2"/>
        <v>39783</v>
      </c>
      <c r="J81" s="94">
        <f>+'[29]Data Input'!$J88</f>
        <v>5562</v>
      </c>
      <c r="K81" s="89">
        <v>336</v>
      </c>
      <c r="L81" s="100">
        <v>139.78146831918784</v>
      </c>
      <c r="M81" s="94">
        <f t="shared" si="3"/>
        <v>-121017.7060898398</v>
      </c>
      <c r="N81" s="94"/>
      <c r="O81"/>
      <c r="P81"/>
      <c r="Q81"/>
      <c r="R81"/>
      <c r="S81"/>
    </row>
    <row r="82" spans="1:40" s="72" customFormat="1" x14ac:dyDescent="0.2">
      <c r="A82" s="3">
        <v>39814</v>
      </c>
      <c r="B82" s="22"/>
      <c r="C82" s="19"/>
      <c r="D82" s="19"/>
      <c r="E82" s="94"/>
      <c r="F82" s="94"/>
      <c r="G82" s="95">
        <v>662.3</v>
      </c>
      <c r="H82" s="94"/>
      <c r="I82" s="94">
        <f t="shared" si="2"/>
        <v>39814</v>
      </c>
      <c r="J82" s="94">
        <f>+'[29]Data Input'!$J89</f>
        <v>5565</v>
      </c>
      <c r="K82" s="89">
        <v>336</v>
      </c>
      <c r="L82" s="100">
        <v>139.37911160687111</v>
      </c>
      <c r="M82" s="94">
        <f t="shared" si="3"/>
        <v>-173635.30689306231</v>
      </c>
      <c r="N82" s="94"/>
      <c r="O82" s="94"/>
      <c r="P82" s="94"/>
      <c r="Q82" s="96"/>
      <c r="R82" s="38"/>
      <c r="S82" s="89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101"/>
      <c r="AJ82" s="101"/>
      <c r="AK82" s="101"/>
      <c r="AL82" s="101"/>
      <c r="AM82" s="101"/>
      <c r="AN82" s="101"/>
    </row>
    <row r="83" spans="1:40" x14ac:dyDescent="0.2">
      <c r="A83" s="3">
        <v>39845</v>
      </c>
      <c r="E83" s="94"/>
      <c r="F83" s="94"/>
      <c r="G83" s="95">
        <v>649.29999999999995</v>
      </c>
      <c r="H83" s="94"/>
      <c r="I83" s="94">
        <f t="shared" si="2"/>
        <v>39845</v>
      </c>
      <c r="J83" s="94">
        <f>+'[29]Data Input'!$J90</f>
        <v>5575</v>
      </c>
      <c r="K83" s="89">
        <v>304</v>
      </c>
      <c r="L83" s="100">
        <v>138.97791306613385</v>
      </c>
      <c r="M83" s="94">
        <f t="shared" si="3"/>
        <v>-234168.82994101709</v>
      </c>
      <c r="N83" s="94"/>
      <c r="O83" s="94"/>
      <c r="P83" s="94"/>
      <c r="Q83" s="96"/>
      <c r="R83" s="38"/>
    </row>
    <row r="84" spans="1:40" x14ac:dyDescent="0.2">
      <c r="A84" s="3">
        <v>39873</v>
      </c>
      <c r="E84" s="94"/>
      <c r="F84" s="94"/>
      <c r="G84" s="95">
        <v>636.29999999999995</v>
      </c>
      <c r="H84" s="94"/>
      <c r="I84" s="94">
        <f t="shared" si="2"/>
        <v>39873</v>
      </c>
      <c r="J84" s="94">
        <f>+'[29]Data Input'!$J91</f>
        <v>5569</v>
      </c>
      <c r="K84" s="89">
        <v>352</v>
      </c>
      <c r="L84" s="100">
        <v>138.57786936321438</v>
      </c>
      <c r="M84" s="94">
        <f t="shared" si="3"/>
        <v>-294702.3529889714</v>
      </c>
      <c r="N84" s="94"/>
      <c r="O84" s="94"/>
      <c r="P84" s="94"/>
      <c r="Q84" s="96"/>
      <c r="R84" s="38"/>
    </row>
    <row r="85" spans="1:40" x14ac:dyDescent="0.2">
      <c r="A85" s="3">
        <v>39904</v>
      </c>
      <c r="E85" s="94"/>
      <c r="F85" s="94"/>
      <c r="G85" s="95">
        <v>632.20000000000005</v>
      </c>
      <c r="H85" s="94"/>
      <c r="I85" s="94">
        <f t="shared" si="2"/>
        <v>39904</v>
      </c>
      <c r="J85" s="94">
        <f>+'[29]Data Input'!$J92</f>
        <v>5572</v>
      </c>
      <c r="K85" s="89">
        <v>320</v>
      </c>
      <c r="L85" s="100">
        <v>138.17897717394706</v>
      </c>
      <c r="M85" s="94">
        <f t="shared" si="3"/>
        <v>-313793.69487332599</v>
      </c>
      <c r="N85" s="94"/>
      <c r="O85" s="94"/>
      <c r="P85" s="94"/>
      <c r="Q85" s="96"/>
      <c r="R85" s="38"/>
    </row>
    <row r="86" spans="1:40" x14ac:dyDescent="0.2">
      <c r="A86" s="3">
        <v>39934</v>
      </c>
      <c r="E86" s="94"/>
      <c r="F86" s="94"/>
      <c r="G86" s="95">
        <v>631.70000000000005</v>
      </c>
      <c r="H86" s="94"/>
      <c r="I86" s="94">
        <f t="shared" si="2"/>
        <v>39934</v>
      </c>
      <c r="J86" s="94">
        <f>+'[29]Data Input'!$J93</f>
        <v>5573</v>
      </c>
      <c r="K86" s="89">
        <v>320</v>
      </c>
      <c r="L86" s="100">
        <v>137.78123318373483</v>
      </c>
      <c r="M86" s="94">
        <f t="shared" si="3"/>
        <v>-316121.90729824733</v>
      </c>
      <c r="N86" s="94"/>
      <c r="O86" s="94"/>
      <c r="P86" s="94"/>
      <c r="Q86" s="96"/>
      <c r="R86" s="38"/>
    </row>
    <row r="87" spans="1:40" x14ac:dyDescent="0.2">
      <c r="A87" s="3">
        <v>39965</v>
      </c>
      <c r="E87" s="94"/>
      <c r="F87" s="94"/>
      <c r="G87" s="95">
        <v>642.70000000000005</v>
      </c>
      <c r="H87" s="94"/>
      <c r="I87" s="94">
        <f t="shared" si="2"/>
        <v>39965</v>
      </c>
      <c r="J87" s="94">
        <f>+'[29]Data Input'!$J94</f>
        <v>5576</v>
      </c>
      <c r="K87" s="89">
        <v>352</v>
      </c>
      <c r="L87" s="100">
        <v>137.38463408752156</v>
      </c>
      <c r="M87" s="94">
        <f t="shared" si="3"/>
        <v>-264901.2339499779</v>
      </c>
      <c r="N87" s="94"/>
      <c r="O87" s="94"/>
      <c r="P87" s="94"/>
      <c r="Q87" s="96"/>
      <c r="R87" s="38"/>
    </row>
    <row r="88" spans="1:40" x14ac:dyDescent="0.2">
      <c r="A88" s="3">
        <v>39995</v>
      </c>
      <c r="E88" s="94"/>
      <c r="F88" s="94"/>
      <c r="G88" s="95">
        <v>650</v>
      </c>
      <c r="H88" s="94"/>
      <c r="I88" s="94">
        <f t="shared" si="2"/>
        <v>39995</v>
      </c>
      <c r="J88" s="94">
        <f>+'[29]Data Input'!$J95</f>
        <v>5584</v>
      </c>
      <c r="K88" s="89">
        <v>352</v>
      </c>
      <c r="L88" s="100">
        <v>136.98917658976464</v>
      </c>
      <c r="M88" s="94">
        <f t="shared" si="3"/>
        <v>-230909.33254612703</v>
      </c>
      <c r="N88" s="94"/>
      <c r="O88" s="94"/>
      <c r="P88" s="94"/>
      <c r="Q88" s="96"/>
      <c r="R88" s="38"/>
    </row>
    <row r="89" spans="1:40" x14ac:dyDescent="0.2">
      <c r="A89" s="3">
        <v>40026</v>
      </c>
      <c r="E89" s="94"/>
      <c r="F89" s="94"/>
      <c r="G89" s="95">
        <v>655.29999999999995</v>
      </c>
      <c r="H89" s="94"/>
      <c r="I89" s="94">
        <f t="shared" si="2"/>
        <v>40026</v>
      </c>
      <c r="J89" s="94">
        <f>+'[29]Data Input'!$J96</f>
        <v>5587</v>
      </c>
      <c r="K89" s="89">
        <v>320</v>
      </c>
      <c r="L89" s="100">
        <v>136.59485740440758</v>
      </c>
      <c r="M89" s="94">
        <f t="shared" si="3"/>
        <v>-206230.28084196104</v>
      </c>
      <c r="N89" s="94"/>
      <c r="O89" s="94"/>
      <c r="P89" s="94"/>
      <c r="Q89" s="96"/>
      <c r="R89" s="38"/>
    </row>
    <row r="90" spans="1:40" x14ac:dyDescent="0.2">
      <c r="A90" s="3">
        <v>40057</v>
      </c>
      <c r="E90" s="94"/>
      <c r="F90" s="94"/>
      <c r="G90" s="95">
        <v>654.9</v>
      </c>
      <c r="H90" s="94"/>
      <c r="I90" s="94">
        <f t="shared" si="2"/>
        <v>40057</v>
      </c>
      <c r="J90" s="94">
        <f>+'[29]Data Input'!$J97</f>
        <v>5593</v>
      </c>
      <c r="K90" s="89">
        <v>336</v>
      </c>
      <c r="L90" s="100">
        <v>136.20167325485272</v>
      </c>
      <c r="M90" s="94">
        <f t="shared" si="3"/>
        <v>-208092.85078189801</v>
      </c>
      <c r="N90" s="94"/>
      <c r="O90" s="94"/>
      <c r="P90" s="94"/>
      <c r="Q90" s="96"/>
      <c r="R90" s="38"/>
    </row>
    <row r="91" spans="1:40" x14ac:dyDescent="0.2">
      <c r="A91" s="3">
        <v>40087</v>
      </c>
      <c r="E91" s="94"/>
      <c r="F91" s="94"/>
      <c r="G91" s="95">
        <v>656.6</v>
      </c>
      <c r="H91" s="94"/>
      <c r="I91" s="94">
        <f t="shared" si="2"/>
        <v>40087</v>
      </c>
      <c r="J91" s="94">
        <f>+'[29]Data Input'!$J98</f>
        <v>5599</v>
      </c>
      <c r="K91" s="89">
        <v>336</v>
      </c>
      <c r="L91" s="100">
        <v>135.80962087393394</v>
      </c>
      <c r="M91" s="94">
        <f t="shared" si="3"/>
        <v>-200176.92853716528</v>
      </c>
      <c r="N91" s="94"/>
      <c r="O91" s="94"/>
      <c r="P91" s="94"/>
      <c r="Q91" s="96"/>
      <c r="R91" s="38"/>
    </row>
    <row r="92" spans="1:40" x14ac:dyDescent="0.2">
      <c r="A92" s="3">
        <v>40118</v>
      </c>
      <c r="E92" s="94"/>
      <c r="F92" s="94"/>
      <c r="G92" s="95">
        <v>654.79999999999995</v>
      </c>
      <c r="H92" s="94"/>
      <c r="I92" s="94">
        <f t="shared" si="2"/>
        <v>40118</v>
      </c>
      <c r="J92" s="94">
        <f>+'[29]Data Input'!$J99</f>
        <v>5602</v>
      </c>
      <c r="K92" s="89">
        <v>320</v>
      </c>
      <c r="L92" s="100">
        <v>135.41869700388958</v>
      </c>
      <c r="M92" s="94">
        <f t="shared" si="3"/>
        <v>-208558.49326688237</v>
      </c>
      <c r="N92" s="94"/>
      <c r="O92" s="94"/>
      <c r="P92" s="94"/>
      <c r="Q92" s="96"/>
      <c r="R92" s="38"/>
    </row>
    <row r="93" spans="1:40" s="26" customFormat="1" x14ac:dyDescent="0.2">
      <c r="A93" s="3">
        <v>40148</v>
      </c>
      <c r="B93" s="22"/>
      <c r="C93" s="19"/>
      <c r="D93" s="19"/>
      <c r="E93" s="94"/>
      <c r="F93" s="94"/>
      <c r="G93" s="95">
        <v>652.29999999999995</v>
      </c>
      <c r="H93" s="94"/>
      <c r="I93" s="94">
        <f t="shared" si="2"/>
        <v>40148</v>
      </c>
      <c r="J93" s="94">
        <f>+'[29]Data Input'!$J100</f>
        <v>5603</v>
      </c>
      <c r="K93" s="89">
        <v>352</v>
      </c>
      <c r="L93" s="100">
        <v>135.02889839633545</v>
      </c>
      <c r="M93" s="94">
        <f t="shared" si="3"/>
        <v>-220199.55539148906</v>
      </c>
      <c r="N93" s="94"/>
      <c r="O93" s="94"/>
      <c r="P93" s="94"/>
      <c r="Q93" s="96"/>
      <c r="R93" s="38"/>
      <c r="S93" s="89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 s="22"/>
      <c r="AJ93" s="22"/>
      <c r="AK93" s="22"/>
      <c r="AL93" s="22"/>
      <c r="AM93" s="22"/>
      <c r="AN93" s="22"/>
    </row>
    <row r="94" spans="1:40" x14ac:dyDescent="0.2">
      <c r="A94" s="3">
        <v>40179</v>
      </c>
      <c r="E94" s="94"/>
      <c r="F94" s="94"/>
      <c r="G94" s="95">
        <v>646</v>
      </c>
      <c r="H94" s="94"/>
      <c r="I94" s="94">
        <f t="shared" si="2"/>
        <v>40179</v>
      </c>
      <c r="J94" s="94">
        <f>+'[29]Data Input'!$J101</f>
        <v>5602</v>
      </c>
      <c r="K94" s="89">
        <v>320</v>
      </c>
      <c r="L94" s="100">
        <v>135.32901731143812</v>
      </c>
      <c r="M94" s="94">
        <f t="shared" si="3"/>
        <v>-249535.03194549726</v>
      </c>
      <c r="N94" s="94"/>
      <c r="O94" s="94"/>
      <c r="P94" s="94"/>
      <c r="Q94" s="96"/>
      <c r="R94" s="38"/>
    </row>
    <row r="95" spans="1:40" x14ac:dyDescent="0.2">
      <c r="A95" s="3">
        <v>40210</v>
      </c>
      <c r="E95" s="94"/>
      <c r="F95" s="94"/>
      <c r="G95" s="95">
        <v>642.29999999999995</v>
      </c>
      <c r="H95" s="94"/>
      <c r="I95" s="94">
        <f t="shared" si="2"/>
        <v>40210</v>
      </c>
      <c r="J95" s="94">
        <f>+'[29]Data Input'!$J102</f>
        <v>5611</v>
      </c>
      <c r="K95" s="89">
        <v>304</v>
      </c>
      <c r="L95" s="100">
        <v>135.62980327903304</v>
      </c>
      <c r="M95" s="94">
        <f t="shared" si="3"/>
        <v>-266763.80388991535</v>
      </c>
      <c r="N95" s="94"/>
      <c r="O95" s="94"/>
      <c r="P95" s="94"/>
      <c r="Q95" s="96"/>
      <c r="R95" s="38"/>
    </row>
    <row r="96" spans="1:40" x14ac:dyDescent="0.2">
      <c r="A96" s="3">
        <v>40238</v>
      </c>
      <c r="E96" s="94"/>
      <c r="F96" s="94"/>
      <c r="G96" s="95">
        <v>639.5</v>
      </c>
      <c r="H96" s="94"/>
      <c r="I96" s="94">
        <f t="shared" si="2"/>
        <v>40238</v>
      </c>
      <c r="J96" s="94">
        <f>+'[29]Data Input'!$J103</f>
        <v>5615</v>
      </c>
      <c r="K96" s="89">
        <v>368</v>
      </c>
      <c r="L96" s="100">
        <v>135.9312577817293</v>
      </c>
      <c r="M96" s="94">
        <f t="shared" si="3"/>
        <v>-279801.79346947465</v>
      </c>
      <c r="N96" s="94"/>
      <c r="O96" s="94"/>
      <c r="P96" s="94"/>
      <c r="Q96" s="96"/>
      <c r="R96" s="38"/>
    </row>
    <row r="97" spans="1:18" x14ac:dyDescent="0.2">
      <c r="A97" s="3">
        <v>40269</v>
      </c>
      <c r="E97" s="94"/>
      <c r="F97" s="94"/>
      <c r="G97" s="95">
        <v>643.79999999999995</v>
      </c>
      <c r="H97" s="94"/>
      <c r="I97" s="94">
        <f t="shared" si="2"/>
        <v>40269</v>
      </c>
      <c r="J97" s="94">
        <f>+'[29]Data Input'!$J104</f>
        <v>5620</v>
      </c>
      <c r="K97" s="89">
        <v>320</v>
      </c>
      <c r="L97" s="100">
        <v>136.23338230543126</v>
      </c>
      <c r="M97" s="94">
        <f t="shared" si="3"/>
        <v>-259779.16661515133</v>
      </c>
      <c r="N97" s="94"/>
      <c r="O97" s="94"/>
      <c r="P97" s="94"/>
      <c r="Q97" s="96"/>
      <c r="R97" s="38"/>
    </row>
    <row r="98" spans="1:18" x14ac:dyDescent="0.2">
      <c r="A98" s="3">
        <v>40299</v>
      </c>
      <c r="E98" s="94"/>
      <c r="F98" s="94"/>
      <c r="G98" s="95">
        <v>653.4</v>
      </c>
      <c r="H98" s="94"/>
      <c r="I98" s="94">
        <f t="shared" si="2"/>
        <v>40299</v>
      </c>
      <c r="J98" s="94">
        <f>+'[29]Data Input'!$J105</f>
        <v>5626</v>
      </c>
      <c r="K98" s="89">
        <v>320</v>
      </c>
      <c r="L98" s="100">
        <v>136.53617833934589</v>
      </c>
      <c r="M98" s="94">
        <f t="shared" si="3"/>
        <v>-215077.48805666203</v>
      </c>
      <c r="N98" s="94"/>
      <c r="O98" s="94"/>
      <c r="P98" s="94"/>
      <c r="Q98" s="96"/>
      <c r="R98" s="38"/>
    </row>
    <row r="99" spans="1:18" x14ac:dyDescent="0.2">
      <c r="A99" s="3">
        <v>40330</v>
      </c>
      <c r="E99" s="94"/>
      <c r="F99" s="94"/>
      <c r="G99" s="95">
        <v>668.5</v>
      </c>
      <c r="H99" s="94"/>
      <c r="I99" s="94">
        <f t="shared" si="2"/>
        <v>40330</v>
      </c>
      <c r="J99" s="94">
        <f>+'[29]Data Input'!$J106</f>
        <v>5627</v>
      </c>
      <c r="K99" s="89">
        <v>352</v>
      </c>
      <c r="L99" s="100">
        <v>136.83964737599013</v>
      </c>
      <c r="M99" s="94">
        <f t="shared" si="3"/>
        <v>-144765.47282403754</v>
      </c>
      <c r="N99" s="94"/>
      <c r="O99" s="94"/>
      <c r="P99" s="94"/>
      <c r="Q99" s="96"/>
      <c r="R99" s="38"/>
    </row>
    <row r="100" spans="1:18" x14ac:dyDescent="0.2">
      <c r="A100" s="3">
        <v>40360</v>
      </c>
      <c r="E100" s="94"/>
      <c r="F100" s="94"/>
      <c r="G100" s="95">
        <v>680.1</v>
      </c>
      <c r="H100" s="94"/>
      <c r="I100" s="94">
        <f t="shared" si="2"/>
        <v>40360</v>
      </c>
      <c r="J100" s="94">
        <f>+'[29]Data Input'!$J107</f>
        <v>5631</v>
      </c>
      <c r="K100" s="89">
        <v>336</v>
      </c>
      <c r="L100" s="100">
        <v>137.14379091119821</v>
      </c>
      <c r="M100" s="94">
        <f t="shared" si="3"/>
        <v>-90750.944565862417</v>
      </c>
      <c r="N100" s="94"/>
      <c r="O100" s="94"/>
      <c r="P100" s="94"/>
      <c r="Q100" s="96"/>
      <c r="R100" s="38"/>
    </row>
    <row r="101" spans="1:18" x14ac:dyDescent="0.2">
      <c r="A101" s="3">
        <v>40391</v>
      </c>
      <c r="E101" s="94"/>
      <c r="F101" s="94"/>
      <c r="G101" s="95">
        <v>683.1</v>
      </c>
      <c r="H101" s="94"/>
      <c r="I101" s="94">
        <f t="shared" si="2"/>
        <v>40391</v>
      </c>
      <c r="J101" s="94">
        <f>+'[29]Data Input'!$J108</f>
        <v>5631</v>
      </c>
      <c r="K101" s="89">
        <v>336</v>
      </c>
      <c r="L101" s="100">
        <v>137.44861044412903</v>
      </c>
      <c r="M101" s="94">
        <f t="shared" si="3"/>
        <v>-76781.670016334392</v>
      </c>
      <c r="N101" s="94"/>
      <c r="O101" s="94"/>
      <c r="P101" s="94"/>
      <c r="Q101" s="96"/>
      <c r="R101" s="38"/>
    </row>
    <row r="102" spans="1:18" x14ac:dyDescent="0.2">
      <c r="A102" s="3">
        <v>40422</v>
      </c>
      <c r="E102" s="94"/>
      <c r="F102" s="94"/>
      <c r="G102" s="95">
        <v>677.1</v>
      </c>
      <c r="H102" s="94"/>
      <c r="I102" s="94">
        <f t="shared" si="2"/>
        <v>40422</v>
      </c>
      <c r="J102" s="94">
        <f>+'[29]Data Input'!$J109</f>
        <v>5632</v>
      </c>
      <c r="K102" s="89">
        <v>336</v>
      </c>
      <c r="L102" s="100">
        <v>137.75410747727361</v>
      </c>
      <c r="M102" s="94">
        <f t="shared" si="3"/>
        <v>-104720.21911539044</v>
      </c>
      <c r="N102" s="94"/>
      <c r="O102" s="94"/>
      <c r="P102" s="94"/>
      <c r="Q102" s="96"/>
      <c r="R102" s="38"/>
    </row>
    <row r="103" spans="1:18" x14ac:dyDescent="0.2">
      <c r="A103" s="3">
        <v>40452</v>
      </c>
      <c r="E103" s="94"/>
      <c r="F103" s="94"/>
      <c r="G103" s="95">
        <v>670.2</v>
      </c>
      <c r="H103" s="94"/>
      <c r="I103" s="94">
        <f t="shared" si="2"/>
        <v>40452</v>
      </c>
      <c r="J103" s="94">
        <f>+'[29]Data Input'!$J110</f>
        <v>5690</v>
      </c>
      <c r="K103" s="89">
        <v>320</v>
      </c>
      <c r="L103" s="100">
        <v>138.06028351646239</v>
      </c>
      <c r="M103" s="94">
        <f t="shared" si="3"/>
        <v>-136849.55057930481</v>
      </c>
      <c r="N103" s="94"/>
      <c r="O103" s="94"/>
      <c r="P103" s="94"/>
      <c r="Q103" s="96"/>
      <c r="R103" s="38"/>
    </row>
    <row r="104" spans="1:18" x14ac:dyDescent="0.2">
      <c r="A104" s="3">
        <v>40483</v>
      </c>
      <c r="E104" s="94"/>
      <c r="F104" s="94"/>
      <c r="G104" s="95">
        <v>668.1</v>
      </c>
      <c r="H104" s="94"/>
      <c r="I104" s="94">
        <f t="shared" si="2"/>
        <v>40483</v>
      </c>
      <c r="J104" s="94">
        <f>+'[29]Data Input'!$J111</f>
        <v>5691</v>
      </c>
      <c r="K104" s="89">
        <v>336</v>
      </c>
      <c r="L104" s="100">
        <v>138.36714007087275</v>
      </c>
      <c r="M104" s="94">
        <f t="shared" si="3"/>
        <v>-146628.04276397452</v>
      </c>
      <c r="N104" s="94"/>
      <c r="O104" s="94"/>
      <c r="P104" s="94"/>
      <c r="Q104" s="96"/>
      <c r="R104" s="38"/>
    </row>
    <row r="105" spans="1:18" x14ac:dyDescent="0.2">
      <c r="A105" s="3">
        <v>40513</v>
      </c>
      <c r="E105" s="94"/>
      <c r="F105" s="94"/>
      <c r="G105" s="95">
        <v>666.9</v>
      </c>
      <c r="H105" s="94"/>
      <c r="I105" s="94">
        <f t="shared" si="2"/>
        <v>40513</v>
      </c>
      <c r="J105" s="94">
        <f>+'[29]Data Input'!$J112</f>
        <v>5692</v>
      </c>
      <c r="K105" s="89">
        <v>368</v>
      </c>
      <c r="L105" s="100">
        <v>138.67467865303649</v>
      </c>
      <c r="M105" s="94">
        <f t="shared" si="3"/>
        <v>-152215.75258378591</v>
      </c>
      <c r="N105" s="94"/>
      <c r="O105" s="94"/>
      <c r="P105" s="94"/>
      <c r="Q105" s="96"/>
      <c r="R105" s="38"/>
    </row>
    <row r="106" spans="1:18" x14ac:dyDescent="0.2">
      <c r="A106" s="3">
        <v>40544</v>
      </c>
      <c r="E106" s="94"/>
      <c r="F106" s="102"/>
      <c r="G106" s="95">
        <v>663.9</v>
      </c>
      <c r="H106" s="94"/>
      <c r="I106" s="94">
        <f t="shared" si="2"/>
        <v>40544</v>
      </c>
      <c r="J106" s="94">
        <f>+'[29]Data Input'!$J113</f>
        <v>5693</v>
      </c>
      <c r="K106" s="89">
        <v>336</v>
      </c>
      <c r="L106" s="100">
        <v>139.03916243618784</v>
      </c>
      <c r="M106" s="94">
        <f t="shared" si="3"/>
        <v>-166185.02713331394</v>
      </c>
      <c r="N106" s="94"/>
      <c r="O106" s="94"/>
      <c r="P106" s="94"/>
      <c r="Q106" s="96"/>
      <c r="R106" s="38"/>
    </row>
    <row r="107" spans="1:18" x14ac:dyDescent="0.2">
      <c r="A107" s="3">
        <v>40575</v>
      </c>
      <c r="E107" s="94"/>
      <c r="F107" s="102"/>
      <c r="G107" s="95">
        <v>666.1</v>
      </c>
      <c r="H107" s="94"/>
      <c r="I107" s="94">
        <f t="shared" si="2"/>
        <v>40575</v>
      </c>
      <c r="J107" s="94">
        <f>+'[29]Data Input'!$J114</f>
        <v>5695</v>
      </c>
      <c r="K107" s="89">
        <v>304</v>
      </c>
      <c r="L107" s="100">
        <v>139.40460420553731</v>
      </c>
      <c r="M107" s="94">
        <f t="shared" si="3"/>
        <v>-155940.89246365987</v>
      </c>
      <c r="N107" s="94"/>
      <c r="O107" s="94"/>
      <c r="P107" s="94"/>
      <c r="Q107" s="96"/>
      <c r="R107" s="38"/>
    </row>
    <row r="108" spans="1:18" x14ac:dyDescent="0.2">
      <c r="A108" s="3">
        <v>40603</v>
      </c>
      <c r="E108" s="94"/>
      <c r="F108" s="102"/>
      <c r="G108" s="95">
        <v>671.2</v>
      </c>
      <c r="H108" s="94"/>
      <c r="I108" s="94">
        <f t="shared" si="2"/>
        <v>40603</v>
      </c>
      <c r="J108" s="94">
        <f>+'[29]Data Input'!$J115</f>
        <v>5703</v>
      </c>
      <c r="K108" s="89">
        <v>368</v>
      </c>
      <c r="L108" s="100">
        <v>139.77100647899545</v>
      </c>
      <c r="M108" s="94">
        <f t="shared" si="3"/>
        <v>-132193.12572946213</v>
      </c>
      <c r="N108" s="94"/>
      <c r="O108" s="94"/>
      <c r="P108" s="94"/>
      <c r="Q108" s="96"/>
      <c r="R108" s="38"/>
    </row>
    <row r="109" spans="1:18" x14ac:dyDescent="0.2">
      <c r="A109" s="3">
        <v>40634</v>
      </c>
      <c r="E109" s="94"/>
      <c r="F109" s="102"/>
      <c r="G109" s="95">
        <v>679.9</v>
      </c>
      <c r="H109" s="94"/>
      <c r="I109" s="94">
        <f t="shared" si="2"/>
        <v>40634</v>
      </c>
      <c r="J109" s="94">
        <f>+'[29]Data Input'!$J116</f>
        <v>5707</v>
      </c>
      <c r="K109" s="89">
        <v>320</v>
      </c>
      <c r="L109" s="100">
        <v>140.13837178109071</v>
      </c>
      <c r="M109" s="94">
        <f t="shared" si="3"/>
        <v>-91682.229535831138</v>
      </c>
      <c r="N109" s="94"/>
      <c r="O109" s="94"/>
      <c r="P109" s="94"/>
      <c r="Q109" s="96"/>
      <c r="R109" s="38"/>
    </row>
    <row r="110" spans="1:18" x14ac:dyDescent="0.2">
      <c r="A110" s="3">
        <v>40664</v>
      </c>
      <c r="E110" s="94"/>
      <c r="F110" s="102"/>
      <c r="G110" s="95">
        <v>685.8</v>
      </c>
      <c r="H110" s="94"/>
      <c r="I110" s="94">
        <f t="shared" si="2"/>
        <v>40664</v>
      </c>
      <c r="J110" s="94">
        <f>+'[29]Data Input'!$J117</f>
        <v>5708</v>
      </c>
      <c r="K110" s="89">
        <v>336</v>
      </c>
      <c r="L110" s="100">
        <v>140.50670264298682</v>
      </c>
      <c r="M110" s="94">
        <f t="shared" si="3"/>
        <v>-64209.322921759449</v>
      </c>
      <c r="N110" s="94"/>
      <c r="O110" s="94"/>
      <c r="P110" s="94"/>
      <c r="Q110" s="96"/>
      <c r="R110" s="38"/>
    </row>
    <row r="111" spans="1:18" x14ac:dyDescent="0.2">
      <c r="A111" s="3">
        <v>40695</v>
      </c>
      <c r="E111" s="94"/>
      <c r="F111" s="102"/>
      <c r="G111" s="95">
        <v>697.1</v>
      </c>
      <c r="H111" s="94"/>
      <c r="I111" s="94">
        <f t="shared" si="2"/>
        <v>40695</v>
      </c>
      <c r="J111" s="94">
        <f>+'[29]Data Input'!$J118</f>
        <v>5711</v>
      </c>
      <c r="K111" s="89">
        <v>352</v>
      </c>
      <c r="L111" s="100">
        <v>140.87600160250034</v>
      </c>
      <c r="M111" s="94">
        <f t="shared" si="3"/>
        <v>-11591.722118537407</v>
      </c>
      <c r="N111" s="94"/>
      <c r="O111" s="94"/>
      <c r="P111" s="94"/>
      <c r="Q111" s="96"/>
      <c r="R111" s="38"/>
    </row>
    <row r="112" spans="1:18" x14ac:dyDescent="0.2">
      <c r="A112" s="3">
        <v>40725</v>
      </c>
      <c r="E112" s="94"/>
      <c r="F112" s="102"/>
      <c r="G112" s="95">
        <v>707.5</v>
      </c>
      <c r="H112" s="94"/>
      <c r="I112" s="94">
        <f t="shared" si="2"/>
        <v>40725</v>
      </c>
      <c r="J112" s="94">
        <f>+'[29]Data Input'!$J119</f>
        <v>5710</v>
      </c>
      <c r="K112" s="89">
        <v>320</v>
      </c>
      <c r="L112" s="100">
        <v>141.24627120411799</v>
      </c>
      <c r="M112" s="94">
        <f t="shared" si="3"/>
        <v>36835.09631982632</v>
      </c>
      <c r="N112" s="94"/>
      <c r="O112" s="94"/>
      <c r="P112" s="94"/>
      <c r="Q112" s="96"/>
      <c r="R112" s="38"/>
    </row>
    <row r="113" spans="1:18" x14ac:dyDescent="0.2">
      <c r="A113" s="3">
        <v>40756</v>
      </c>
      <c r="E113" s="94"/>
      <c r="F113" s="102"/>
      <c r="G113" s="95">
        <v>708.3</v>
      </c>
      <c r="H113" s="94"/>
      <c r="I113" s="94">
        <f t="shared" si="2"/>
        <v>40756</v>
      </c>
      <c r="J113" s="94">
        <f>+'[29]Data Input'!$J120</f>
        <v>5716</v>
      </c>
      <c r="K113" s="89">
        <v>352</v>
      </c>
      <c r="L113" s="100">
        <v>141.61751399901428</v>
      </c>
      <c r="M113" s="94">
        <f t="shared" si="3"/>
        <v>40560.236199700274</v>
      </c>
      <c r="N113" s="94"/>
      <c r="O113" s="94"/>
      <c r="P113" s="94"/>
      <c r="Q113" s="96"/>
      <c r="R113" s="38"/>
    </row>
    <row r="114" spans="1:18" x14ac:dyDescent="0.2">
      <c r="A114" s="3">
        <v>40787</v>
      </c>
      <c r="E114" s="94"/>
      <c r="F114" s="102"/>
      <c r="G114" s="95">
        <v>700.8</v>
      </c>
      <c r="H114" s="94"/>
      <c r="I114" s="94">
        <f t="shared" si="2"/>
        <v>40787</v>
      </c>
      <c r="J114" s="94">
        <f>+'[29]Data Input'!$J121</f>
        <v>5718</v>
      </c>
      <c r="K114" s="89">
        <v>336</v>
      </c>
      <c r="L114" s="100">
        <v>141.98973254506907</v>
      </c>
      <c r="M114" s="94">
        <f t="shared" si="3"/>
        <v>5637.0498258802108</v>
      </c>
      <c r="N114" s="94"/>
      <c r="O114" s="94"/>
      <c r="P114" s="94"/>
      <c r="Q114" s="96"/>
      <c r="R114" s="38"/>
    </row>
    <row r="115" spans="1:18" x14ac:dyDescent="0.2">
      <c r="A115" s="3">
        <v>40817</v>
      </c>
      <c r="E115" s="94"/>
      <c r="F115" s="102"/>
      <c r="G115" s="95">
        <v>693.6</v>
      </c>
      <c r="H115" s="94"/>
      <c r="I115" s="94">
        <f t="shared" si="2"/>
        <v>40817</v>
      </c>
      <c r="J115" s="94">
        <f>+'[29]Data Input'!$J122</f>
        <v>5720</v>
      </c>
      <c r="K115" s="89">
        <v>320</v>
      </c>
      <c r="L115" s="100">
        <v>142.3629294068852</v>
      </c>
      <c r="M115" s="94">
        <f t="shared" si="3"/>
        <v>-27889.20909298677</v>
      </c>
      <c r="N115" s="94"/>
      <c r="O115" s="94"/>
      <c r="P115" s="94"/>
      <c r="Q115" s="96"/>
      <c r="R115" s="38"/>
    </row>
    <row r="116" spans="1:18" x14ac:dyDescent="0.2">
      <c r="A116" s="3">
        <v>40848</v>
      </c>
      <c r="E116" s="94"/>
      <c r="F116" s="102"/>
      <c r="G116" s="95">
        <v>690.2</v>
      </c>
      <c r="H116" s="94"/>
      <c r="I116" s="94">
        <f t="shared" si="2"/>
        <v>40848</v>
      </c>
      <c r="J116" s="94">
        <f>+'[29]Data Input'!$J123</f>
        <v>5722</v>
      </c>
      <c r="K116" s="89">
        <v>352</v>
      </c>
      <c r="L116" s="100">
        <v>142.73710715580614</v>
      </c>
      <c r="M116" s="94">
        <f t="shared" si="3"/>
        <v>-43721.053582451306</v>
      </c>
      <c r="N116" s="94"/>
      <c r="O116" s="94"/>
      <c r="P116" s="94"/>
      <c r="Q116" s="96"/>
      <c r="R116" s="38"/>
    </row>
    <row r="117" spans="1:18" x14ac:dyDescent="0.2">
      <c r="A117" s="3">
        <v>40878</v>
      </c>
      <c r="E117" s="94"/>
      <c r="F117" s="102"/>
      <c r="G117" s="95">
        <v>690.4</v>
      </c>
      <c r="H117" s="94"/>
      <c r="I117" s="94">
        <f t="shared" si="2"/>
        <v>40878</v>
      </c>
      <c r="J117" s="94">
        <f>+'[29]Data Input'!$J124</f>
        <v>5725</v>
      </c>
      <c r="K117" s="89">
        <v>336</v>
      </c>
      <c r="L117" s="100">
        <v>143.11226836993367</v>
      </c>
      <c r="M117" s="94">
        <f t="shared" si="3"/>
        <v>-42789.768612483516</v>
      </c>
      <c r="N117" s="94"/>
      <c r="O117" s="94"/>
      <c r="P117" s="94"/>
      <c r="Q117" s="96"/>
      <c r="R117" s="38"/>
    </row>
    <row r="118" spans="1:18" x14ac:dyDescent="0.2">
      <c r="A118" s="3">
        <v>40909</v>
      </c>
      <c r="C118" s="103"/>
      <c r="D118" s="103"/>
      <c r="E118" s="94"/>
      <c r="F118" s="94"/>
      <c r="G118" s="95">
        <v>689.98599542334102</v>
      </c>
      <c r="H118" s="94"/>
      <c r="I118" s="94">
        <f t="shared" si="2"/>
        <v>40909</v>
      </c>
      <c r="J118" s="94" t="e">
        <f>+'[29]Data Input'!$J125</f>
        <v>#REF!</v>
      </c>
      <c r="K118" s="15">
        <v>336</v>
      </c>
      <c r="L118" s="104">
        <v>143.49</v>
      </c>
      <c r="M118" s="94">
        <f t="shared" si="3"/>
        <v>-44717.549811186735</v>
      </c>
      <c r="N118" s="94"/>
      <c r="O118" s="94"/>
      <c r="P118" s="94"/>
      <c r="Q118" s="96"/>
      <c r="R118" s="38"/>
    </row>
    <row r="119" spans="1:18" x14ac:dyDescent="0.2">
      <c r="A119" s="3">
        <v>40940</v>
      </c>
      <c r="C119" s="103"/>
      <c r="D119" s="103"/>
      <c r="E119" s="94"/>
      <c r="F119" s="94"/>
      <c r="G119" s="95">
        <v>690.77809279570704</v>
      </c>
      <c r="H119" s="94"/>
      <c r="I119" s="94">
        <f t="shared" si="2"/>
        <v>40940</v>
      </c>
      <c r="J119" s="94">
        <v>0</v>
      </c>
      <c r="K119" s="15">
        <v>320</v>
      </c>
      <c r="L119" s="104">
        <v>143.87</v>
      </c>
      <c r="M119" s="94">
        <f t="shared" si="3"/>
        <v>-41029.207923006266</v>
      </c>
      <c r="N119" s="94"/>
      <c r="O119" s="94"/>
      <c r="P119" s="94"/>
      <c r="Q119" s="96"/>
      <c r="R119" s="38"/>
    </row>
    <row r="120" spans="1:18" x14ac:dyDescent="0.2">
      <c r="A120" s="3">
        <v>40969</v>
      </c>
      <c r="C120" s="103"/>
      <c r="D120" s="103"/>
      <c r="E120" s="94"/>
      <c r="F120" s="94"/>
      <c r="G120" s="95">
        <v>691.57019016807396</v>
      </c>
      <c r="H120" s="94"/>
      <c r="I120" s="94">
        <f t="shared" si="2"/>
        <v>40969</v>
      </c>
      <c r="J120" s="94" t="e">
        <f>'[29]Data Input'!H127</f>
        <v>#REF!</v>
      </c>
      <c r="K120" s="15">
        <v>352</v>
      </c>
      <c r="L120" s="104">
        <v>144.24</v>
      </c>
      <c r="M120" s="94">
        <f t="shared" si="3"/>
        <v>-37340.866034822073</v>
      </c>
      <c r="N120" s="94"/>
      <c r="O120" s="94"/>
      <c r="P120" s="94"/>
      <c r="Q120" s="96"/>
      <c r="R120" s="38"/>
    </row>
    <row r="121" spans="1:18" x14ac:dyDescent="0.2">
      <c r="A121" s="3">
        <v>41000</v>
      </c>
      <c r="C121" s="103"/>
      <c r="D121" s="103"/>
      <c r="E121" s="94"/>
      <c r="F121" s="94"/>
      <c r="G121" s="95">
        <v>692.36228754043998</v>
      </c>
      <c r="H121" s="94"/>
      <c r="I121" s="94">
        <f t="shared" si="2"/>
        <v>41000</v>
      </c>
      <c r="J121" s="94" t="e">
        <f>'[29]Data Input'!H128</f>
        <v>#REF!</v>
      </c>
      <c r="K121" s="15">
        <v>320</v>
      </c>
      <c r="L121" s="104">
        <v>144.62</v>
      </c>
      <c r="M121" s="94">
        <f t="shared" si="3"/>
        <v>-33652.52414664207</v>
      </c>
      <c r="N121" s="94"/>
      <c r="O121" s="94"/>
      <c r="P121" s="94"/>
      <c r="Q121" s="96"/>
      <c r="R121" s="38"/>
    </row>
    <row r="122" spans="1:18" x14ac:dyDescent="0.2">
      <c r="A122" s="3">
        <v>41030</v>
      </c>
      <c r="C122" s="103"/>
      <c r="D122" s="103"/>
      <c r="E122" s="94"/>
      <c r="F122" s="94"/>
      <c r="G122" s="95">
        <v>693.15438491280702</v>
      </c>
      <c r="H122" s="94"/>
      <c r="I122" s="94">
        <f t="shared" si="2"/>
        <v>41030</v>
      </c>
      <c r="J122" s="94" t="e">
        <f>'[29]Data Input'!H129</f>
        <v>#REF!</v>
      </c>
      <c r="K122" s="15">
        <v>352</v>
      </c>
      <c r="L122" s="104">
        <v>145</v>
      </c>
      <c r="M122" s="94">
        <f t="shared" si="3"/>
        <v>-29964.182258456945</v>
      </c>
      <c r="N122" s="94"/>
      <c r="O122" s="94"/>
      <c r="P122" s="94"/>
      <c r="Q122" s="96"/>
      <c r="R122" s="38"/>
    </row>
    <row r="123" spans="1:18" x14ac:dyDescent="0.2">
      <c r="A123" s="3">
        <v>41061</v>
      </c>
      <c r="C123" s="103"/>
      <c r="D123" s="103"/>
      <c r="E123" s="94"/>
      <c r="F123" s="94"/>
      <c r="G123" s="95">
        <v>693.94648228517303</v>
      </c>
      <c r="H123" s="94"/>
      <c r="I123" s="94">
        <f t="shared" si="2"/>
        <v>41061</v>
      </c>
      <c r="J123" s="94" t="e">
        <f>'[29]Data Input'!H130</f>
        <v>#REF!</v>
      </c>
      <c r="K123" s="15">
        <v>336</v>
      </c>
      <c r="L123" s="104">
        <v>145.38</v>
      </c>
      <c r="M123" s="94">
        <f t="shared" si="3"/>
        <v>-26275.840370276477</v>
      </c>
      <c r="N123" s="94"/>
      <c r="O123" s="94"/>
      <c r="P123" s="94"/>
      <c r="Q123" s="96"/>
      <c r="R123" s="38"/>
    </row>
    <row r="124" spans="1:18" x14ac:dyDescent="0.2">
      <c r="A124" s="3">
        <v>41091</v>
      </c>
      <c r="C124" s="103"/>
      <c r="D124" s="103"/>
      <c r="E124" s="94"/>
      <c r="F124" s="94"/>
      <c r="G124" s="95">
        <v>694.73857965753996</v>
      </c>
      <c r="H124" s="94"/>
      <c r="I124" s="94">
        <f t="shared" si="2"/>
        <v>41091</v>
      </c>
      <c r="J124" s="94" t="e">
        <f>'[29]Data Input'!H131</f>
        <v>#REF!</v>
      </c>
      <c r="K124" s="15">
        <v>336</v>
      </c>
      <c r="L124" s="104">
        <v>145.77000000000001</v>
      </c>
      <c r="M124" s="94">
        <f t="shared" si="3"/>
        <v>-22587.498482092284</v>
      </c>
      <c r="N124" s="94"/>
      <c r="O124" s="94"/>
      <c r="P124" s="94"/>
      <c r="Q124" s="96"/>
      <c r="R124" s="38"/>
    </row>
    <row r="125" spans="1:18" x14ac:dyDescent="0.2">
      <c r="A125" s="3">
        <v>41122</v>
      </c>
      <c r="C125" s="103"/>
      <c r="D125" s="103"/>
      <c r="E125" s="94"/>
      <c r="F125" s="94"/>
      <c r="G125" s="95">
        <v>695.53067702990597</v>
      </c>
      <c r="H125" s="94"/>
      <c r="I125" s="94">
        <f t="shared" si="2"/>
        <v>41122</v>
      </c>
      <c r="J125" s="94" t="e">
        <f>'[29]Data Input'!H132</f>
        <v>#REF!</v>
      </c>
      <c r="K125" s="15">
        <v>352</v>
      </c>
      <c r="L125" s="104">
        <v>146.15</v>
      </c>
      <c r="M125" s="94">
        <f t="shared" si="3"/>
        <v>-18899.156593912281</v>
      </c>
      <c r="N125" s="94"/>
      <c r="O125" s="94"/>
      <c r="P125" s="94"/>
      <c r="Q125" s="96"/>
      <c r="R125" s="38"/>
    </row>
    <row r="126" spans="1:18" x14ac:dyDescent="0.2">
      <c r="A126" s="3">
        <v>41153</v>
      </c>
      <c r="C126" s="103"/>
      <c r="D126" s="103"/>
      <c r="E126" s="94"/>
      <c r="F126" s="94"/>
      <c r="G126" s="95">
        <v>696.32277440227199</v>
      </c>
      <c r="H126" s="94"/>
      <c r="I126" s="94">
        <f t="shared" si="2"/>
        <v>41153</v>
      </c>
      <c r="J126" s="94" t="e">
        <f>'[29]Data Input'!H133</f>
        <v>#REF!</v>
      </c>
      <c r="K126" s="15">
        <v>304</v>
      </c>
      <c r="L126" s="104">
        <v>146.53</v>
      </c>
      <c r="M126" s="94">
        <f t="shared" si="3"/>
        <v>-15210.814705731813</v>
      </c>
      <c r="N126" s="94"/>
      <c r="O126" s="94"/>
      <c r="P126" s="94"/>
      <c r="Q126" s="96"/>
      <c r="R126" s="38"/>
    </row>
    <row r="127" spans="1:18" x14ac:dyDescent="0.2">
      <c r="A127" s="3">
        <v>41183</v>
      </c>
      <c r="C127" s="103"/>
      <c r="D127" s="103"/>
      <c r="E127" s="94"/>
      <c r="F127" s="94"/>
      <c r="G127" s="95">
        <v>697.11487177463903</v>
      </c>
      <c r="H127" s="94"/>
      <c r="I127" s="94">
        <f t="shared" si="2"/>
        <v>41183</v>
      </c>
      <c r="J127" s="94" t="e">
        <f>'[29]Data Input'!H134</f>
        <v>#REF!</v>
      </c>
      <c r="K127" s="15">
        <v>352</v>
      </c>
      <c r="L127" s="104">
        <v>146.91999999999999</v>
      </c>
      <c r="M127" s="94">
        <f t="shared" si="3"/>
        <v>-11522.472817547154</v>
      </c>
      <c r="N127" s="94"/>
      <c r="O127" s="94"/>
      <c r="P127" s="94"/>
      <c r="Q127" s="96"/>
      <c r="R127" s="38"/>
    </row>
    <row r="128" spans="1:18" x14ac:dyDescent="0.2">
      <c r="A128" s="3">
        <v>41214</v>
      </c>
      <c r="C128" s="103"/>
      <c r="D128" s="103"/>
      <c r="E128" s="94"/>
      <c r="F128" s="94"/>
      <c r="G128" s="95">
        <v>697.90696914700504</v>
      </c>
      <c r="H128" s="94"/>
      <c r="I128" s="94">
        <f t="shared" si="2"/>
        <v>41214</v>
      </c>
      <c r="J128" s="94" t="e">
        <f>'[29]Data Input'!H135</f>
        <v>#REF!</v>
      </c>
      <c r="K128" s="15">
        <v>352</v>
      </c>
      <c r="L128" s="104">
        <v>147.30000000000001</v>
      </c>
      <c r="M128" s="94">
        <f t="shared" si="3"/>
        <v>-7834.1309293666855</v>
      </c>
      <c r="N128" s="94"/>
      <c r="O128" s="94"/>
      <c r="P128" s="94"/>
      <c r="Q128" s="96"/>
      <c r="R128" s="38"/>
    </row>
    <row r="129" spans="1:18" x14ac:dyDescent="0.2">
      <c r="A129" s="3">
        <v>41244</v>
      </c>
      <c r="C129" s="103"/>
      <c r="D129" s="103"/>
      <c r="E129" s="94"/>
      <c r="F129" s="94"/>
      <c r="G129" s="95">
        <v>698.69906651937197</v>
      </c>
      <c r="H129" s="94"/>
      <c r="I129" s="94">
        <f t="shared" si="2"/>
        <v>41244</v>
      </c>
      <c r="J129" s="94" t="e">
        <f>'[29]Data Input'!H136</f>
        <v>#REF!</v>
      </c>
      <c r="K129" s="15">
        <v>304</v>
      </c>
      <c r="L129" s="104">
        <v>147.69</v>
      </c>
      <c r="M129" s="94">
        <f t="shared" si="3"/>
        <v>-4145.7890411824919</v>
      </c>
      <c r="N129" s="94"/>
      <c r="O129" s="94"/>
      <c r="P129" s="94"/>
      <c r="Q129" s="96"/>
      <c r="R129" s="38"/>
    </row>
    <row r="130" spans="1:18" x14ac:dyDescent="0.2">
      <c r="A130" s="3">
        <v>41275</v>
      </c>
      <c r="C130" s="103"/>
      <c r="D130" s="103"/>
      <c r="E130" s="94"/>
      <c r="F130" s="94"/>
      <c r="G130" s="95">
        <v>699.49116389173798</v>
      </c>
      <c r="H130" s="94"/>
      <c r="I130" s="94">
        <f t="shared" si="2"/>
        <v>41275</v>
      </c>
      <c r="J130" s="94" t="e">
        <f>'[29]Data Input'!H137</f>
        <v>#REF!</v>
      </c>
      <c r="K130" s="105">
        <f>22*16</f>
        <v>352</v>
      </c>
      <c r="L130" s="104">
        <v>147.88</v>
      </c>
      <c r="M130" s="94">
        <f t="shared" si="3"/>
        <v>-457.4471530020237</v>
      </c>
      <c r="N130" s="94"/>
      <c r="O130" s="94"/>
      <c r="P130" s="94"/>
      <c r="Q130" s="96"/>
      <c r="R130" s="38"/>
    </row>
    <row r="131" spans="1:18" x14ac:dyDescent="0.2">
      <c r="A131" s="3">
        <v>41306</v>
      </c>
      <c r="C131" s="103"/>
      <c r="D131" s="103"/>
      <c r="E131" s="94"/>
      <c r="F131" s="94"/>
      <c r="G131" s="95">
        <v>700.283261264104</v>
      </c>
      <c r="H131" s="94"/>
      <c r="I131" s="94">
        <f t="shared" si="2"/>
        <v>41306</v>
      </c>
      <c r="J131" s="94" t="e">
        <f>'[29]Data Input'!H138</f>
        <v>#REF!</v>
      </c>
      <c r="K131" s="105">
        <f>19*16</f>
        <v>304</v>
      </c>
      <c r="L131" s="104">
        <v>148.08000000000001</v>
      </c>
      <c r="M131" s="94">
        <f t="shared" si="3"/>
        <v>3230.8947351779789</v>
      </c>
      <c r="N131" s="94"/>
      <c r="O131" s="94"/>
      <c r="P131" s="94"/>
      <c r="Q131" s="96"/>
      <c r="R131" s="38"/>
    </row>
    <row r="132" spans="1:18" x14ac:dyDescent="0.2">
      <c r="A132" s="3">
        <v>41334</v>
      </c>
      <c r="C132" s="103"/>
      <c r="D132" s="103"/>
      <c r="E132" s="94"/>
      <c r="F132" s="94"/>
      <c r="G132" s="95">
        <v>701.07535863647104</v>
      </c>
      <c r="H132" s="94"/>
      <c r="I132" s="94">
        <f t="shared" ref="I132:I141" si="4">A132</f>
        <v>41334</v>
      </c>
      <c r="J132" s="94" t="e">
        <f>'[29]Data Input'!H139</f>
        <v>#REF!</v>
      </c>
      <c r="K132" s="105">
        <f>20*16</f>
        <v>320</v>
      </c>
      <c r="L132" s="104">
        <v>148.27000000000001</v>
      </c>
      <c r="M132" s="94">
        <f t="shared" ref="M132:M141" si="5">$P$18+$P$19*C132+$P$20*D132+$P$21*E132+$P$22*F132+$P$23*G132+$P$24*H132</f>
        <v>6919.2366233631037</v>
      </c>
      <c r="N132" s="94"/>
      <c r="O132" s="94"/>
      <c r="P132" s="94"/>
      <c r="Q132" s="96"/>
      <c r="R132" s="38"/>
    </row>
    <row r="133" spans="1:18" x14ac:dyDescent="0.2">
      <c r="A133" s="3">
        <v>41365</v>
      </c>
      <c r="C133" s="103"/>
      <c r="D133" s="103"/>
      <c r="E133" s="94"/>
      <c r="F133" s="94"/>
      <c r="G133" s="95">
        <v>701.86745600883705</v>
      </c>
      <c r="H133" s="94"/>
      <c r="I133" s="94">
        <f t="shared" si="4"/>
        <v>41365</v>
      </c>
      <c r="J133" s="94" t="e">
        <f>'[29]Data Input'!H140</f>
        <v>#REF!</v>
      </c>
      <c r="K133" s="105">
        <f>22*16</f>
        <v>352</v>
      </c>
      <c r="L133" s="104">
        <v>148.46</v>
      </c>
      <c r="M133" s="94">
        <f t="shared" si="5"/>
        <v>10607.578511543106</v>
      </c>
      <c r="N133" s="94"/>
      <c r="O133" s="94"/>
      <c r="P133" s="94"/>
      <c r="Q133" s="96"/>
      <c r="R133" s="38"/>
    </row>
    <row r="134" spans="1:18" x14ac:dyDescent="0.2">
      <c r="A134" s="3">
        <v>41395</v>
      </c>
      <c r="C134" s="103"/>
      <c r="D134" s="103"/>
      <c r="E134" s="94"/>
      <c r="F134" s="94"/>
      <c r="G134" s="95">
        <v>702.65955338120398</v>
      </c>
      <c r="H134" s="94"/>
      <c r="I134" s="94">
        <f t="shared" si="4"/>
        <v>41395</v>
      </c>
      <c r="J134" s="94" t="e">
        <f>'[29]Data Input'!H141</f>
        <v>#REF!</v>
      </c>
      <c r="K134" s="105">
        <f>22*16</f>
        <v>352</v>
      </c>
      <c r="L134" s="104">
        <v>148.65</v>
      </c>
      <c r="M134" s="94">
        <f t="shared" si="5"/>
        <v>14295.920399727765</v>
      </c>
      <c r="N134" s="94"/>
      <c r="O134" s="94"/>
      <c r="P134" s="94"/>
      <c r="Q134" s="96"/>
      <c r="R134" s="38"/>
    </row>
    <row r="135" spans="1:18" x14ac:dyDescent="0.2">
      <c r="A135" s="3">
        <v>41426</v>
      </c>
      <c r="C135" s="103"/>
      <c r="D135" s="103"/>
      <c r="E135" s="94"/>
      <c r="F135" s="94"/>
      <c r="G135" s="95">
        <v>703.45165075356999</v>
      </c>
      <c r="H135" s="94"/>
      <c r="I135" s="94">
        <f t="shared" si="4"/>
        <v>41426</v>
      </c>
      <c r="J135" s="94" t="e">
        <f>'[29]Data Input'!H142</f>
        <v>#REF!</v>
      </c>
      <c r="K135" s="105">
        <f>20*16</f>
        <v>320</v>
      </c>
      <c r="L135" s="104">
        <v>148.85</v>
      </c>
      <c r="M135" s="94">
        <f t="shared" si="5"/>
        <v>17984.262287907768</v>
      </c>
      <c r="N135" s="94"/>
      <c r="O135" s="94"/>
      <c r="P135" s="94"/>
      <c r="Q135" s="96"/>
      <c r="R135" s="38"/>
    </row>
    <row r="136" spans="1:18" x14ac:dyDescent="0.2">
      <c r="A136" s="3">
        <v>41456</v>
      </c>
      <c r="C136" s="103"/>
      <c r="D136" s="103"/>
      <c r="E136" s="94"/>
      <c r="F136" s="94"/>
      <c r="G136" s="95">
        <v>704.24374812593703</v>
      </c>
      <c r="H136" s="94"/>
      <c r="I136" s="94">
        <f t="shared" si="4"/>
        <v>41456</v>
      </c>
      <c r="J136" s="94" t="e">
        <f>'[29]Data Input'!H143</f>
        <v>#REF!</v>
      </c>
      <c r="K136" s="105">
        <f>22*16</f>
        <v>352</v>
      </c>
      <c r="L136" s="104">
        <v>149.04</v>
      </c>
      <c r="M136" s="94">
        <f t="shared" si="5"/>
        <v>21672.604176092893</v>
      </c>
      <c r="N136" s="94"/>
      <c r="O136" s="94"/>
      <c r="P136" s="94"/>
      <c r="Q136" s="96"/>
      <c r="R136" s="38"/>
    </row>
    <row r="137" spans="1:18" x14ac:dyDescent="0.2">
      <c r="A137" s="3">
        <v>41487</v>
      </c>
      <c r="C137" s="103"/>
      <c r="D137" s="103"/>
      <c r="E137" s="94"/>
      <c r="F137" s="94"/>
      <c r="G137" s="95">
        <v>705.03584549830305</v>
      </c>
      <c r="H137" s="94"/>
      <c r="I137" s="94">
        <f t="shared" si="4"/>
        <v>41487</v>
      </c>
      <c r="J137" s="94" t="e">
        <f>'[29]Data Input'!H144</f>
        <v>#REF!</v>
      </c>
      <c r="K137" s="105">
        <f>21*16</f>
        <v>336</v>
      </c>
      <c r="L137" s="104">
        <v>149.22999999999999</v>
      </c>
      <c r="M137" s="94">
        <f t="shared" si="5"/>
        <v>25360.946064272895</v>
      </c>
      <c r="N137" s="94"/>
      <c r="O137" s="94"/>
      <c r="P137" s="94"/>
      <c r="Q137" s="96"/>
      <c r="R137" s="38"/>
    </row>
    <row r="138" spans="1:18" x14ac:dyDescent="0.2">
      <c r="A138" s="3">
        <v>41518</v>
      </c>
      <c r="C138" s="103"/>
      <c r="D138" s="103"/>
      <c r="E138" s="94"/>
      <c r="F138" s="94"/>
      <c r="G138" s="95">
        <v>705.82794287066895</v>
      </c>
      <c r="H138" s="94"/>
      <c r="I138" s="94">
        <f t="shared" si="4"/>
        <v>41518</v>
      </c>
      <c r="J138" s="94" t="e">
        <f>'[29]Data Input'!H145</f>
        <v>#REF!</v>
      </c>
      <c r="K138" s="105">
        <f>20*16</f>
        <v>320</v>
      </c>
      <c r="L138" s="104">
        <v>149.41999999999999</v>
      </c>
      <c r="M138" s="94">
        <f t="shared" si="5"/>
        <v>29049.287952452432</v>
      </c>
      <c r="N138" s="94"/>
      <c r="O138" s="94"/>
      <c r="P138" s="94"/>
      <c r="Q138" s="96"/>
      <c r="R138" s="38"/>
    </row>
    <row r="139" spans="1:18" x14ac:dyDescent="0.2">
      <c r="A139" s="3">
        <v>41548</v>
      </c>
      <c r="C139" s="103"/>
      <c r="D139" s="103"/>
      <c r="E139" s="94"/>
      <c r="F139" s="94"/>
      <c r="G139" s="95">
        <v>706.62004024303599</v>
      </c>
      <c r="H139" s="94"/>
      <c r="I139" s="94">
        <f t="shared" si="4"/>
        <v>41548</v>
      </c>
      <c r="J139" s="94" t="e">
        <f>'[29]Data Input'!H146</f>
        <v>#REF!</v>
      </c>
      <c r="K139" s="105">
        <f>22*16</f>
        <v>352</v>
      </c>
      <c r="L139" s="104">
        <v>149.62</v>
      </c>
      <c r="M139" s="94">
        <f t="shared" si="5"/>
        <v>32737.629840637557</v>
      </c>
      <c r="N139" s="94"/>
      <c r="O139" s="94"/>
      <c r="P139" s="94"/>
      <c r="Q139" s="96"/>
      <c r="R139" s="38"/>
    </row>
    <row r="140" spans="1:18" x14ac:dyDescent="0.2">
      <c r="A140" s="3">
        <v>41579</v>
      </c>
      <c r="C140" s="103"/>
      <c r="D140" s="103"/>
      <c r="E140" s="94"/>
      <c r="F140" s="94"/>
      <c r="G140" s="95">
        <v>707.412137615402</v>
      </c>
      <c r="H140" s="94"/>
      <c r="I140" s="94">
        <f t="shared" si="4"/>
        <v>41579</v>
      </c>
      <c r="J140" s="94" t="e">
        <f>'[29]Data Input'!H147</f>
        <v>#REF!</v>
      </c>
      <c r="K140" s="105">
        <f>21*16</f>
        <v>336</v>
      </c>
      <c r="L140" s="104">
        <v>149.81</v>
      </c>
      <c r="M140" s="94">
        <f t="shared" si="5"/>
        <v>36425.97172881756</v>
      </c>
      <c r="N140" s="94"/>
      <c r="O140" s="94"/>
      <c r="P140" s="94"/>
      <c r="Q140" s="96"/>
      <c r="R140" s="38"/>
    </row>
    <row r="141" spans="1:18" x14ac:dyDescent="0.2">
      <c r="A141" s="3">
        <v>41609</v>
      </c>
      <c r="C141" s="103"/>
      <c r="D141" s="103"/>
      <c r="E141" s="94"/>
      <c r="F141" s="94"/>
      <c r="G141" s="95">
        <v>708.20423498776904</v>
      </c>
      <c r="H141" s="94"/>
      <c r="I141" s="94">
        <f t="shared" si="4"/>
        <v>41609</v>
      </c>
      <c r="J141" s="94" t="e">
        <f>'[29]Data Input'!H148</f>
        <v>#REF!</v>
      </c>
      <c r="K141" s="105">
        <f>20*16</f>
        <v>320</v>
      </c>
      <c r="L141" s="104">
        <v>150</v>
      </c>
      <c r="M141" s="94">
        <f t="shared" si="5"/>
        <v>40114.313617002685</v>
      </c>
      <c r="N141" s="94"/>
      <c r="O141" s="94"/>
      <c r="P141" s="94"/>
      <c r="Q141" s="96"/>
      <c r="R141" s="38"/>
    </row>
    <row r="142" spans="1:18" x14ac:dyDescent="0.2">
      <c r="A142" s="3"/>
      <c r="H142" s="94"/>
      <c r="I142" s="94"/>
      <c r="K142" s="94"/>
    </row>
    <row r="143" spans="1:18" x14ac:dyDescent="0.2">
      <c r="A143" s="3"/>
      <c r="D143" s="19" t="s">
        <v>216</v>
      </c>
      <c r="M143" s="102">
        <f>SUM(M3:M141)</f>
        <v>-29798997.456792064</v>
      </c>
      <c r="Q143" s="38"/>
    </row>
    <row r="144" spans="1:18" x14ac:dyDescent="0.2">
      <c r="A144" s="3"/>
    </row>
    <row r="145" spans="1:40" x14ac:dyDescent="0.2">
      <c r="A145">
        <v>2002</v>
      </c>
      <c r="B145" s="22">
        <f>SUM(B3:B9)</f>
        <v>0</v>
      </c>
      <c r="E145" s="89"/>
      <c r="G145" s="28"/>
      <c r="H145" s="28"/>
      <c r="I145" s="28"/>
      <c r="J145" s="89"/>
      <c r="L145" s="19"/>
      <c r="M145" s="22">
        <f>SUM(M3:M9)</f>
        <v>-3737366.8469262212</v>
      </c>
      <c r="N145" s="30">
        <f t="shared" ref="N145:N154" si="6">M145-B145</f>
        <v>-3737366.8469262212</v>
      </c>
      <c r="O145" s="63" t="e">
        <f>N145/B145</f>
        <v>#DIV/0!</v>
      </c>
      <c r="P145"/>
      <c r="Q145"/>
      <c r="R145"/>
      <c r="S145"/>
      <c r="AB145" s="6"/>
      <c r="AC145" s="6"/>
      <c r="AD145" s="6"/>
      <c r="AE145" s="6"/>
      <c r="AF145" s="22"/>
      <c r="AG145" s="22"/>
      <c r="AH145" s="6"/>
      <c r="AI145"/>
      <c r="AJ145"/>
      <c r="AK145"/>
      <c r="AL145"/>
      <c r="AM145"/>
      <c r="AN145"/>
    </row>
    <row r="146" spans="1:40" x14ac:dyDescent="0.2">
      <c r="A146" s="14">
        <v>2003</v>
      </c>
      <c r="B146" s="22">
        <f>SUM(B10:B21)</f>
        <v>0</v>
      </c>
      <c r="E146" s="89"/>
      <c r="G146" s="28"/>
      <c r="H146" s="28"/>
      <c r="I146" s="28"/>
      <c r="J146" s="89"/>
      <c r="L146" s="19"/>
      <c r="M146" s="22">
        <f>SUM(M10:M21)</f>
        <v>-5570820.2527639139</v>
      </c>
      <c r="N146" s="30">
        <f t="shared" si="6"/>
        <v>-5570820.2527639139</v>
      </c>
      <c r="O146" s="63" t="e">
        <f t="shared" ref="O146:O154" si="7">N146/B146</f>
        <v>#DIV/0!</v>
      </c>
      <c r="P146"/>
      <c r="Q146"/>
      <c r="R146"/>
      <c r="S146"/>
      <c r="AB146" s="6"/>
      <c r="AC146" s="6"/>
      <c r="AD146" s="6"/>
      <c r="AE146" s="6"/>
      <c r="AF146" s="22"/>
      <c r="AG146" s="22"/>
      <c r="AH146" s="6"/>
      <c r="AI146"/>
      <c r="AJ146"/>
      <c r="AK146"/>
      <c r="AL146"/>
      <c r="AM146"/>
      <c r="AN146"/>
    </row>
    <row r="147" spans="1:40" x14ac:dyDescent="0.2">
      <c r="A147">
        <v>2004</v>
      </c>
      <c r="B147" s="22">
        <f>SUM(B22:B33)</f>
        <v>0</v>
      </c>
      <c r="E147" s="89"/>
      <c r="G147" s="28"/>
      <c r="H147" s="28"/>
      <c r="I147" s="28"/>
      <c r="J147" s="89"/>
      <c r="L147" s="19"/>
      <c r="M147" s="22">
        <f>SUM(M22:M33)</f>
        <v>-4757342.8314964017</v>
      </c>
      <c r="N147" s="30">
        <f t="shared" si="6"/>
        <v>-4757342.8314964017</v>
      </c>
      <c r="O147" s="63" t="e">
        <f t="shared" si="7"/>
        <v>#DIV/0!</v>
      </c>
      <c r="P147"/>
      <c r="Q147"/>
      <c r="R147"/>
      <c r="S147"/>
      <c r="AB147" s="6"/>
      <c r="AC147" s="6"/>
      <c r="AD147" s="6"/>
      <c r="AE147" s="6"/>
      <c r="AF147" s="22"/>
      <c r="AG147" s="22"/>
      <c r="AH147" s="6"/>
      <c r="AI147"/>
      <c r="AJ147"/>
      <c r="AK147"/>
      <c r="AL147"/>
      <c r="AM147"/>
      <c r="AN147"/>
    </row>
    <row r="148" spans="1:40" x14ac:dyDescent="0.2">
      <c r="A148" s="14">
        <v>2005</v>
      </c>
      <c r="B148" s="22">
        <f>SUM(B34:B45)</f>
        <v>0</v>
      </c>
      <c r="E148" s="89"/>
      <c r="G148" s="28"/>
      <c r="H148" s="28"/>
      <c r="I148" s="28"/>
      <c r="J148" s="89"/>
      <c r="L148" s="19"/>
      <c r="M148" s="22">
        <f>SUM(M34:M45)</f>
        <v>-3210478.496378669</v>
      </c>
      <c r="N148" s="30">
        <f t="shared" si="6"/>
        <v>-3210478.496378669</v>
      </c>
      <c r="O148" s="63" t="e">
        <f t="shared" si="7"/>
        <v>#DIV/0!</v>
      </c>
      <c r="P148"/>
      <c r="Q148"/>
      <c r="R148"/>
      <c r="S148"/>
      <c r="AB148" s="6"/>
      <c r="AC148" s="6"/>
      <c r="AD148" s="6"/>
      <c r="AE148" s="6"/>
      <c r="AF148" s="22"/>
      <c r="AG148" s="22"/>
      <c r="AH148" s="6"/>
      <c r="AI148"/>
      <c r="AJ148"/>
      <c r="AK148"/>
      <c r="AL148"/>
      <c r="AM148"/>
      <c r="AN148"/>
    </row>
    <row r="149" spans="1:40" x14ac:dyDescent="0.2">
      <c r="A149">
        <v>2006</v>
      </c>
      <c r="B149" s="22">
        <f>SUM(B46:B57)</f>
        <v>0</v>
      </c>
      <c r="E149" s="89"/>
      <c r="G149" s="28"/>
      <c r="H149" s="28"/>
      <c r="I149" s="28"/>
      <c r="J149" s="89"/>
      <c r="L149" s="19"/>
      <c r="M149" s="22">
        <f>SUM(M46:M57)</f>
        <v>-2390947.7228063601</v>
      </c>
      <c r="N149" s="30">
        <f t="shared" si="6"/>
        <v>-2390947.7228063601</v>
      </c>
      <c r="O149" s="63" t="e">
        <f t="shared" si="7"/>
        <v>#DIV/0!</v>
      </c>
      <c r="P149"/>
      <c r="Q149"/>
      <c r="R149"/>
      <c r="S149"/>
      <c r="AB149" s="6"/>
      <c r="AC149" s="6"/>
      <c r="AD149" s="6"/>
      <c r="AE149" s="6"/>
      <c r="AF149" s="22"/>
      <c r="AG149" s="22"/>
      <c r="AH149" s="6"/>
      <c r="AI149"/>
      <c r="AJ149"/>
      <c r="AK149"/>
      <c r="AL149"/>
      <c r="AM149"/>
      <c r="AN149"/>
    </row>
    <row r="150" spans="1:40" x14ac:dyDescent="0.2">
      <c r="A150" s="14">
        <v>2007</v>
      </c>
      <c r="B150" s="22">
        <f>SUM(B58:B69)</f>
        <v>0</v>
      </c>
      <c r="E150" s="89"/>
      <c r="G150" s="28"/>
      <c r="H150" s="28"/>
      <c r="I150" s="28"/>
      <c r="J150" s="89"/>
      <c r="L150" s="19"/>
      <c r="M150" s="22">
        <f>SUM(M58:M69)</f>
        <v>-2313651.0702989725</v>
      </c>
      <c r="N150" s="30">
        <f t="shared" si="6"/>
        <v>-2313651.0702989725</v>
      </c>
      <c r="O150" s="63" t="e">
        <f t="shared" si="7"/>
        <v>#DIV/0!</v>
      </c>
      <c r="P150"/>
      <c r="Q150"/>
      <c r="R150"/>
      <c r="S150"/>
      <c r="AB150" s="6"/>
      <c r="AC150" s="6"/>
      <c r="AD150" s="6"/>
      <c r="AE150" s="6"/>
      <c r="AF150" s="22"/>
      <c r="AG150" s="22"/>
      <c r="AH150" s="6"/>
      <c r="AI150"/>
      <c r="AJ150"/>
      <c r="AK150"/>
      <c r="AL150"/>
      <c r="AM150"/>
      <c r="AN150"/>
    </row>
    <row r="151" spans="1:40" x14ac:dyDescent="0.2">
      <c r="A151">
        <v>2008</v>
      </c>
      <c r="B151" s="22">
        <f>SUM(B70:B81)</f>
        <v>0</v>
      </c>
      <c r="E151" s="89"/>
      <c r="G151" s="28"/>
      <c r="H151" s="28"/>
      <c r="I151" s="28"/>
      <c r="J151" s="89"/>
      <c r="L151" s="19"/>
      <c r="M151" s="22">
        <f>SUM(M70:M81)</f>
        <v>-2114821.7292106906</v>
      </c>
      <c r="N151" s="30">
        <f t="shared" si="6"/>
        <v>-2114821.7292106906</v>
      </c>
      <c r="O151" s="63" t="e">
        <f t="shared" si="7"/>
        <v>#DIV/0!</v>
      </c>
      <c r="P151"/>
      <c r="Q151"/>
      <c r="R151"/>
      <c r="S151"/>
      <c r="AB151" s="6"/>
      <c r="AC151" s="6"/>
      <c r="AD151" s="6"/>
      <c r="AE151" s="6"/>
      <c r="AF151" s="22"/>
      <c r="AG151" s="22"/>
      <c r="AH151" s="6"/>
      <c r="AI151"/>
      <c r="AJ151"/>
      <c r="AK151"/>
      <c r="AL151"/>
      <c r="AM151"/>
      <c r="AN151"/>
    </row>
    <row r="152" spans="1:40" x14ac:dyDescent="0.2">
      <c r="A152" s="14">
        <v>2009</v>
      </c>
      <c r="B152" s="22">
        <f>SUM(B82:B93)</f>
        <v>0</v>
      </c>
      <c r="E152" s="89"/>
      <c r="G152" s="28"/>
      <c r="H152" s="28"/>
      <c r="I152" s="28"/>
      <c r="J152" s="89"/>
      <c r="L152" s="19"/>
      <c r="M152" s="22">
        <f>SUM(M82:M93)</f>
        <v>-2871490.7673101248</v>
      </c>
      <c r="N152" s="30">
        <f t="shared" si="6"/>
        <v>-2871490.7673101248</v>
      </c>
      <c r="O152" s="63" t="e">
        <f t="shared" si="7"/>
        <v>#DIV/0!</v>
      </c>
      <c r="P152"/>
      <c r="Q152"/>
      <c r="R152"/>
      <c r="S152"/>
      <c r="AB152" s="6"/>
      <c r="AC152" s="6"/>
      <c r="AD152" s="6"/>
      <c r="AE152" s="6"/>
      <c r="AF152" s="22"/>
      <c r="AG152" s="22"/>
      <c r="AH152" s="6"/>
      <c r="AI152"/>
      <c r="AJ152"/>
      <c r="AK152"/>
      <c r="AL152"/>
      <c r="AM152"/>
      <c r="AN152"/>
    </row>
    <row r="153" spans="1:40" x14ac:dyDescent="0.2">
      <c r="A153">
        <v>2010</v>
      </c>
      <c r="B153" s="22">
        <f>SUM(B94:B105)</f>
        <v>0</v>
      </c>
      <c r="E153" s="89"/>
      <c r="G153" s="28"/>
      <c r="H153" s="28"/>
      <c r="I153" s="28"/>
      <c r="J153" s="89"/>
      <c r="L153" s="19"/>
      <c r="M153" s="22">
        <f>SUM(M94:M105)</f>
        <v>-2123668.9364253907</v>
      </c>
      <c r="N153" s="30">
        <f t="shared" si="6"/>
        <v>-2123668.9364253907</v>
      </c>
      <c r="O153" s="63" t="e">
        <f t="shared" si="7"/>
        <v>#DIV/0!</v>
      </c>
      <c r="P153"/>
      <c r="Q153"/>
      <c r="R153"/>
      <c r="S153"/>
      <c r="AB153" s="6"/>
      <c r="AC153" s="6"/>
      <c r="AD153" s="6"/>
      <c r="AE153" s="6"/>
      <c r="AF153" s="22"/>
      <c r="AG153" s="22"/>
      <c r="AH153" s="6"/>
      <c r="AI153"/>
      <c r="AJ153"/>
      <c r="AK153"/>
      <c r="AL153"/>
      <c r="AM153"/>
      <c r="AN153"/>
    </row>
    <row r="154" spans="1:40" x14ac:dyDescent="0.2">
      <c r="A154">
        <v>2011</v>
      </c>
      <c r="B154" s="22">
        <f>SUM(B106:B117)</f>
        <v>0</v>
      </c>
      <c r="E154" s="89"/>
      <c r="G154" s="28"/>
      <c r="H154" s="28"/>
      <c r="I154" s="28"/>
      <c r="J154" s="89"/>
      <c r="L154" s="19"/>
      <c r="M154" s="22">
        <f>SUM(M106:M117)</f>
        <v>-653169.96884507872</v>
      </c>
      <c r="N154" s="30">
        <f t="shared" si="6"/>
        <v>-653169.96884507872</v>
      </c>
      <c r="O154" s="63" t="e">
        <f t="shared" si="7"/>
        <v>#DIV/0!</v>
      </c>
      <c r="P154"/>
      <c r="Q154"/>
      <c r="R154"/>
      <c r="S154"/>
      <c r="AB154" s="6"/>
      <c r="AC154" s="6"/>
      <c r="AD154" s="6"/>
      <c r="AE154" s="6"/>
      <c r="AF154" s="22"/>
      <c r="AG154" s="22"/>
      <c r="AH154" s="6"/>
      <c r="AI154"/>
      <c r="AJ154"/>
      <c r="AK154"/>
      <c r="AL154"/>
      <c r="AM154"/>
      <c r="AN154"/>
    </row>
    <row r="155" spans="1:40" x14ac:dyDescent="0.2">
      <c r="A155" s="14">
        <v>2012</v>
      </c>
      <c r="M155" s="6">
        <f>SUM(M118:M129)</f>
        <v>-293180.03311422328</v>
      </c>
      <c r="N155" s="89"/>
      <c r="O155" s="89"/>
    </row>
    <row r="156" spans="1:40" x14ac:dyDescent="0.2">
      <c r="A156" s="14">
        <v>2013</v>
      </c>
      <c r="M156" s="6">
        <f>SUM(M130:M141)</f>
        <v>237941.19878399372</v>
      </c>
      <c r="N156" s="89"/>
      <c r="O156" s="89"/>
    </row>
    <row r="157" spans="1:40" x14ac:dyDescent="0.2">
      <c r="M157" s="6"/>
      <c r="N157" s="89"/>
      <c r="O157" s="89"/>
    </row>
    <row r="158" spans="1:40" x14ac:dyDescent="0.2">
      <c r="A158" t="s">
        <v>74</v>
      </c>
      <c r="B158" s="22">
        <f>SUM(B145:B154)</f>
        <v>0</v>
      </c>
      <c r="M158" s="22">
        <f>SUM(M145:M154)</f>
        <v>-29743758.622461826</v>
      </c>
      <c r="N158" s="6">
        <f>M158-B158</f>
        <v>-29743758.622461826</v>
      </c>
      <c r="O158" s="89"/>
    </row>
    <row r="159" spans="1:40" x14ac:dyDescent="0.2">
      <c r="M159" s="89"/>
      <c r="N159" s="89"/>
      <c r="O159" s="89"/>
    </row>
    <row r="160" spans="1:40" x14ac:dyDescent="0.2">
      <c r="M160" s="6">
        <f>SUM(M145:M156)</f>
        <v>-29798997.456792057</v>
      </c>
      <c r="N160" s="38">
        <f>M160-M143</f>
        <v>0</v>
      </c>
      <c r="O160" s="89"/>
    </row>
    <row r="161" spans="1:18" x14ac:dyDescent="0.2">
      <c r="M161" s="15"/>
      <c r="N161" s="15" t="s">
        <v>63</v>
      </c>
      <c r="O161" s="15"/>
    </row>
    <row r="164" spans="1:18" x14ac:dyDescent="0.2">
      <c r="B164" s="22" t="s">
        <v>159</v>
      </c>
    </row>
    <row r="165" spans="1:18" x14ac:dyDescent="0.2">
      <c r="A165" s="3">
        <v>41275</v>
      </c>
      <c r="C165" s="103"/>
      <c r="D165" s="103"/>
      <c r="E165" s="94"/>
      <c r="F165" s="94"/>
      <c r="G165" s="95"/>
      <c r="H165" s="94"/>
      <c r="I165" s="94">
        <f t="shared" ref="I165:I176" si="8">A165</f>
        <v>41275</v>
      </c>
      <c r="J165" s="94" t="e">
        <f>'[29]Data Input'!H172</f>
        <v>#REF!</v>
      </c>
      <c r="K165" s="105">
        <f>22*16</f>
        <v>352</v>
      </c>
      <c r="L165" s="104">
        <v>147.88</v>
      </c>
      <c r="M165" s="94">
        <f t="shared" ref="M165:M176" si="9">$P$18+$P$19*C165+$P$20*D165+$P$21*E165+$P$22*F165+$P$23*G165+$P$24*H165</f>
        <v>-3257585.4849438579</v>
      </c>
      <c r="N165" s="94"/>
      <c r="O165" s="94"/>
      <c r="P165" s="94"/>
      <c r="Q165" s="96"/>
      <c r="R165" s="38"/>
    </row>
    <row r="166" spans="1:18" x14ac:dyDescent="0.2">
      <c r="A166" s="3">
        <v>41306</v>
      </c>
      <c r="C166" s="103"/>
      <c r="D166" s="103"/>
      <c r="E166" s="94"/>
      <c r="F166" s="94"/>
      <c r="G166" s="95"/>
      <c r="H166" s="94"/>
      <c r="I166" s="94">
        <f t="shared" si="8"/>
        <v>41306</v>
      </c>
      <c r="J166" s="94" t="e">
        <f>'[29]Data Input'!H173</f>
        <v>#REF!</v>
      </c>
      <c r="K166" s="105">
        <f>19*16</f>
        <v>304</v>
      </c>
      <c r="L166" s="104">
        <v>148.08000000000001</v>
      </c>
      <c r="M166" s="94">
        <f t="shared" si="9"/>
        <v>-3257585.4849438579</v>
      </c>
      <c r="N166" s="94"/>
      <c r="O166" s="94"/>
      <c r="P166" s="94"/>
      <c r="Q166" s="96"/>
      <c r="R166" s="38"/>
    </row>
    <row r="167" spans="1:18" x14ac:dyDescent="0.2">
      <c r="A167" s="3">
        <v>41334</v>
      </c>
      <c r="C167" s="103"/>
      <c r="D167" s="103"/>
      <c r="E167" s="94"/>
      <c r="F167" s="94"/>
      <c r="G167" s="95"/>
      <c r="H167" s="94"/>
      <c r="I167" s="94">
        <f t="shared" si="8"/>
        <v>41334</v>
      </c>
      <c r="J167" s="94" t="e">
        <f>'[29]Data Input'!H174</f>
        <v>#REF!</v>
      </c>
      <c r="K167" s="105">
        <f>20*16</f>
        <v>320</v>
      </c>
      <c r="L167" s="104">
        <v>148.27000000000001</v>
      </c>
      <c r="M167" s="94">
        <f t="shared" si="9"/>
        <v>-3257585.4849438579</v>
      </c>
      <c r="N167" s="94"/>
      <c r="O167" s="94"/>
      <c r="P167" s="94"/>
      <c r="Q167" s="96"/>
      <c r="R167" s="38"/>
    </row>
    <row r="168" spans="1:18" x14ac:dyDescent="0.2">
      <c r="A168" s="3">
        <v>41365</v>
      </c>
      <c r="C168" s="103"/>
      <c r="D168" s="103"/>
      <c r="E168" s="94"/>
      <c r="F168" s="94"/>
      <c r="G168" s="95"/>
      <c r="H168" s="94"/>
      <c r="I168" s="94">
        <f t="shared" si="8"/>
        <v>41365</v>
      </c>
      <c r="J168" s="94" t="e">
        <f>'[29]Data Input'!H175</f>
        <v>#REF!</v>
      </c>
      <c r="K168" s="105">
        <f>22*16</f>
        <v>352</v>
      </c>
      <c r="L168" s="104">
        <v>148.46</v>
      </c>
      <c r="M168" s="94">
        <f t="shared" si="9"/>
        <v>-3257585.4849438579</v>
      </c>
      <c r="N168" s="94"/>
      <c r="O168" s="94"/>
      <c r="P168" s="94"/>
      <c r="Q168" s="96"/>
      <c r="R168" s="38"/>
    </row>
    <row r="169" spans="1:18" x14ac:dyDescent="0.2">
      <c r="A169" s="3">
        <v>41395</v>
      </c>
      <c r="C169" s="103"/>
      <c r="D169" s="103"/>
      <c r="E169" s="94"/>
      <c r="F169" s="94"/>
      <c r="G169" s="95"/>
      <c r="H169" s="94"/>
      <c r="I169" s="94">
        <f t="shared" si="8"/>
        <v>41395</v>
      </c>
      <c r="J169" s="94" t="e">
        <f>'[29]Data Input'!H176</f>
        <v>#REF!</v>
      </c>
      <c r="K169" s="105">
        <f>22*16</f>
        <v>352</v>
      </c>
      <c r="L169" s="104">
        <v>148.65</v>
      </c>
      <c r="M169" s="94">
        <f t="shared" si="9"/>
        <v>-3257585.4849438579</v>
      </c>
      <c r="N169" s="94"/>
      <c r="O169" s="94"/>
      <c r="P169" s="94"/>
      <c r="Q169" s="96"/>
      <c r="R169" s="38"/>
    </row>
    <row r="170" spans="1:18" x14ac:dyDescent="0.2">
      <c r="A170" s="3">
        <v>41426</v>
      </c>
      <c r="C170" s="103"/>
      <c r="D170" s="103"/>
      <c r="E170" s="94"/>
      <c r="F170" s="94"/>
      <c r="G170" s="95"/>
      <c r="H170" s="94"/>
      <c r="I170" s="94">
        <f t="shared" si="8"/>
        <v>41426</v>
      </c>
      <c r="J170" s="94" t="e">
        <f>'[29]Data Input'!H177</f>
        <v>#REF!</v>
      </c>
      <c r="K170" s="105">
        <f>20*16</f>
        <v>320</v>
      </c>
      <c r="L170" s="104">
        <v>148.85</v>
      </c>
      <c r="M170" s="94">
        <f t="shared" si="9"/>
        <v>-3257585.4849438579</v>
      </c>
      <c r="N170" s="94"/>
      <c r="O170" s="94"/>
      <c r="P170" s="94"/>
      <c r="Q170" s="96"/>
      <c r="R170" s="38"/>
    </row>
    <row r="171" spans="1:18" x14ac:dyDescent="0.2">
      <c r="A171" s="3">
        <v>41456</v>
      </c>
      <c r="C171" s="103"/>
      <c r="D171" s="103"/>
      <c r="E171" s="94"/>
      <c r="F171" s="94"/>
      <c r="G171" s="95"/>
      <c r="H171" s="94"/>
      <c r="I171" s="94">
        <f t="shared" si="8"/>
        <v>41456</v>
      </c>
      <c r="J171" s="94" t="e">
        <f>'[29]Data Input'!H178</f>
        <v>#REF!</v>
      </c>
      <c r="K171" s="105">
        <f>22*16</f>
        <v>352</v>
      </c>
      <c r="L171" s="104">
        <v>149.04</v>
      </c>
      <c r="M171" s="94">
        <f t="shared" si="9"/>
        <v>-3257585.4849438579</v>
      </c>
      <c r="N171" s="94"/>
      <c r="O171" s="94"/>
      <c r="P171" s="94"/>
      <c r="Q171" s="96"/>
      <c r="R171" s="38"/>
    </row>
    <row r="172" spans="1:18" x14ac:dyDescent="0.2">
      <c r="A172" s="3">
        <v>41487</v>
      </c>
      <c r="C172" s="103"/>
      <c r="D172" s="103"/>
      <c r="E172" s="94"/>
      <c r="F172" s="94"/>
      <c r="G172" s="95"/>
      <c r="H172" s="94"/>
      <c r="I172" s="94">
        <f t="shared" si="8"/>
        <v>41487</v>
      </c>
      <c r="J172" s="94" t="e">
        <f>'[29]Data Input'!H179</f>
        <v>#REF!</v>
      </c>
      <c r="K172" s="105">
        <f>21*16</f>
        <v>336</v>
      </c>
      <c r="L172" s="104">
        <v>149.22999999999999</v>
      </c>
      <c r="M172" s="94">
        <f t="shared" si="9"/>
        <v>-3257585.4849438579</v>
      </c>
      <c r="N172" s="94"/>
      <c r="O172" s="94"/>
      <c r="P172" s="94"/>
      <c r="Q172" s="96"/>
      <c r="R172" s="38"/>
    </row>
    <row r="173" spans="1:18" x14ac:dyDescent="0.2">
      <c r="A173" s="3">
        <v>41518</v>
      </c>
      <c r="C173" s="103"/>
      <c r="D173" s="103"/>
      <c r="E173" s="94"/>
      <c r="F173" s="94"/>
      <c r="G173" s="95"/>
      <c r="H173" s="94"/>
      <c r="I173" s="94">
        <f t="shared" si="8"/>
        <v>41518</v>
      </c>
      <c r="J173" s="94" t="e">
        <f>'[29]Data Input'!H180</f>
        <v>#REF!</v>
      </c>
      <c r="K173" s="105">
        <f>20*16</f>
        <v>320</v>
      </c>
      <c r="L173" s="104">
        <v>149.41999999999999</v>
      </c>
      <c r="M173" s="94">
        <f t="shared" si="9"/>
        <v>-3257585.4849438579</v>
      </c>
      <c r="N173" s="94"/>
      <c r="O173" s="94"/>
      <c r="P173" s="94"/>
      <c r="Q173" s="96"/>
      <c r="R173" s="38"/>
    </row>
    <row r="174" spans="1:18" x14ac:dyDescent="0.2">
      <c r="A174" s="3">
        <v>41548</v>
      </c>
      <c r="C174" s="103"/>
      <c r="D174" s="103"/>
      <c r="E174" s="94"/>
      <c r="F174" s="94"/>
      <c r="G174" s="95"/>
      <c r="H174" s="94"/>
      <c r="I174" s="94">
        <f t="shared" si="8"/>
        <v>41548</v>
      </c>
      <c r="J174" s="94" t="e">
        <f>'[29]Data Input'!H181</f>
        <v>#REF!</v>
      </c>
      <c r="K174" s="105">
        <f>22*16</f>
        <v>352</v>
      </c>
      <c r="L174" s="104">
        <v>149.62</v>
      </c>
      <c r="M174" s="94">
        <f t="shared" si="9"/>
        <v>-3257585.4849438579</v>
      </c>
      <c r="N174" s="94"/>
      <c r="O174" s="94"/>
      <c r="P174" s="94"/>
      <c r="Q174" s="96"/>
      <c r="R174" s="38"/>
    </row>
    <row r="175" spans="1:18" x14ac:dyDescent="0.2">
      <c r="A175" s="3">
        <v>41579</v>
      </c>
      <c r="C175" s="103"/>
      <c r="D175" s="103"/>
      <c r="E175" s="94"/>
      <c r="F175" s="94"/>
      <c r="G175" s="95"/>
      <c r="H175" s="94"/>
      <c r="I175" s="94">
        <f t="shared" si="8"/>
        <v>41579</v>
      </c>
      <c r="J175" s="94" t="e">
        <f>'[29]Data Input'!H182</f>
        <v>#REF!</v>
      </c>
      <c r="K175" s="105">
        <f>21*16</f>
        <v>336</v>
      </c>
      <c r="L175" s="104">
        <v>149.81</v>
      </c>
      <c r="M175" s="94">
        <f t="shared" si="9"/>
        <v>-3257585.4849438579</v>
      </c>
      <c r="N175" s="94"/>
      <c r="O175" s="94"/>
      <c r="P175" s="94"/>
      <c r="Q175" s="96"/>
      <c r="R175" s="38"/>
    </row>
    <row r="176" spans="1:18" x14ac:dyDescent="0.2">
      <c r="A176" s="3">
        <v>41609</v>
      </c>
      <c r="C176" s="103"/>
      <c r="D176" s="103"/>
      <c r="E176" s="94"/>
      <c r="F176" s="94"/>
      <c r="G176" s="95"/>
      <c r="H176" s="94"/>
      <c r="I176" s="94">
        <f t="shared" si="8"/>
        <v>41609</v>
      </c>
      <c r="J176" s="94" t="e">
        <f>'[29]Data Input'!H183</f>
        <v>#REF!</v>
      </c>
      <c r="K176" s="105">
        <f>20*16</f>
        <v>320</v>
      </c>
      <c r="L176" s="104">
        <v>150</v>
      </c>
      <c r="M176" s="94">
        <f t="shared" si="9"/>
        <v>-3257585.4849438579</v>
      </c>
      <c r="N176" s="94">
        <f>SUM(M165:M176)</f>
        <v>-39091025.819326304</v>
      </c>
      <c r="O176" s="94"/>
      <c r="P176" s="94"/>
      <c r="Q176" s="96"/>
      <c r="R176" s="38"/>
    </row>
    <row r="177" spans="1:18" x14ac:dyDescent="0.2">
      <c r="E177" s="22"/>
      <c r="F177" s="22"/>
    </row>
    <row r="178" spans="1:18" x14ac:dyDescent="0.2">
      <c r="B178" s="22" t="s">
        <v>160</v>
      </c>
    </row>
    <row r="179" spans="1:18" x14ac:dyDescent="0.2">
      <c r="A179" s="3">
        <v>41275</v>
      </c>
      <c r="C179" s="103"/>
      <c r="D179" s="103"/>
      <c r="E179" s="94"/>
      <c r="F179" s="94"/>
      <c r="G179" s="95"/>
      <c r="H179" s="94"/>
      <c r="I179" s="94">
        <f t="shared" ref="I179:I190" si="10">A179</f>
        <v>41275</v>
      </c>
      <c r="J179" s="94" t="e">
        <f>'[29]Data Input'!H186</f>
        <v>#REF!</v>
      </c>
      <c r="K179" s="105">
        <f>22*16</f>
        <v>352</v>
      </c>
      <c r="L179" s="104">
        <v>147.88</v>
      </c>
      <c r="M179" s="94">
        <f t="shared" ref="M179:M190" si="11">$P$18+$P$19*C179+$P$20*D179+$P$21*E179+$P$22*F179+$P$23*G179+$P$24*H179</f>
        <v>-3257585.4849438579</v>
      </c>
      <c r="N179" s="94"/>
      <c r="O179" s="94"/>
      <c r="P179" s="94"/>
      <c r="Q179" s="96"/>
      <c r="R179" s="38"/>
    </row>
    <row r="180" spans="1:18" x14ac:dyDescent="0.2">
      <c r="A180" s="3">
        <v>41306</v>
      </c>
      <c r="C180" s="103"/>
      <c r="D180" s="103"/>
      <c r="E180" s="94"/>
      <c r="F180" s="94"/>
      <c r="G180" s="95"/>
      <c r="H180" s="94"/>
      <c r="I180" s="94">
        <f t="shared" si="10"/>
        <v>41306</v>
      </c>
      <c r="J180" s="94" t="e">
        <f>'[29]Data Input'!H187</f>
        <v>#REF!</v>
      </c>
      <c r="K180" s="105">
        <f>19*16</f>
        <v>304</v>
      </c>
      <c r="L180" s="104">
        <v>148.08000000000001</v>
      </c>
      <c r="M180" s="94">
        <f t="shared" si="11"/>
        <v>-3257585.4849438579</v>
      </c>
      <c r="N180" s="94"/>
      <c r="O180" s="94"/>
      <c r="P180" s="94"/>
      <c r="Q180" s="96"/>
      <c r="R180" s="38"/>
    </row>
    <row r="181" spans="1:18" x14ac:dyDescent="0.2">
      <c r="A181" s="3">
        <v>41334</v>
      </c>
      <c r="C181" s="103"/>
      <c r="D181" s="103"/>
      <c r="E181" s="94"/>
      <c r="F181" s="94"/>
      <c r="G181" s="95"/>
      <c r="H181" s="94"/>
      <c r="I181" s="94">
        <f t="shared" si="10"/>
        <v>41334</v>
      </c>
      <c r="J181" s="94" t="e">
        <f>'[29]Data Input'!H188</f>
        <v>#REF!</v>
      </c>
      <c r="K181" s="105">
        <f>20*16</f>
        <v>320</v>
      </c>
      <c r="L181" s="104">
        <v>148.27000000000001</v>
      </c>
      <c r="M181" s="94">
        <f t="shared" si="11"/>
        <v>-3257585.4849438579</v>
      </c>
      <c r="N181" s="94"/>
      <c r="O181" s="94"/>
      <c r="P181" s="94"/>
      <c r="Q181" s="96"/>
      <c r="R181" s="38"/>
    </row>
    <row r="182" spans="1:18" x14ac:dyDescent="0.2">
      <c r="A182" s="3">
        <v>41365</v>
      </c>
      <c r="C182" s="103"/>
      <c r="D182" s="103"/>
      <c r="E182" s="94"/>
      <c r="F182" s="94"/>
      <c r="G182" s="95"/>
      <c r="H182" s="94"/>
      <c r="I182" s="94">
        <f t="shared" si="10"/>
        <v>41365</v>
      </c>
      <c r="J182" s="94" t="e">
        <f>'[29]Data Input'!H189</f>
        <v>#REF!</v>
      </c>
      <c r="K182" s="105">
        <f>22*16</f>
        <v>352</v>
      </c>
      <c r="L182" s="104">
        <v>148.46</v>
      </c>
      <c r="M182" s="94">
        <f t="shared" si="11"/>
        <v>-3257585.4849438579</v>
      </c>
      <c r="N182" s="94"/>
      <c r="O182" s="94"/>
      <c r="P182" s="94"/>
      <c r="Q182" s="96"/>
      <c r="R182" s="38"/>
    </row>
    <row r="183" spans="1:18" x14ac:dyDescent="0.2">
      <c r="A183" s="3">
        <v>41395</v>
      </c>
      <c r="C183" s="103"/>
      <c r="D183" s="103"/>
      <c r="E183" s="94"/>
      <c r="F183" s="94"/>
      <c r="G183" s="95"/>
      <c r="H183" s="94"/>
      <c r="I183" s="94">
        <f t="shared" si="10"/>
        <v>41395</v>
      </c>
      <c r="J183" s="94" t="e">
        <f>'[29]Data Input'!H190</f>
        <v>#REF!</v>
      </c>
      <c r="K183" s="105">
        <f>22*16</f>
        <v>352</v>
      </c>
      <c r="L183" s="104">
        <v>148.65</v>
      </c>
      <c r="M183" s="94">
        <f t="shared" si="11"/>
        <v>-3257585.4849438579</v>
      </c>
      <c r="N183" s="94"/>
      <c r="O183" s="94"/>
      <c r="P183" s="94"/>
      <c r="Q183" s="96"/>
      <c r="R183" s="38"/>
    </row>
    <row r="184" spans="1:18" x14ac:dyDescent="0.2">
      <c r="A184" s="3">
        <v>41426</v>
      </c>
      <c r="C184" s="103"/>
      <c r="D184" s="103"/>
      <c r="E184" s="94"/>
      <c r="F184" s="94"/>
      <c r="G184" s="95"/>
      <c r="H184" s="94"/>
      <c r="I184" s="94">
        <f t="shared" si="10"/>
        <v>41426</v>
      </c>
      <c r="J184" s="94" t="e">
        <f>'[29]Data Input'!H191</f>
        <v>#REF!</v>
      </c>
      <c r="K184" s="105">
        <f>20*16</f>
        <v>320</v>
      </c>
      <c r="L184" s="104">
        <v>148.85</v>
      </c>
      <c r="M184" s="94">
        <f t="shared" si="11"/>
        <v>-3257585.4849438579</v>
      </c>
      <c r="N184" s="94"/>
      <c r="O184" s="94"/>
      <c r="P184" s="94"/>
      <c r="Q184" s="96"/>
      <c r="R184" s="38"/>
    </row>
    <row r="185" spans="1:18" x14ac:dyDescent="0.2">
      <c r="A185" s="3">
        <v>41456</v>
      </c>
      <c r="C185" s="103"/>
      <c r="D185" s="103"/>
      <c r="E185" s="94"/>
      <c r="F185" s="94"/>
      <c r="G185" s="95"/>
      <c r="H185" s="94"/>
      <c r="I185" s="94">
        <f t="shared" si="10"/>
        <v>41456</v>
      </c>
      <c r="J185" s="94" t="e">
        <f>'[29]Data Input'!H192</f>
        <v>#REF!</v>
      </c>
      <c r="K185" s="105">
        <f>22*16</f>
        <v>352</v>
      </c>
      <c r="L185" s="104">
        <v>149.04</v>
      </c>
      <c r="M185" s="94">
        <f t="shared" si="11"/>
        <v>-3257585.4849438579</v>
      </c>
      <c r="N185" s="94"/>
      <c r="O185" s="94"/>
      <c r="P185" s="94"/>
      <c r="Q185" s="96"/>
      <c r="R185" s="38"/>
    </row>
    <row r="186" spans="1:18" x14ac:dyDescent="0.2">
      <c r="A186" s="3">
        <v>41487</v>
      </c>
      <c r="C186" s="103"/>
      <c r="D186" s="103"/>
      <c r="E186" s="94"/>
      <c r="F186" s="94"/>
      <c r="G186" s="95"/>
      <c r="H186" s="94"/>
      <c r="I186" s="94">
        <f t="shared" si="10"/>
        <v>41487</v>
      </c>
      <c r="J186" s="94" t="e">
        <f>'[29]Data Input'!H193</f>
        <v>#REF!</v>
      </c>
      <c r="K186" s="105">
        <f>21*16</f>
        <v>336</v>
      </c>
      <c r="L186" s="104">
        <v>149.22999999999999</v>
      </c>
      <c r="M186" s="94">
        <f t="shared" si="11"/>
        <v>-3257585.4849438579</v>
      </c>
      <c r="N186" s="94"/>
      <c r="O186" s="94"/>
      <c r="P186" s="94"/>
      <c r="Q186" s="96"/>
      <c r="R186" s="38"/>
    </row>
    <row r="187" spans="1:18" x14ac:dyDescent="0.2">
      <c r="A187" s="3">
        <v>41518</v>
      </c>
      <c r="C187" s="103"/>
      <c r="D187" s="103"/>
      <c r="E187" s="94"/>
      <c r="F187" s="94"/>
      <c r="G187" s="95"/>
      <c r="H187" s="94"/>
      <c r="I187" s="94">
        <f t="shared" si="10"/>
        <v>41518</v>
      </c>
      <c r="J187" s="94" t="e">
        <f>'[29]Data Input'!H194</f>
        <v>#REF!</v>
      </c>
      <c r="K187" s="105">
        <f>20*16</f>
        <v>320</v>
      </c>
      <c r="L187" s="104">
        <v>149.41999999999999</v>
      </c>
      <c r="M187" s="94">
        <f t="shared" si="11"/>
        <v>-3257585.4849438579</v>
      </c>
      <c r="N187" s="94"/>
      <c r="O187" s="94"/>
      <c r="P187" s="94"/>
      <c r="Q187" s="96"/>
      <c r="R187" s="38"/>
    </row>
    <row r="188" spans="1:18" x14ac:dyDescent="0.2">
      <c r="A188" s="3">
        <v>41548</v>
      </c>
      <c r="C188" s="103"/>
      <c r="D188" s="103"/>
      <c r="E188" s="94"/>
      <c r="F188" s="94"/>
      <c r="G188" s="95"/>
      <c r="H188" s="94"/>
      <c r="I188" s="94">
        <f t="shared" si="10"/>
        <v>41548</v>
      </c>
      <c r="J188" s="94" t="e">
        <f>'[29]Data Input'!H195</f>
        <v>#REF!</v>
      </c>
      <c r="K188" s="105">
        <f>22*16</f>
        <v>352</v>
      </c>
      <c r="L188" s="104">
        <v>149.62</v>
      </c>
      <c r="M188" s="94">
        <f t="shared" si="11"/>
        <v>-3257585.4849438579</v>
      </c>
      <c r="N188" s="94"/>
      <c r="O188" s="94"/>
      <c r="P188" s="94"/>
      <c r="Q188" s="96"/>
      <c r="R188" s="38"/>
    </row>
    <row r="189" spans="1:18" x14ac:dyDescent="0.2">
      <c r="A189" s="3">
        <v>41579</v>
      </c>
      <c r="C189" s="103"/>
      <c r="D189" s="103"/>
      <c r="E189" s="94"/>
      <c r="F189" s="94"/>
      <c r="G189" s="95"/>
      <c r="H189" s="94"/>
      <c r="I189" s="94">
        <f t="shared" si="10"/>
        <v>41579</v>
      </c>
      <c r="J189" s="94" t="e">
        <f>'[29]Data Input'!H196</f>
        <v>#REF!</v>
      </c>
      <c r="K189" s="105">
        <f>21*16</f>
        <v>336</v>
      </c>
      <c r="L189" s="104">
        <v>149.81</v>
      </c>
      <c r="M189" s="94">
        <f t="shared" si="11"/>
        <v>-3257585.4849438579</v>
      </c>
      <c r="N189" s="94"/>
      <c r="O189" s="94"/>
      <c r="P189" s="94"/>
      <c r="Q189" s="96"/>
      <c r="R189" s="38"/>
    </row>
    <row r="190" spans="1:18" x14ac:dyDescent="0.2">
      <c r="A190" s="3">
        <v>41609</v>
      </c>
      <c r="C190" s="103"/>
      <c r="D190" s="103"/>
      <c r="E190" s="94"/>
      <c r="F190" s="94"/>
      <c r="G190" s="95"/>
      <c r="H190" s="94"/>
      <c r="I190" s="94">
        <f t="shared" si="10"/>
        <v>41609</v>
      </c>
      <c r="J190" s="94" t="e">
        <f>'[29]Data Input'!H197</f>
        <v>#REF!</v>
      </c>
      <c r="K190" s="105">
        <f>20*16</f>
        <v>320</v>
      </c>
      <c r="L190" s="104">
        <v>150</v>
      </c>
      <c r="M190" s="94">
        <f t="shared" si="11"/>
        <v>-3257585.4849438579</v>
      </c>
      <c r="N190" s="94">
        <f>SUM(M179:M190)</f>
        <v>-39091025.819326304</v>
      </c>
      <c r="O190" s="94"/>
      <c r="P190" s="94"/>
      <c r="Q190" s="96"/>
      <c r="R190" s="38"/>
    </row>
  </sheetData>
  <mergeCells count="1">
    <mergeCell ref="I1:L1"/>
  </mergeCells>
  <pageMargins left="0.38" right="0.75" top="0.73" bottom="0.74" header="0.5" footer="0.5"/>
  <pageSetup orientation="landscape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AN189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178" sqref="C178:H189"/>
    </sheetView>
  </sheetViews>
  <sheetFormatPr defaultRowHeight="12.75" x14ac:dyDescent="0.2"/>
  <cols>
    <col min="1" max="1" width="11.85546875" customWidth="1"/>
    <col min="2" max="2" width="18" style="22" customWidth="1"/>
    <col min="3" max="3" width="11.7109375" style="19" customWidth="1"/>
    <col min="4" max="4" width="13.42578125" style="19" customWidth="1"/>
    <col min="5" max="5" width="12.42578125" style="19" customWidth="1"/>
    <col min="6" max="6" width="10.140625" style="19" customWidth="1"/>
    <col min="7" max="8" width="12.42578125" style="19" customWidth="1"/>
    <col min="9" max="11" width="12.42578125" style="19" hidden="1" customWidth="1"/>
    <col min="12" max="12" width="14.42578125" style="28" hidden="1" customWidth="1"/>
    <col min="13" max="13" width="12.42578125" style="19" customWidth="1"/>
    <col min="14" max="14" width="29" style="19" bestFit="1" customWidth="1"/>
    <col min="15" max="15" width="26.42578125" style="19" customWidth="1"/>
    <col min="16" max="16" width="22.7109375" style="19" customWidth="1"/>
    <col min="17" max="17" width="15.7109375" style="89" customWidth="1"/>
    <col min="18" max="18" width="17" style="89" customWidth="1"/>
    <col min="19" max="19" width="12.42578125" style="89" customWidth="1"/>
    <col min="20" max="20" width="25.85546875" bestFit="1" customWidth="1"/>
    <col min="21" max="23" width="18" customWidth="1"/>
    <col min="24" max="24" width="17.140625" customWidth="1"/>
    <col min="25" max="26" width="15.7109375" customWidth="1"/>
    <col min="27" max="27" width="15" customWidth="1"/>
    <col min="28" max="29" width="14.140625" bestFit="1" customWidth="1"/>
    <col min="30" max="30" width="11.7109375" bestFit="1" customWidth="1"/>
    <col min="31" max="31" width="11.85546875" bestFit="1" customWidth="1"/>
    <col min="32" max="32" width="12.5703125" customWidth="1"/>
    <col min="33" max="33" width="11.28515625" customWidth="1"/>
    <col min="34" max="34" width="11.5703125" customWidth="1"/>
    <col min="35" max="35" width="9.28515625" customWidth="1"/>
    <col min="37" max="37" width="11.7109375" bestFit="1" customWidth="1"/>
    <col min="38" max="38" width="10.7109375" bestFit="1" customWidth="1"/>
    <col min="40" max="40" width="9.140625" style="6"/>
    <col min="257" max="257" width="11.85546875" customWidth="1"/>
    <col min="258" max="258" width="18" customWidth="1"/>
    <col min="259" max="259" width="11.7109375" customWidth="1"/>
    <col min="260" max="260" width="13.42578125" customWidth="1"/>
    <col min="261" max="261" width="12.42578125" customWidth="1"/>
    <col min="262" max="262" width="10.140625" customWidth="1"/>
    <col min="263" max="264" width="12.42578125" customWidth="1"/>
    <col min="265" max="268" width="0" hidden="1" customWidth="1"/>
    <col min="269" max="269" width="12.42578125" customWidth="1"/>
    <col min="270" max="270" width="29" bestFit="1" customWidth="1"/>
    <col min="271" max="271" width="26.42578125" customWidth="1"/>
    <col min="272" max="272" width="22.7109375" customWidth="1"/>
    <col min="273" max="273" width="15.7109375" customWidth="1"/>
    <col min="274" max="274" width="17" customWidth="1"/>
    <col min="275" max="275" width="12.42578125" customWidth="1"/>
    <col min="276" max="276" width="25.85546875" bestFit="1" customWidth="1"/>
    <col min="277" max="279" width="18" customWidth="1"/>
    <col min="280" max="280" width="17.140625" customWidth="1"/>
    <col min="281" max="282" width="15.7109375" customWidth="1"/>
    <col min="283" max="283" width="15" customWidth="1"/>
    <col min="284" max="285" width="14.140625" bestFit="1" customWidth="1"/>
    <col min="286" max="286" width="11.7109375" bestFit="1" customWidth="1"/>
    <col min="287" max="287" width="11.85546875" bestFit="1" customWidth="1"/>
    <col min="288" max="288" width="12.5703125" customWidth="1"/>
    <col min="289" max="289" width="11.28515625" customWidth="1"/>
    <col min="290" max="290" width="11.5703125" customWidth="1"/>
    <col min="291" max="291" width="9.28515625" customWidth="1"/>
    <col min="293" max="293" width="11.7109375" bestFit="1" customWidth="1"/>
    <col min="294" max="294" width="10.7109375" bestFit="1" customWidth="1"/>
    <col min="513" max="513" width="11.85546875" customWidth="1"/>
    <col min="514" max="514" width="18" customWidth="1"/>
    <col min="515" max="515" width="11.7109375" customWidth="1"/>
    <col min="516" max="516" width="13.42578125" customWidth="1"/>
    <col min="517" max="517" width="12.42578125" customWidth="1"/>
    <col min="518" max="518" width="10.140625" customWidth="1"/>
    <col min="519" max="520" width="12.42578125" customWidth="1"/>
    <col min="521" max="524" width="0" hidden="1" customWidth="1"/>
    <col min="525" max="525" width="12.42578125" customWidth="1"/>
    <col min="526" max="526" width="29" bestFit="1" customWidth="1"/>
    <col min="527" max="527" width="26.42578125" customWidth="1"/>
    <col min="528" max="528" width="22.7109375" customWidth="1"/>
    <col min="529" max="529" width="15.7109375" customWidth="1"/>
    <col min="530" max="530" width="17" customWidth="1"/>
    <col min="531" max="531" width="12.42578125" customWidth="1"/>
    <col min="532" max="532" width="25.85546875" bestFit="1" customWidth="1"/>
    <col min="533" max="535" width="18" customWidth="1"/>
    <col min="536" max="536" width="17.140625" customWidth="1"/>
    <col min="537" max="538" width="15.7109375" customWidth="1"/>
    <col min="539" max="539" width="15" customWidth="1"/>
    <col min="540" max="541" width="14.140625" bestFit="1" customWidth="1"/>
    <col min="542" max="542" width="11.7109375" bestFit="1" customWidth="1"/>
    <col min="543" max="543" width="11.85546875" bestFit="1" customWidth="1"/>
    <col min="544" max="544" width="12.5703125" customWidth="1"/>
    <col min="545" max="545" width="11.28515625" customWidth="1"/>
    <col min="546" max="546" width="11.5703125" customWidth="1"/>
    <col min="547" max="547" width="9.28515625" customWidth="1"/>
    <col min="549" max="549" width="11.7109375" bestFit="1" customWidth="1"/>
    <col min="550" max="550" width="10.7109375" bestFit="1" customWidth="1"/>
    <col min="769" max="769" width="11.85546875" customWidth="1"/>
    <col min="770" max="770" width="18" customWidth="1"/>
    <col min="771" max="771" width="11.7109375" customWidth="1"/>
    <col min="772" max="772" width="13.42578125" customWidth="1"/>
    <col min="773" max="773" width="12.42578125" customWidth="1"/>
    <col min="774" max="774" width="10.140625" customWidth="1"/>
    <col min="775" max="776" width="12.42578125" customWidth="1"/>
    <col min="777" max="780" width="0" hidden="1" customWidth="1"/>
    <col min="781" max="781" width="12.42578125" customWidth="1"/>
    <col min="782" max="782" width="29" bestFit="1" customWidth="1"/>
    <col min="783" max="783" width="26.42578125" customWidth="1"/>
    <col min="784" max="784" width="22.7109375" customWidth="1"/>
    <col min="785" max="785" width="15.7109375" customWidth="1"/>
    <col min="786" max="786" width="17" customWidth="1"/>
    <col min="787" max="787" width="12.42578125" customWidth="1"/>
    <col min="788" max="788" width="25.85546875" bestFit="1" customWidth="1"/>
    <col min="789" max="791" width="18" customWidth="1"/>
    <col min="792" max="792" width="17.140625" customWidth="1"/>
    <col min="793" max="794" width="15.7109375" customWidth="1"/>
    <col min="795" max="795" width="15" customWidth="1"/>
    <col min="796" max="797" width="14.140625" bestFit="1" customWidth="1"/>
    <col min="798" max="798" width="11.7109375" bestFit="1" customWidth="1"/>
    <col min="799" max="799" width="11.85546875" bestFit="1" customWidth="1"/>
    <col min="800" max="800" width="12.5703125" customWidth="1"/>
    <col min="801" max="801" width="11.28515625" customWidth="1"/>
    <col min="802" max="802" width="11.5703125" customWidth="1"/>
    <col min="803" max="803" width="9.28515625" customWidth="1"/>
    <col min="805" max="805" width="11.7109375" bestFit="1" customWidth="1"/>
    <col min="806" max="806" width="10.7109375" bestFit="1" customWidth="1"/>
    <col min="1025" max="1025" width="11.85546875" customWidth="1"/>
    <col min="1026" max="1026" width="18" customWidth="1"/>
    <col min="1027" max="1027" width="11.7109375" customWidth="1"/>
    <col min="1028" max="1028" width="13.42578125" customWidth="1"/>
    <col min="1029" max="1029" width="12.42578125" customWidth="1"/>
    <col min="1030" max="1030" width="10.140625" customWidth="1"/>
    <col min="1031" max="1032" width="12.42578125" customWidth="1"/>
    <col min="1033" max="1036" width="0" hidden="1" customWidth="1"/>
    <col min="1037" max="1037" width="12.42578125" customWidth="1"/>
    <col min="1038" max="1038" width="29" bestFit="1" customWidth="1"/>
    <col min="1039" max="1039" width="26.42578125" customWidth="1"/>
    <col min="1040" max="1040" width="22.7109375" customWidth="1"/>
    <col min="1041" max="1041" width="15.7109375" customWidth="1"/>
    <col min="1042" max="1042" width="17" customWidth="1"/>
    <col min="1043" max="1043" width="12.42578125" customWidth="1"/>
    <col min="1044" max="1044" width="25.85546875" bestFit="1" customWidth="1"/>
    <col min="1045" max="1047" width="18" customWidth="1"/>
    <col min="1048" max="1048" width="17.140625" customWidth="1"/>
    <col min="1049" max="1050" width="15.7109375" customWidth="1"/>
    <col min="1051" max="1051" width="15" customWidth="1"/>
    <col min="1052" max="1053" width="14.140625" bestFit="1" customWidth="1"/>
    <col min="1054" max="1054" width="11.7109375" bestFit="1" customWidth="1"/>
    <col min="1055" max="1055" width="11.85546875" bestFit="1" customWidth="1"/>
    <col min="1056" max="1056" width="12.5703125" customWidth="1"/>
    <col min="1057" max="1057" width="11.28515625" customWidth="1"/>
    <col min="1058" max="1058" width="11.5703125" customWidth="1"/>
    <col min="1059" max="1059" width="9.28515625" customWidth="1"/>
    <col min="1061" max="1061" width="11.7109375" bestFit="1" customWidth="1"/>
    <col min="1062" max="1062" width="10.7109375" bestFit="1" customWidth="1"/>
    <col min="1281" max="1281" width="11.85546875" customWidth="1"/>
    <col min="1282" max="1282" width="18" customWidth="1"/>
    <col min="1283" max="1283" width="11.7109375" customWidth="1"/>
    <col min="1284" max="1284" width="13.42578125" customWidth="1"/>
    <col min="1285" max="1285" width="12.42578125" customWidth="1"/>
    <col min="1286" max="1286" width="10.140625" customWidth="1"/>
    <col min="1287" max="1288" width="12.42578125" customWidth="1"/>
    <col min="1289" max="1292" width="0" hidden="1" customWidth="1"/>
    <col min="1293" max="1293" width="12.42578125" customWidth="1"/>
    <col min="1294" max="1294" width="29" bestFit="1" customWidth="1"/>
    <col min="1295" max="1295" width="26.42578125" customWidth="1"/>
    <col min="1296" max="1296" width="22.7109375" customWidth="1"/>
    <col min="1297" max="1297" width="15.7109375" customWidth="1"/>
    <col min="1298" max="1298" width="17" customWidth="1"/>
    <col min="1299" max="1299" width="12.42578125" customWidth="1"/>
    <col min="1300" max="1300" width="25.85546875" bestFit="1" customWidth="1"/>
    <col min="1301" max="1303" width="18" customWidth="1"/>
    <col min="1304" max="1304" width="17.140625" customWidth="1"/>
    <col min="1305" max="1306" width="15.7109375" customWidth="1"/>
    <col min="1307" max="1307" width="15" customWidth="1"/>
    <col min="1308" max="1309" width="14.140625" bestFit="1" customWidth="1"/>
    <col min="1310" max="1310" width="11.7109375" bestFit="1" customWidth="1"/>
    <col min="1311" max="1311" width="11.85546875" bestFit="1" customWidth="1"/>
    <col min="1312" max="1312" width="12.5703125" customWidth="1"/>
    <col min="1313" max="1313" width="11.28515625" customWidth="1"/>
    <col min="1314" max="1314" width="11.5703125" customWidth="1"/>
    <col min="1315" max="1315" width="9.28515625" customWidth="1"/>
    <col min="1317" max="1317" width="11.7109375" bestFit="1" customWidth="1"/>
    <col min="1318" max="1318" width="10.7109375" bestFit="1" customWidth="1"/>
    <col min="1537" max="1537" width="11.85546875" customWidth="1"/>
    <col min="1538" max="1538" width="18" customWidth="1"/>
    <col min="1539" max="1539" width="11.7109375" customWidth="1"/>
    <col min="1540" max="1540" width="13.42578125" customWidth="1"/>
    <col min="1541" max="1541" width="12.42578125" customWidth="1"/>
    <col min="1542" max="1542" width="10.140625" customWidth="1"/>
    <col min="1543" max="1544" width="12.42578125" customWidth="1"/>
    <col min="1545" max="1548" width="0" hidden="1" customWidth="1"/>
    <col min="1549" max="1549" width="12.42578125" customWidth="1"/>
    <col min="1550" max="1550" width="29" bestFit="1" customWidth="1"/>
    <col min="1551" max="1551" width="26.42578125" customWidth="1"/>
    <col min="1552" max="1552" width="22.7109375" customWidth="1"/>
    <col min="1553" max="1553" width="15.7109375" customWidth="1"/>
    <col min="1554" max="1554" width="17" customWidth="1"/>
    <col min="1555" max="1555" width="12.42578125" customWidth="1"/>
    <col min="1556" max="1556" width="25.85546875" bestFit="1" customWidth="1"/>
    <col min="1557" max="1559" width="18" customWidth="1"/>
    <col min="1560" max="1560" width="17.140625" customWidth="1"/>
    <col min="1561" max="1562" width="15.7109375" customWidth="1"/>
    <col min="1563" max="1563" width="15" customWidth="1"/>
    <col min="1564" max="1565" width="14.140625" bestFit="1" customWidth="1"/>
    <col min="1566" max="1566" width="11.7109375" bestFit="1" customWidth="1"/>
    <col min="1567" max="1567" width="11.85546875" bestFit="1" customWidth="1"/>
    <col min="1568" max="1568" width="12.5703125" customWidth="1"/>
    <col min="1569" max="1569" width="11.28515625" customWidth="1"/>
    <col min="1570" max="1570" width="11.5703125" customWidth="1"/>
    <col min="1571" max="1571" width="9.28515625" customWidth="1"/>
    <col min="1573" max="1573" width="11.7109375" bestFit="1" customWidth="1"/>
    <col min="1574" max="1574" width="10.7109375" bestFit="1" customWidth="1"/>
    <col min="1793" max="1793" width="11.85546875" customWidth="1"/>
    <col min="1794" max="1794" width="18" customWidth="1"/>
    <col min="1795" max="1795" width="11.7109375" customWidth="1"/>
    <col min="1796" max="1796" width="13.42578125" customWidth="1"/>
    <col min="1797" max="1797" width="12.42578125" customWidth="1"/>
    <col min="1798" max="1798" width="10.140625" customWidth="1"/>
    <col min="1799" max="1800" width="12.42578125" customWidth="1"/>
    <col min="1801" max="1804" width="0" hidden="1" customWidth="1"/>
    <col min="1805" max="1805" width="12.42578125" customWidth="1"/>
    <col min="1806" max="1806" width="29" bestFit="1" customWidth="1"/>
    <col min="1807" max="1807" width="26.42578125" customWidth="1"/>
    <col min="1808" max="1808" width="22.7109375" customWidth="1"/>
    <col min="1809" max="1809" width="15.7109375" customWidth="1"/>
    <col min="1810" max="1810" width="17" customWidth="1"/>
    <col min="1811" max="1811" width="12.42578125" customWidth="1"/>
    <col min="1812" max="1812" width="25.85546875" bestFit="1" customWidth="1"/>
    <col min="1813" max="1815" width="18" customWidth="1"/>
    <col min="1816" max="1816" width="17.140625" customWidth="1"/>
    <col min="1817" max="1818" width="15.7109375" customWidth="1"/>
    <col min="1819" max="1819" width="15" customWidth="1"/>
    <col min="1820" max="1821" width="14.140625" bestFit="1" customWidth="1"/>
    <col min="1822" max="1822" width="11.7109375" bestFit="1" customWidth="1"/>
    <col min="1823" max="1823" width="11.85546875" bestFit="1" customWidth="1"/>
    <col min="1824" max="1824" width="12.5703125" customWidth="1"/>
    <col min="1825" max="1825" width="11.28515625" customWidth="1"/>
    <col min="1826" max="1826" width="11.5703125" customWidth="1"/>
    <col min="1827" max="1827" width="9.28515625" customWidth="1"/>
    <col min="1829" max="1829" width="11.7109375" bestFit="1" customWidth="1"/>
    <col min="1830" max="1830" width="10.7109375" bestFit="1" customWidth="1"/>
    <col min="2049" max="2049" width="11.85546875" customWidth="1"/>
    <col min="2050" max="2050" width="18" customWidth="1"/>
    <col min="2051" max="2051" width="11.7109375" customWidth="1"/>
    <col min="2052" max="2052" width="13.42578125" customWidth="1"/>
    <col min="2053" max="2053" width="12.42578125" customWidth="1"/>
    <col min="2054" max="2054" width="10.140625" customWidth="1"/>
    <col min="2055" max="2056" width="12.42578125" customWidth="1"/>
    <col min="2057" max="2060" width="0" hidden="1" customWidth="1"/>
    <col min="2061" max="2061" width="12.42578125" customWidth="1"/>
    <col min="2062" max="2062" width="29" bestFit="1" customWidth="1"/>
    <col min="2063" max="2063" width="26.42578125" customWidth="1"/>
    <col min="2064" max="2064" width="22.7109375" customWidth="1"/>
    <col min="2065" max="2065" width="15.7109375" customWidth="1"/>
    <col min="2066" max="2066" width="17" customWidth="1"/>
    <col min="2067" max="2067" width="12.42578125" customWidth="1"/>
    <col min="2068" max="2068" width="25.85546875" bestFit="1" customWidth="1"/>
    <col min="2069" max="2071" width="18" customWidth="1"/>
    <col min="2072" max="2072" width="17.140625" customWidth="1"/>
    <col min="2073" max="2074" width="15.7109375" customWidth="1"/>
    <col min="2075" max="2075" width="15" customWidth="1"/>
    <col min="2076" max="2077" width="14.140625" bestFit="1" customWidth="1"/>
    <col min="2078" max="2078" width="11.7109375" bestFit="1" customWidth="1"/>
    <col min="2079" max="2079" width="11.85546875" bestFit="1" customWidth="1"/>
    <col min="2080" max="2080" width="12.5703125" customWidth="1"/>
    <col min="2081" max="2081" width="11.28515625" customWidth="1"/>
    <col min="2082" max="2082" width="11.5703125" customWidth="1"/>
    <col min="2083" max="2083" width="9.28515625" customWidth="1"/>
    <col min="2085" max="2085" width="11.7109375" bestFit="1" customWidth="1"/>
    <col min="2086" max="2086" width="10.7109375" bestFit="1" customWidth="1"/>
    <col min="2305" max="2305" width="11.85546875" customWidth="1"/>
    <col min="2306" max="2306" width="18" customWidth="1"/>
    <col min="2307" max="2307" width="11.7109375" customWidth="1"/>
    <col min="2308" max="2308" width="13.42578125" customWidth="1"/>
    <col min="2309" max="2309" width="12.42578125" customWidth="1"/>
    <col min="2310" max="2310" width="10.140625" customWidth="1"/>
    <col min="2311" max="2312" width="12.42578125" customWidth="1"/>
    <col min="2313" max="2316" width="0" hidden="1" customWidth="1"/>
    <col min="2317" max="2317" width="12.42578125" customWidth="1"/>
    <col min="2318" max="2318" width="29" bestFit="1" customWidth="1"/>
    <col min="2319" max="2319" width="26.42578125" customWidth="1"/>
    <col min="2320" max="2320" width="22.7109375" customWidth="1"/>
    <col min="2321" max="2321" width="15.7109375" customWidth="1"/>
    <col min="2322" max="2322" width="17" customWidth="1"/>
    <col min="2323" max="2323" width="12.42578125" customWidth="1"/>
    <col min="2324" max="2324" width="25.85546875" bestFit="1" customWidth="1"/>
    <col min="2325" max="2327" width="18" customWidth="1"/>
    <col min="2328" max="2328" width="17.140625" customWidth="1"/>
    <col min="2329" max="2330" width="15.7109375" customWidth="1"/>
    <col min="2331" max="2331" width="15" customWidth="1"/>
    <col min="2332" max="2333" width="14.140625" bestFit="1" customWidth="1"/>
    <col min="2334" max="2334" width="11.7109375" bestFit="1" customWidth="1"/>
    <col min="2335" max="2335" width="11.85546875" bestFit="1" customWidth="1"/>
    <col min="2336" max="2336" width="12.5703125" customWidth="1"/>
    <col min="2337" max="2337" width="11.28515625" customWidth="1"/>
    <col min="2338" max="2338" width="11.5703125" customWidth="1"/>
    <col min="2339" max="2339" width="9.28515625" customWidth="1"/>
    <col min="2341" max="2341" width="11.7109375" bestFit="1" customWidth="1"/>
    <col min="2342" max="2342" width="10.7109375" bestFit="1" customWidth="1"/>
    <col min="2561" max="2561" width="11.85546875" customWidth="1"/>
    <col min="2562" max="2562" width="18" customWidth="1"/>
    <col min="2563" max="2563" width="11.7109375" customWidth="1"/>
    <col min="2564" max="2564" width="13.42578125" customWidth="1"/>
    <col min="2565" max="2565" width="12.42578125" customWidth="1"/>
    <col min="2566" max="2566" width="10.140625" customWidth="1"/>
    <col min="2567" max="2568" width="12.42578125" customWidth="1"/>
    <col min="2569" max="2572" width="0" hidden="1" customWidth="1"/>
    <col min="2573" max="2573" width="12.42578125" customWidth="1"/>
    <col min="2574" max="2574" width="29" bestFit="1" customWidth="1"/>
    <col min="2575" max="2575" width="26.42578125" customWidth="1"/>
    <col min="2576" max="2576" width="22.7109375" customWidth="1"/>
    <col min="2577" max="2577" width="15.7109375" customWidth="1"/>
    <col min="2578" max="2578" width="17" customWidth="1"/>
    <col min="2579" max="2579" width="12.42578125" customWidth="1"/>
    <col min="2580" max="2580" width="25.85546875" bestFit="1" customWidth="1"/>
    <col min="2581" max="2583" width="18" customWidth="1"/>
    <col min="2584" max="2584" width="17.140625" customWidth="1"/>
    <col min="2585" max="2586" width="15.7109375" customWidth="1"/>
    <col min="2587" max="2587" width="15" customWidth="1"/>
    <col min="2588" max="2589" width="14.140625" bestFit="1" customWidth="1"/>
    <col min="2590" max="2590" width="11.7109375" bestFit="1" customWidth="1"/>
    <col min="2591" max="2591" width="11.85546875" bestFit="1" customWidth="1"/>
    <col min="2592" max="2592" width="12.5703125" customWidth="1"/>
    <col min="2593" max="2593" width="11.28515625" customWidth="1"/>
    <col min="2594" max="2594" width="11.5703125" customWidth="1"/>
    <col min="2595" max="2595" width="9.28515625" customWidth="1"/>
    <col min="2597" max="2597" width="11.7109375" bestFit="1" customWidth="1"/>
    <col min="2598" max="2598" width="10.7109375" bestFit="1" customWidth="1"/>
    <col min="2817" max="2817" width="11.85546875" customWidth="1"/>
    <col min="2818" max="2818" width="18" customWidth="1"/>
    <col min="2819" max="2819" width="11.7109375" customWidth="1"/>
    <col min="2820" max="2820" width="13.42578125" customWidth="1"/>
    <col min="2821" max="2821" width="12.42578125" customWidth="1"/>
    <col min="2822" max="2822" width="10.140625" customWidth="1"/>
    <col min="2823" max="2824" width="12.42578125" customWidth="1"/>
    <col min="2825" max="2828" width="0" hidden="1" customWidth="1"/>
    <col min="2829" max="2829" width="12.42578125" customWidth="1"/>
    <col min="2830" max="2830" width="29" bestFit="1" customWidth="1"/>
    <col min="2831" max="2831" width="26.42578125" customWidth="1"/>
    <col min="2832" max="2832" width="22.7109375" customWidth="1"/>
    <col min="2833" max="2833" width="15.7109375" customWidth="1"/>
    <col min="2834" max="2834" width="17" customWidth="1"/>
    <col min="2835" max="2835" width="12.42578125" customWidth="1"/>
    <col min="2836" max="2836" width="25.85546875" bestFit="1" customWidth="1"/>
    <col min="2837" max="2839" width="18" customWidth="1"/>
    <col min="2840" max="2840" width="17.140625" customWidth="1"/>
    <col min="2841" max="2842" width="15.7109375" customWidth="1"/>
    <col min="2843" max="2843" width="15" customWidth="1"/>
    <col min="2844" max="2845" width="14.140625" bestFit="1" customWidth="1"/>
    <col min="2846" max="2846" width="11.7109375" bestFit="1" customWidth="1"/>
    <col min="2847" max="2847" width="11.85546875" bestFit="1" customWidth="1"/>
    <col min="2848" max="2848" width="12.5703125" customWidth="1"/>
    <col min="2849" max="2849" width="11.28515625" customWidth="1"/>
    <col min="2850" max="2850" width="11.5703125" customWidth="1"/>
    <col min="2851" max="2851" width="9.28515625" customWidth="1"/>
    <col min="2853" max="2853" width="11.7109375" bestFit="1" customWidth="1"/>
    <col min="2854" max="2854" width="10.7109375" bestFit="1" customWidth="1"/>
    <col min="3073" max="3073" width="11.85546875" customWidth="1"/>
    <col min="3074" max="3074" width="18" customWidth="1"/>
    <col min="3075" max="3075" width="11.7109375" customWidth="1"/>
    <col min="3076" max="3076" width="13.42578125" customWidth="1"/>
    <col min="3077" max="3077" width="12.42578125" customWidth="1"/>
    <col min="3078" max="3078" width="10.140625" customWidth="1"/>
    <col min="3079" max="3080" width="12.42578125" customWidth="1"/>
    <col min="3081" max="3084" width="0" hidden="1" customWidth="1"/>
    <col min="3085" max="3085" width="12.42578125" customWidth="1"/>
    <col min="3086" max="3086" width="29" bestFit="1" customWidth="1"/>
    <col min="3087" max="3087" width="26.42578125" customWidth="1"/>
    <col min="3088" max="3088" width="22.7109375" customWidth="1"/>
    <col min="3089" max="3089" width="15.7109375" customWidth="1"/>
    <col min="3090" max="3090" width="17" customWidth="1"/>
    <col min="3091" max="3091" width="12.42578125" customWidth="1"/>
    <col min="3092" max="3092" width="25.85546875" bestFit="1" customWidth="1"/>
    <col min="3093" max="3095" width="18" customWidth="1"/>
    <col min="3096" max="3096" width="17.140625" customWidth="1"/>
    <col min="3097" max="3098" width="15.7109375" customWidth="1"/>
    <col min="3099" max="3099" width="15" customWidth="1"/>
    <col min="3100" max="3101" width="14.140625" bestFit="1" customWidth="1"/>
    <col min="3102" max="3102" width="11.7109375" bestFit="1" customWidth="1"/>
    <col min="3103" max="3103" width="11.85546875" bestFit="1" customWidth="1"/>
    <col min="3104" max="3104" width="12.5703125" customWidth="1"/>
    <col min="3105" max="3105" width="11.28515625" customWidth="1"/>
    <col min="3106" max="3106" width="11.5703125" customWidth="1"/>
    <col min="3107" max="3107" width="9.28515625" customWidth="1"/>
    <col min="3109" max="3109" width="11.7109375" bestFit="1" customWidth="1"/>
    <col min="3110" max="3110" width="10.7109375" bestFit="1" customWidth="1"/>
    <col min="3329" max="3329" width="11.85546875" customWidth="1"/>
    <col min="3330" max="3330" width="18" customWidth="1"/>
    <col min="3331" max="3331" width="11.7109375" customWidth="1"/>
    <col min="3332" max="3332" width="13.42578125" customWidth="1"/>
    <col min="3333" max="3333" width="12.42578125" customWidth="1"/>
    <col min="3334" max="3334" width="10.140625" customWidth="1"/>
    <col min="3335" max="3336" width="12.42578125" customWidth="1"/>
    <col min="3337" max="3340" width="0" hidden="1" customWidth="1"/>
    <col min="3341" max="3341" width="12.42578125" customWidth="1"/>
    <col min="3342" max="3342" width="29" bestFit="1" customWidth="1"/>
    <col min="3343" max="3343" width="26.42578125" customWidth="1"/>
    <col min="3344" max="3344" width="22.7109375" customWidth="1"/>
    <col min="3345" max="3345" width="15.7109375" customWidth="1"/>
    <col min="3346" max="3346" width="17" customWidth="1"/>
    <col min="3347" max="3347" width="12.42578125" customWidth="1"/>
    <col min="3348" max="3348" width="25.85546875" bestFit="1" customWidth="1"/>
    <col min="3349" max="3351" width="18" customWidth="1"/>
    <col min="3352" max="3352" width="17.140625" customWidth="1"/>
    <col min="3353" max="3354" width="15.7109375" customWidth="1"/>
    <col min="3355" max="3355" width="15" customWidth="1"/>
    <col min="3356" max="3357" width="14.140625" bestFit="1" customWidth="1"/>
    <col min="3358" max="3358" width="11.7109375" bestFit="1" customWidth="1"/>
    <col min="3359" max="3359" width="11.85546875" bestFit="1" customWidth="1"/>
    <col min="3360" max="3360" width="12.5703125" customWidth="1"/>
    <col min="3361" max="3361" width="11.28515625" customWidth="1"/>
    <col min="3362" max="3362" width="11.5703125" customWidth="1"/>
    <col min="3363" max="3363" width="9.28515625" customWidth="1"/>
    <col min="3365" max="3365" width="11.7109375" bestFit="1" customWidth="1"/>
    <col min="3366" max="3366" width="10.7109375" bestFit="1" customWidth="1"/>
    <col min="3585" max="3585" width="11.85546875" customWidth="1"/>
    <col min="3586" max="3586" width="18" customWidth="1"/>
    <col min="3587" max="3587" width="11.7109375" customWidth="1"/>
    <col min="3588" max="3588" width="13.42578125" customWidth="1"/>
    <col min="3589" max="3589" width="12.42578125" customWidth="1"/>
    <col min="3590" max="3590" width="10.140625" customWidth="1"/>
    <col min="3591" max="3592" width="12.42578125" customWidth="1"/>
    <col min="3593" max="3596" width="0" hidden="1" customWidth="1"/>
    <col min="3597" max="3597" width="12.42578125" customWidth="1"/>
    <col min="3598" max="3598" width="29" bestFit="1" customWidth="1"/>
    <col min="3599" max="3599" width="26.42578125" customWidth="1"/>
    <col min="3600" max="3600" width="22.7109375" customWidth="1"/>
    <col min="3601" max="3601" width="15.7109375" customWidth="1"/>
    <col min="3602" max="3602" width="17" customWidth="1"/>
    <col min="3603" max="3603" width="12.42578125" customWidth="1"/>
    <col min="3604" max="3604" width="25.85546875" bestFit="1" customWidth="1"/>
    <col min="3605" max="3607" width="18" customWidth="1"/>
    <col min="3608" max="3608" width="17.140625" customWidth="1"/>
    <col min="3609" max="3610" width="15.7109375" customWidth="1"/>
    <col min="3611" max="3611" width="15" customWidth="1"/>
    <col min="3612" max="3613" width="14.140625" bestFit="1" customWidth="1"/>
    <col min="3614" max="3614" width="11.7109375" bestFit="1" customWidth="1"/>
    <col min="3615" max="3615" width="11.85546875" bestFit="1" customWidth="1"/>
    <col min="3616" max="3616" width="12.5703125" customWidth="1"/>
    <col min="3617" max="3617" width="11.28515625" customWidth="1"/>
    <col min="3618" max="3618" width="11.5703125" customWidth="1"/>
    <col min="3619" max="3619" width="9.28515625" customWidth="1"/>
    <col min="3621" max="3621" width="11.7109375" bestFit="1" customWidth="1"/>
    <col min="3622" max="3622" width="10.7109375" bestFit="1" customWidth="1"/>
    <col min="3841" max="3841" width="11.85546875" customWidth="1"/>
    <col min="3842" max="3842" width="18" customWidth="1"/>
    <col min="3843" max="3843" width="11.7109375" customWidth="1"/>
    <col min="3844" max="3844" width="13.42578125" customWidth="1"/>
    <col min="3845" max="3845" width="12.42578125" customWidth="1"/>
    <col min="3846" max="3846" width="10.140625" customWidth="1"/>
    <col min="3847" max="3848" width="12.42578125" customWidth="1"/>
    <col min="3849" max="3852" width="0" hidden="1" customWidth="1"/>
    <col min="3853" max="3853" width="12.42578125" customWidth="1"/>
    <col min="3854" max="3854" width="29" bestFit="1" customWidth="1"/>
    <col min="3855" max="3855" width="26.42578125" customWidth="1"/>
    <col min="3856" max="3856" width="22.7109375" customWidth="1"/>
    <col min="3857" max="3857" width="15.7109375" customWidth="1"/>
    <col min="3858" max="3858" width="17" customWidth="1"/>
    <col min="3859" max="3859" width="12.42578125" customWidth="1"/>
    <col min="3860" max="3860" width="25.85546875" bestFit="1" customWidth="1"/>
    <col min="3861" max="3863" width="18" customWidth="1"/>
    <col min="3864" max="3864" width="17.140625" customWidth="1"/>
    <col min="3865" max="3866" width="15.7109375" customWidth="1"/>
    <col min="3867" max="3867" width="15" customWidth="1"/>
    <col min="3868" max="3869" width="14.140625" bestFit="1" customWidth="1"/>
    <col min="3870" max="3870" width="11.7109375" bestFit="1" customWidth="1"/>
    <col min="3871" max="3871" width="11.85546875" bestFit="1" customWidth="1"/>
    <col min="3872" max="3872" width="12.5703125" customWidth="1"/>
    <col min="3873" max="3873" width="11.28515625" customWidth="1"/>
    <col min="3874" max="3874" width="11.5703125" customWidth="1"/>
    <col min="3875" max="3875" width="9.28515625" customWidth="1"/>
    <col min="3877" max="3877" width="11.7109375" bestFit="1" customWidth="1"/>
    <col min="3878" max="3878" width="10.7109375" bestFit="1" customWidth="1"/>
    <col min="4097" max="4097" width="11.85546875" customWidth="1"/>
    <col min="4098" max="4098" width="18" customWidth="1"/>
    <col min="4099" max="4099" width="11.7109375" customWidth="1"/>
    <col min="4100" max="4100" width="13.42578125" customWidth="1"/>
    <col min="4101" max="4101" width="12.42578125" customWidth="1"/>
    <col min="4102" max="4102" width="10.140625" customWidth="1"/>
    <col min="4103" max="4104" width="12.42578125" customWidth="1"/>
    <col min="4105" max="4108" width="0" hidden="1" customWidth="1"/>
    <col min="4109" max="4109" width="12.42578125" customWidth="1"/>
    <col min="4110" max="4110" width="29" bestFit="1" customWidth="1"/>
    <col min="4111" max="4111" width="26.42578125" customWidth="1"/>
    <col min="4112" max="4112" width="22.7109375" customWidth="1"/>
    <col min="4113" max="4113" width="15.7109375" customWidth="1"/>
    <col min="4114" max="4114" width="17" customWidth="1"/>
    <col min="4115" max="4115" width="12.42578125" customWidth="1"/>
    <col min="4116" max="4116" width="25.85546875" bestFit="1" customWidth="1"/>
    <col min="4117" max="4119" width="18" customWidth="1"/>
    <col min="4120" max="4120" width="17.140625" customWidth="1"/>
    <col min="4121" max="4122" width="15.7109375" customWidth="1"/>
    <col min="4123" max="4123" width="15" customWidth="1"/>
    <col min="4124" max="4125" width="14.140625" bestFit="1" customWidth="1"/>
    <col min="4126" max="4126" width="11.7109375" bestFit="1" customWidth="1"/>
    <col min="4127" max="4127" width="11.85546875" bestFit="1" customWidth="1"/>
    <col min="4128" max="4128" width="12.5703125" customWidth="1"/>
    <col min="4129" max="4129" width="11.28515625" customWidth="1"/>
    <col min="4130" max="4130" width="11.5703125" customWidth="1"/>
    <col min="4131" max="4131" width="9.28515625" customWidth="1"/>
    <col min="4133" max="4133" width="11.7109375" bestFit="1" customWidth="1"/>
    <col min="4134" max="4134" width="10.7109375" bestFit="1" customWidth="1"/>
    <col min="4353" max="4353" width="11.85546875" customWidth="1"/>
    <col min="4354" max="4354" width="18" customWidth="1"/>
    <col min="4355" max="4355" width="11.7109375" customWidth="1"/>
    <col min="4356" max="4356" width="13.42578125" customWidth="1"/>
    <col min="4357" max="4357" width="12.42578125" customWidth="1"/>
    <col min="4358" max="4358" width="10.140625" customWidth="1"/>
    <col min="4359" max="4360" width="12.42578125" customWidth="1"/>
    <col min="4361" max="4364" width="0" hidden="1" customWidth="1"/>
    <col min="4365" max="4365" width="12.42578125" customWidth="1"/>
    <col min="4366" max="4366" width="29" bestFit="1" customWidth="1"/>
    <col min="4367" max="4367" width="26.42578125" customWidth="1"/>
    <col min="4368" max="4368" width="22.7109375" customWidth="1"/>
    <col min="4369" max="4369" width="15.7109375" customWidth="1"/>
    <col min="4370" max="4370" width="17" customWidth="1"/>
    <col min="4371" max="4371" width="12.42578125" customWidth="1"/>
    <col min="4372" max="4372" width="25.85546875" bestFit="1" customWidth="1"/>
    <col min="4373" max="4375" width="18" customWidth="1"/>
    <col min="4376" max="4376" width="17.140625" customWidth="1"/>
    <col min="4377" max="4378" width="15.7109375" customWidth="1"/>
    <col min="4379" max="4379" width="15" customWidth="1"/>
    <col min="4380" max="4381" width="14.140625" bestFit="1" customWidth="1"/>
    <col min="4382" max="4382" width="11.7109375" bestFit="1" customWidth="1"/>
    <col min="4383" max="4383" width="11.85546875" bestFit="1" customWidth="1"/>
    <col min="4384" max="4384" width="12.5703125" customWidth="1"/>
    <col min="4385" max="4385" width="11.28515625" customWidth="1"/>
    <col min="4386" max="4386" width="11.5703125" customWidth="1"/>
    <col min="4387" max="4387" width="9.28515625" customWidth="1"/>
    <col min="4389" max="4389" width="11.7109375" bestFit="1" customWidth="1"/>
    <col min="4390" max="4390" width="10.7109375" bestFit="1" customWidth="1"/>
    <col min="4609" max="4609" width="11.85546875" customWidth="1"/>
    <col min="4610" max="4610" width="18" customWidth="1"/>
    <col min="4611" max="4611" width="11.7109375" customWidth="1"/>
    <col min="4612" max="4612" width="13.42578125" customWidth="1"/>
    <col min="4613" max="4613" width="12.42578125" customWidth="1"/>
    <col min="4614" max="4614" width="10.140625" customWidth="1"/>
    <col min="4615" max="4616" width="12.42578125" customWidth="1"/>
    <col min="4617" max="4620" width="0" hidden="1" customWidth="1"/>
    <col min="4621" max="4621" width="12.42578125" customWidth="1"/>
    <col min="4622" max="4622" width="29" bestFit="1" customWidth="1"/>
    <col min="4623" max="4623" width="26.42578125" customWidth="1"/>
    <col min="4624" max="4624" width="22.7109375" customWidth="1"/>
    <col min="4625" max="4625" width="15.7109375" customWidth="1"/>
    <col min="4626" max="4626" width="17" customWidth="1"/>
    <col min="4627" max="4627" width="12.42578125" customWidth="1"/>
    <col min="4628" max="4628" width="25.85546875" bestFit="1" customWidth="1"/>
    <col min="4629" max="4631" width="18" customWidth="1"/>
    <col min="4632" max="4632" width="17.140625" customWidth="1"/>
    <col min="4633" max="4634" width="15.7109375" customWidth="1"/>
    <col min="4635" max="4635" width="15" customWidth="1"/>
    <col min="4636" max="4637" width="14.140625" bestFit="1" customWidth="1"/>
    <col min="4638" max="4638" width="11.7109375" bestFit="1" customWidth="1"/>
    <col min="4639" max="4639" width="11.85546875" bestFit="1" customWidth="1"/>
    <col min="4640" max="4640" width="12.5703125" customWidth="1"/>
    <col min="4641" max="4641" width="11.28515625" customWidth="1"/>
    <col min="4642" max="4642" width="11.5703125" customWidth="1"/>
    <col min="4643" max="4643" width="9.28515625" customWidth="1"/>
    <col min="4645" max="4645" width="11.7109375" bestFit="1" customWidth="1"/>
    <col min="4646" max="4646" width="10.7109375" bestFit="1" customWidth="1"/>
    <col min="4865" max="4865" width="11.85546875" customWidth="1"/>
    <col min="4866" max="4866" width="18" customWidth="1"/>
    <col min="4867" max="4867" width="11.7109375" customWidth="1"/>
    <col min="4868" max="4868" width="13.42578125" customWidth="1"/>
    <col min="4869" max="4869" width="12.42578125" customWidth="1"/>
    <col min="4870" max="4870" width="10.140625" customWidth="1"/>
    <col min="4871" max="4872" width="12.42578125" customWidth="1"/>
    <col min="4873" max="4876" width="0" hidden="1" customWidth="1"/>
    <col min="4877" max="4877" width="12.42578125" customWidth="1"/>
    <col min="4878" max="4878" width="29" bestFit="1" customWidth="1"/>
    <col min="4879" max="4879" width="26.42578125" customWidth="1"/>
    <col min="4880" max="4880" width="22.7109375" customWidth="1"/>
    <col min="4881" max="4881" width="15.7109375" customWidth="1"/>
    <col min="4882" max="4882" width="17" customWidth="1"/>
    <col min="4883" max="4883" width="12.42578125" customWidth="1"/>
    <col min="4884" max="4884" width="25.85546875" bestFit="1" customWidth="1"/>
    <col min="4885" max="4887" width="18" customWidth="1"/>
    <col min="4888" max="4888" width="17.140625" customWidth="1"/>
    <col min="4889" max="4890" width="15.7109375" customWidth="1"/>
    <col min="4891" max="4891" width="15" customWidth="1"/>
    <col min="4892" max="4893" width="14.140625" bestFit="1" customWidth="1"/>
    <col min="4894" max="4894" width="11.7109375" bestFit="1" customWidth="1"/>
    <col min="4895" max="4895" width="11.85546875" bestFit="1" customWidth="1"/>
    <col min="4896" max="4896" width="12.5703125" customWidth="1"/>
    <col min="4897" max="4897" width="11.28515625" customWidth="1"/>
    <col min="4898" max="4898" width="11.5703125" customWidth="1"/>
    <col min="4899" max="4899" width="9.28515625" customWidth="1"/>
    <col min="4901" max="4901" width="11.7109375" bestFit="1" customWidth="1"/>
    <col min="4902" max="4902" width="10.7109375" bestFit="1" customWidth="1"/>
    <col min="5121" max="5121" width="11.85546875" customWidth="1"/>
    <col min="5122" max="5122" width="18" customWidth="1"/>
    <col min="5123" max="5123" width="11.7109375" customWidth="1"/>
    <col min="5124" max="5124" width="13.42578125" customWidth="1"/>
    <col min="5125" max="5125" width="12.42578125" customWidth="1"/>
    <col min="5126" max="5126" width="10.140625" customWidth="1"/>
    <col min="5127" max="5128" width="12.42578125" customWidth="1"/>
    <col min="5129" max="5132" width="0" hidden="1" customWidth="1"/>
    <col min="5133" max="5133" width="12.42578125" customWidth="1"/>
    <col min="5134" max="5134" width="29" bestFit="1" customWidth="1"/>
    <col min="5135" max="5135" width="26.42578125" customWidth="1"/>
    <col min="5136" max="5136" width="22.7109375" customWidth="1"/>
    <col min="5137" max="5137" width="15.7109375" customWidth="1"/>
    <col min="5138" max="5138" width="17" customWidth="1"/>
    <col min="5139" max="5139" width="12.42578125" customWidth="1"/>
    <col min="5140" max="5140" width="25.85546875" bestFit="1" customWidth="1"/>
    <col min="5141" max="5143" width="18" customWidth="1"/>
    <col min="5144" max="5144" width="17.140625" customWidth="1"/>
    <col min="5145" max="5146" width="15.7109375" customWidth="1"/>
    <col min="5147" max="5147" width="15" customWidth="1"/>
    <col min="5148" max="5149" width="14.140625" bestFit="1" customWidth="1"/>
    <col min="5150" max="5150" width="11.7109375" bestFit="1" customWidth="1"/>
    <col min="5151" max="5151" width="11.85546875" bestFit="1" customWidth="1"/>
    <col min="5152" max="5152" width="12.5703125" customWidth="1"/>
    <col min="5153" max="5153" width="11.28515625" customWidth="1"/>
    <col min="5154" max="5154" width="11.5703125" customWidth="1"/>
    <col min="5155" max="5155" width="9.28515625" customWidth="1"/>
    <col min="5157" max="5157" width="11.7109375" bestFit="1" customWidth="1"/>
    <col min="5158" max="5158" width="10.7109375" bestFit="1" customWidth="1"/>
    <col min="5377" max="5377" width="11.85546875" customWidth="1"/>
    <col min="5378" max="5378" width="18" customWidth="1"/>
    <col min="5379" max="5379" width="11.7109375" customWidth="1"/>
    <col min="5380" max="5380" width="13.42578125" customWidth="1"/>
    <col min="5381" max="5381" width="12.42578125" customWidth="1"/>
    <col min="5382" max="5382" width="10.140625" customWidth="1"/>
    <col min="5383" max="5384" width="12.42578125" customWidth="1"/>
    <col min="5385" max="5388" width="0" hidden="1" customWidth="1"/>
    <col min="5389" max="5389" width="12.42578125" customWidth="1"/>
    <col min="5390" max="5390" width="29" bestFit="1" customWidth="1"/>
    <col min="5391" max="5391" width="26.42578125" customWidth="1"/>
    <col min="5392" max="5392" width="22.7109375" customWidth="1"/>
    <col min="5393" max="5393" width="15.7109375" customWidth="1"/>
    <col min="5394" max="5394" width="17" customWidth="1"/>
    <col min="5395" max="5395" width="12.42578125" customWidth="1"/>
    <col min="5396" max="5396" width="25.85546875" bestFit="1" customWidth="1"/>
    <col min="5397" max="5399" width="18" customWidth="1"/>
    <col min="5400" max="5400" width="17.140625" customWidth="1"/>
    <col min="5401" max="5402" width="15.7109375" customWidth="1"/>
    <col min="5403" max="5403" width="15" customWidth="1"/>
    <col min="5404" max="5405" width="14.140625" bestFit="1" customWidth="1"/>
    <col min="5406" max="5406" width="11.7109375" bestFit="1" customWidth="1"/>
    <col min="5407" max="5407" width="11.85546875" bestFit="1" customWidth="1"/>
    <col min="5408" max="5408" width="12.5703125" customWidth="1"/>
    <col min="5409" max="5409" width="11.28515625" customWidth="1"/>
    <col min="5410" max="5410" width="11.5703125" customWidth="1"/>
    <col min="5411" max="5411" width="9.28515625" customWidth="1"/>
    <col min="5413" max="5413" width="11.7109375" bestFit="1" customWidth="1"/>
    <col min="5414" max="5414" width="10.7109375" bestFit="1" customWidth="1"/>
    <col min="5633" max="5633" width="11.85546875" customWidth="1"/>
    <col min="5634" max="5634" width="18" customWidth="1"/>
    <col min="5635" max="5635" width="11.7109375" customWidth="1"/>
    <col min="5636" max="5636" width="13.42578125" customWidth="1"/>
    <col min="5637" max="5637" width="12.42578125" customWidth="1"/>
    <col min="5638" max="5638" width="10.140625" customWidth="1"/>
    <col min="5639" max="5640" width="12.42578125" customWidth="1"/>
    <col min="5641" max="5644" width="0" hidden="1" customWidth="1"/>
    <col min="5645" max="5645" width="12.42578125" customWidth="1"/>
    <col min="5646" max="5646" width="29" bestFit="1" customWidth="1"/>
    <col min="5647" max="5647" width="26.42578125" customWidth="1"/>
    <col min="5648" max="5648" width="22.7109375" customWidth="1"/>
    <col min="5649" max="5649" width="15.7109375" customWidth="1"/>
    <col min="5650" max="5650" width="17" customWidth="1"/>
    <col min="5651" max="5651" width="12.42578125" customWidth="1"/>
    <col min="5652" max="5652" width="25.85546875" bestFit="1" customWidth="1"/>
    <col min="5653" max="5655" width="18" customWidth="1"/>
    <col min="5656" max="5656" width="17.140625" customWidth="1"/>
    <col min="5657" max="5658" width="15.7109375" customWidth="1"/>
    <col min="5659" max="5659" width="15" customWidth="1"/>
    <col min="5660" max="5661" width="14.140625" bestFit="1" customWidth="1"/>
    <col min="5662" max="5662" width="11.7109375" bestFit="1" customWidth="1"/>
    <col min="5663" max="5663" width="11.85546875" bestFit="1" customWidth="1"/>
    <col min="5664" max="5664" width="12.5703125" customWidth="1"/>
    <col min="5665" max="5665" width="11.28515625" customWidth="1"/>
    <col min="5666" max="5666" width="11.5703125" customWidth="1"/>
    <col min="5667" max="5667" width="9.28515625" customWidth="1"/>
    <col min="5669" max="5669" width="11.7109375" bestFit="1" customWidth="1"/>
    <col min="5670" max="5670" width="10.7109375" bestFit="1" customWidth="1"/>
    <col min="5889" max="5889" width="11.85546875" customWidth="1"/>
    <col min="5890" max="5890" width="18" customWidth="1"/>
    <col min="5891" max="5891" width="11.7109375" customWidth="1"/>
    <col min="5892" max="5892" width="13.42578125" customWidth="1"/>
    <col min="5893" max="5893" width="12.42578125" customWidth="1"/>
    <col min="5894" max="5894" width="10.140625" customWidth="1"/>
    <col min="5895" max="5896" width="12.42578125" customWidth="1"/>
    <col min="5897" max="5900" width="0" hidden="1" customWidth="1"/>
    <col min="5901" max="5901" width="12.42578125" customWidth="1"/>
    <col min="5902" max="5902" width="29" bestFit="1" customWidth="1"/>
    <col min="5903" max="5903" width="26.42578125" customWidth="1"/>
    <col min="5904" max="5904" width="22.7109375" customWidth="1"/>
    <col min="5905" max="5905" width="15.7109375" customWidth="1"/>
    <col min="5906" max="5906" width="17" customWidth="1"/>
    <col min="5907" max="5907" width="12.42578125" customWidth="1"/>
    <col min="5908" max="5908" width="25.85546875" bestFit="1" customWidth="1"/>
    <col min="5909" max="5911" width="18" customWidth="1"/>
    <col min="5912" max="5912" width="17.140625" customWidth="1"/>
    <col min="5913" max="5914" width="15.7109375" customWidth="1"/>
    <col min="5915" max="5915" width="15" customWidth="1"/>
    <col min="5916" max="5917" width="14.140625" bestFit="1" customWidth="1"/>
    <col min="5918" max="5918" width="11.7109375" bestFit="1" customWidth="1"/>
    <col min="5919" max="5919" width="11.85546875" bestFit="1" customWidth="1"/>
    <col min="5920" max="5920" width="12.5703125" customWidth="1"/>
    <col min="5921" max="5921" width="11.28515625" customWidth="1"/>
    <col min="5922" max="5922" width="11.5703125" customWidth="1"/>
    <col min="5923" max="5923" width="9.28515625" customWidth="1"/>
    <col min="5925" max="5925" width="11.7109375" bestFit="1" customWidth="1"/>
    <col min="5926" max="5926" width="10.7109375" bestFit="1" customWidth="1"/>
    <col min="6145" max="6145" width="11.85546875" customWidth="1"/>
    <col min="6146" max="6146" width="18" customWidth="1"/>
    <col min="6147" max="6147" width="11.7109375" customWidth="1"/>
    <col min="6148" max="6148" width="13.42578125" customWidth="1"/>
    <col min="6149" max="6149" width="12.42578125" customWidth="1"/>
    <col min="6150" max="6150" width="10.140625" customWidth="1"/>
    <col min="6151" max="6152" width="12.42578125" customWidth="1"/>
    <col min="6153" max="6156" width="0" hidden="1" customWidth="1"/>
    <col min="6157" max="6157" width="12.42578125" customWidth="1"/>
    <col min="6158" max="6158" width="29" bestFit="1" customWidth="1"/>
    <col min="6159" max="6159" width="26.42578125" customWidth="1"/>
    <col min="6160" max="6160" width="22.7109375" customWidth="1"/>
    <col min="6161" max="6161" width="15.7109375" customWidth="1"/>
    <col min="6162" max="6162" width="17" customWidth="1"/>
    <col min="6163" max="6163" width="12.42578125" customWidth="1"/>
    <col min="6164" max="6164" width="25.85546875" bestFit="1" customWidth="1"/>
    <col min="6165" max="6167" width="18" customWidth="1"/>
    <col min="6168" max="6168" width="17.140625" customWidth="1"/>
    <col min="6169" max="6170" width="15.7109375" customWidth="1"/>
    <col min="6171" max="6171" width="15" customWidth="1"/>
    <col min="6172" max="6173" width="14.140625" bestFit="1" customWidth="1"/>
    <col min="6174" max="6174" width="11.7109375" bestFit="1" customWidth="1"/>
    <col min="6175" max="6175" width="11.85546875" bestFit="1" customWidth="1"/>
    <col min="6176" max="6176" width="12.5703125" customWidth="1"/>
    <col min="6177" max="6177" width="11.28515625" customWidth="1"/>
    <col min="6178" max="6178" width="11.5703125" customWidth="1"/>
    <col min="6179" max="6179" width="9.28515625" customWidth="1"/>
    <col min="6181" max="6181" width="11.7109375" bestFit="1" customWidth="1"/>
    <col min="6182" max="6182" width="10.7109375" bestFit="1" customWidth="1"/>
    <col min="6401" max="6401" width="11.85546875" customWidth="1"/>
    <col min="6402" max="6402" width="18" customWidth="1"/>
    <col min="6403" max="6403" width="11.7109375" customWidth="1"/>
    <col min="6404" max="6404" width="13.42578125" customWidth="1"/>
    <col min="6405" max="6405" width="12.42578125" customWidth="1"/>
    <col min="6406" max="6406" width="10.140625" customWidth="1"/>
    <col min="6407" max="6408" width="12.42578125" customWidth="1"/>
    <col min="6409" max="6412" width="0" hidden="1" customWidth="1"/>
    <col min="6413" max="6413" width="12.42578125" customWidth="1"/>
    <col min="6414" max="6414" width="29" bestFit="1" customWidth="1"/>
    <col min="6415" max="6415" width="26.42578125" customWidth="1"/>
    <col min="6416" max="6416" width="22.7109375" customWidth="1"/>
    <col min="6417" max="6417" width="15.7109375" customWidth="1"/>
    <col min="6418" max="6418" width="17" customWidth="1"/>
    <col min="6419" max="6419" width="12.42578125" customWidth="1"/>
    <col min="6420" max="6420" width="25.85546875" bestFit="1" customWidth="1"/>
    <col min="6421" max="6423" width="18" customWidth="1"/>
    <col min="6424" max="6424" width="17.140625" customWidth="1"/>
    <col min="6425" max="6426" width="15.7109375" customWidth="1"/>
    <col min="6427" max="6427" width="15" customWidth="1"/>
    <col min="6428" max="6429" width="14.140625" bestFit="1" customWidth="1"/>
    <col min="6430" max="6430" width="11.7109375" bestFit="1" customWidth="1"/>
    <col min="6431" max="6431" width="11.85546875" bestFit="1" customWidth="1"/>
    <col min="6432" max="6432" width="12.5703125" customWidth="1"/>
    <col min="6433" max="6433" width="11.28515625" customWidth="1"/>
    <col min="6434" max="6434" width="11.5703125" customWidth="1"/>
    <col min="6435" max="6435" width="9.28515625" customWidth="1"/>
    <col min="6437" max="6437" width="11.7109375" bestFit="1" customWidth="1"/>
    <col min="6438" max="6438" width="10.7109375" bestFit="1" customWidth="1"/>
    <col min="6657" max="6657" width="11.85546875" customWidth="1"/>
    <col min="6658" max="6658" width="18" customWidth="1"/>
    <col min="6659" max="6659" width="11.7109375" customWidth="1"/>
    <col min="6660" max="6660" width="13.42578125" customWidth="1"/>
    <col min="6661" max="6661" width="12.42578125" customWidth="1"/>
    <col min="6662" max="6662" width="10.140625" customWidth="1"/>
    <col min="6663" max="6664" width="12.42578125" customWidth="1"/>
    <col min="6665" max="6668" width="0" hidden="1" customWidth="1"/>
    <col min="6669" max="6669" width="12.42578125" customWidth="1"/>
    <col min="6670" max="6670" width="29" bestFit="1" customWidth="1"/>
    <col min="6671" max="6671" width="26.42578125" customWidth="1"/>
    <col min="6672" max="6672" width="22.7109375" customWidth="1"/>
    <col min="6673" max="6673" width="15.7109375" customWidth="1"/>
    <col min="6674" max="6674" width="17" customWidth="1"/>
    <col min="6675" max="6675" width="12.42578125" customWidth="1"/>
    <col min="6676" max="6676" width="25.85546875" bestFit="1" customWidth="1"/>
    <col min="6677" max="6679" width="18" customWidth="1"/>
    <col min="6680" max="6680" width="17.140625" customWidth="1"/>
    <col min="6681" max="6682" width="15.7109375" customWidth="1"/>
    <col min="6683" max="6683" width="15" customWidth="1"/>
    <col min="6684" max="6685" width="14.140625" bestFit="1" customWidth="1"/>
    <col min="6686" max="6686" width="11.7109375" bestFit="1" customWidth="1"/>
    <col min="6687" max="6687" width="11.85546875" bestFit="1" customWidth="1"/>
    <col min="6688" max="6688" width="12.5703125" customWidth="1"/>
    <col min="6689" max="6689" width="11.28515625" customWidth="1"/>
    <col min="6690" max="6690" width="11.5703125" customWidth="1"/>
    <col min="6691" max="6691" width="9.28515625" customWidth="1"/>
    <col min="6693" max="6693" width="11.7109375" bestFit="1" customWidth="1"/>
    <col min="6694" max="6694" width="10.7109375" bestFit="1" customWidth="1"/>
    <col min="6913" max="6913" width="11.85546875" customWidth="1"/>
    <col min="6914" max="6914" width="18" customWidth="1"/>
    <col min="6915" max="6915" width="11.7109375" customWidth="1"/>
    <col min="6916" max="6916" width="13.42578125" customWidth="1"/>
    <col min="6917" max="6917" width="12.42578125" customWidth="1"/>
    <col min="6918" max="6918" width="10.140625" customWidth="1"/>
    <col min="6919" max="6920" width="12.42578125" customWidth="1"/>
    <col min="6921" max="6924" width="0" hidden="1" customWidth="1"/>
    <col min="6925" max="6925" width="12.42578125" customWidth="1"/>
    <col min="6926" max="6926" width="29" bestFit="1" customWidth="1"/>
    <col min="6927" max="6927" width="26.42578125" customWidth="1"/>
    <col min="6928" max="6928" width="22.7109375" customWidth="1"/>
    <col min="6929" max="6929" width="15.7109375" customWidth="1"/>
    <col min="6930" max="6930" width="17" customWidth="1"/>
    <col min="6931" max="6931" width="12.42578125" customWidth="1"/>
    <col min="6932" max="6932" width="25.85546875" bestFit="1" customWidth="1"/>
    <col min="6933" max="6935" width="18" customWidth="1"/>
    <col min="6936" max="6936" width="17.140625" customWidth="1"/>
    <col min="6937" max="6938" width="15.7109375" customWidth="1"/>
    <col min="6939" max="6939" width="15" customWidth="1"/>
    <col min="6940" max="6941" width="14.140625" bestFit="1" customWidth="1"/>
    <col min="6942" max="6942" width="11.7109375" bestFit="1" customWidth="1"/>
    <col min="6943" max="6943" width="11.85546875" bestFit="1" customWidth="1"/>
    <col min="6944" max="6944" width="12.5703125" customWidth="1"/>
    <col min="6945" max="6945" width="11.28515625" customWidth="1"/>
    <col min="6946" max="6946" width="11.5703125" customWidth="1"/>
    <col min="6947" max="6947" width="9.28515625" customWidth="1"/>
    <col min="6949" max="6949" width="11.7109375" bestFit="1" customWidth="1"/>
    <col min="6950" max="6950" width="10.7109375" bestFit="1" customWidth="1"/>
    <col min="7169" max="7169" width="11.85546875" customWidth="1"/>
    <col min="7170" max="7170" width="18" customWidth="1"/>
    <col min="7171" max="7171" width="11.7109375" customWidth="1"/>
    <col min="7172" max="7172" width="13.42578125" customWidth="1"/>
    <col min="7173" max="7173" width="12.42578125" customWidth="1"/>
    <col min="7174" max="7174" width="10.140625" customWidth="1"/>
    <col min="7175" max="7176" width="12.42578125" customWidth="1"/>
    <col min="7177" max="7180" width="0" hidden="1" customWidth="1"/>
    <col min="7181" max="7181" width="12.42578125" customWidth="1"/>
    <col min="7182" max="7182" width="29" bestFit="1" customWidth="1"/>
    <col min="7183" max="7183" width="26.42578125" customWidth="1"/>
    <col min="7184" max="7184" width="22.7109375" customWidth="1"/>
    <col min="7185" max="7185" width="15.7109375" customWidth="1"/>
    <col min="7186" max="7186" width="17" customWidth="1"/>
    <col min="7187" max="7187" width="12.42578125" customWidth="1"/>
    <col min="7188" max="7188" width="25.85546875" bestFit="1" customWidth="1"/>
    <col min="7189" max="7191" width="18" customWidth="1"/>
    <col min="7192" max="7192" width="17.140625" customWidth="1"/>
    <col min="7193" max="7194" width="15.7109375" customWidth="1"/>
    <col min="7195" max="7195" width="15" customWidth="1"/>
    <col min="7196" max="7197" width="14.140625" bestFit="1" customWidth="1"/>
    <col min="7198" max="7198" width="11.7109375" bestFit="1" customWidth="1"/>
    <col min="7199" max="7199" width="11.85546875" bestFit="1" customWidth="1"/>
    <col min="7200" max="7200" width="12.5703125" customWidth="1"/>
    <col min="7201" max="7201" width="11.28515625" customWidth="1"/>
    <col min="7202" max="7202" width="11.5703125" customWidth="1"/>
    <col min="7203" max="7203" width="9.28515625" customWidth="1"/>
    <col min="7205" max="7205" width="11.7109375" bestFit="1" customWidth="1"/>
    <col min="7206" max="7206" width="10.7109375" bestFit="1" customWidth="1"/>
    <col min="7425" max="7425" width="11.85546875" customWidth="1"/>
    <col min="7426" max="7426" width="18" customWidth="1"/>
    <col min="7427" max="7427" width="11.7109375" customWidth="1"/>
    <col min="7428" max="7428" width="13.42578125" customWidth="1"/>
    <col min="7429" max="7429" width="12.42578125" customWidth="1"/>
    <col min="7430" max="7430" width="10.140625" customWidth="1"/>
    <col min="7431" max="7432" width="12.42578125" customWidth="1"/>
    <col min="7433" max="7436" width="0" hidden="1" customWidth="1"/>
    <col min="7437" max="7437" width="12.42578125" customWidth="1"/>
    <col min="7438" max="7438" width="29" bestFit="1" customWidth="1"/>
    <col min="7439" max="7439" width="26.42578125" customWidth="1"/>
    <col min="7440" max="7440" width="22.7109375" customWidth="1"/>
    <col min="7441" max="7441" width="15.7109375" customWidth="1"/>
    <col min="7442" max="7442" width="17" customWidth="1"/>
    <col min="7443" max="7443" width="12.42578125" customWidth="1"/>
    <col min="7444" max="7444" width="25.85546875" bestFit="1" customWidth="1"/>
    <col min="7445" max="7447" width="18" customWidth="1"/>
    <col min="7448" max="7448" width="17.140625" customWidth="1"/>
    <col min="7449" max="7450" width="15.7109375" customWidth="1"/>
    <col min="7451" max="7451" width="15" customWidth="1"/>
    <col min="7452" max="7453" width="14.140625" bestFit="1" customWidth="1"/>
    <col min="7454" max="7454" width="11.7109375" bestFit="1" customWidth="1"/>
    <col min="7455" max="7455" width="11.85546875" bestFit="1" customWidth="1"/>
    <col min="7456" max="7456" width="12.5703125" customWidth="1"/>
    <col min="7457" max="7457" width="11.28515625" customWidth="1"/>
    <col min="7458" max="7458" width="11.5703125" customWidth="1"/>
    <col min="7459" max="7459" width="9.28515625" customWidth="1"/>
    <col min="7461" max="7461" width="11.7109375" bestFit="1" customWidth="1"/>
    <col min="7462" max="7462" width="10.7109375" bestFit="1" customWidth="1"/>
    <col min="7681" max="7681" width="11.85546875" customWidth="1"/>
    <col min="7682" max="7682" width="18" customWidth="1"/>
    <col min="7683" max="7683" width="11.7109375" customWidth="1"/>
    <col min="7684" max="7684" width="13.42578125" customWidth="1"/>
    <col min="7685" max="7685" width="12.42578125" customWidth="1"/>
    <col min="7686" max="7686" width="10.140625" customWidth="1"/>
    <col min="7687" max="7688" width="12.42578125" customWidth="1"/>
    <col min="7689" max="7692" width="0" hidden="1" customWidth="1"/>
    <col min="7693" max="7693" width="12.42578125" customWidth="1"/>
    <col min="7694" max="7694" width="29" bestFit="1" customWidth="1"/>
    <col min="7695" max="7695" width="26.42578125" customWidth="1"/>
    <col min="7696" max="7696" width="22.7109375" customWidth="1"/>
    <col min="7697" max="7697" width="15.7109375" customWidth="1"/>
    <col min="7698" max="7698" width="17" customWidth="1"/>
    <col min="7699" max="7699" width="12.42578125" customWidth="1"/>
    <col min="7700" max="7700" width="25.85546875" bestFit="1" customWidth="1"/>
    <col min="7701" max="7703" width="18" customWidth="1"/>
    <col min="7704" max="7704" width="17.140625" customWidth="1"/>
    <col min="7705" max="7706" width="15.7109375" customWidth="1"/>
    <col min="7707" max="7707" width="15" customWidth="1"/>
    <col min="7708" max="7709" width="14.140625" bestFit="1" customWidth="1"/>
    <col min="7710" max="7710" width="11.7109375" bestFit="1" customWidth="1"/>
    <col min="7711" max="7711" width="11.85546875" bestFit="1" customWidth="1"/>
    <col min="7712" max="7712" width="12.5703125" customWidth="1"/>
    <col min="7713" max="7713" width="11.28515625" customWidth="1"/>
    <col min="7714" max="7714" width="11.5703125" customWidth="1"/>
    <col min="7715" max="7715" width="9.28515625" customWidth="1"/>
    <col min="7717" max="7717" width="11.7109375" bestFit="1" customWidth="1"/>
    <col min="7718" max="7718" width="10.7109375" bestFit="1" customWidth="1"/>
    <col min="7937" max="7937" width="11.85546875" customWidth="1"/>
    <col min="7938" max="7938" width="18" customWidth="1"/>
    <col min="7939" max="7939" width="11.7109375" customWidth="1"/>
    <col min="7940" max="7940" width="13.42578125" customWidth="1"/>
    <col min="7941" max="7941" width="12.42578125" customWidth="1"/>
    <col min="7942" max="7942" width="10.140625" customWidth="1"/>
    <col min="7943" max="7944" width="12.42578125" customWidth="1"/>
    <col min="7945" max="7948" width="0" hidden="1" customWidth="1"/>
    <col min="7949" max="7949" width="12.42578125" customWidth="1"/>
    <col min="7950" max="7950" width="29" bestFit="1" customWidth="1"/>
    <col min="7951" max="7951" width="26.42578125" customWidth="1"/>
    <col min="7952" max="7952" width="22.7109375" customWidth="1"/>
    <col min="7953" max="7953" width="15.7109375" customWidth="1"/>
    <col min="7954" max="7954" width="17" customWidth="1"/>
    <col min="7955" max="7955" width="12.42578125" customWidth="1"/>
    <col min="7956" max="7956" width="25.85546875" bestFit="1" customWidth="1"/>
    <col min="7957" max="7959" width="18" customWidth="1"/>
    <col min="7960" max="7960" width="17.140625" customWidth="1"/>
    <col min="7961" max="7962" width="15.7109375" customWidth="1"/>
    <col min="7963" max="7963" width="15" customWidth="1"/>
    <col min="7964" max="7965" width="14.140625" bestFit="1" customWidth="1"/>
    <col min="7966" max="7966" width="11.7109375" bestFit="1" customWidth="1"/>
    <col min="7967" max="7967" width="11.85546875" bestFit="1" customWidth="1"/>
    <col min="7968" max="7968" width="12.5703125" customWidth="1"/>
    <col min="7969" max="7969" width="11.28515625" customWidth="1"/>
    <col min="7970" max="7970" width="11.5703125" customWidth="1"/>
    <col min="7971" max="7971" width="9.28515625" customWidth="1"/>
    <col min="7973" max="7973" width="11.7109375" bestFit="1" customWidth="1"/>
    <col min="7974" max="7974" width="10.7109375" bestFit="1" customWidth="1"/>
    <col min="8193" max="8193" width="11.85546875" customWidth="1"/>
    <col min="8194" max="8194" width="18" customWidth="1"/>
    <col min="8195" max="8195" width="11.7109375" customWidth="1"/>
    <col min="8196" max="8196" width="13.42578125" customWidth="1"/>
    <col min="8197" max="8197" width="12.42578125" customWidth="1"/>
    <col min="8198" max="8198" width="10.140625" customWidth="1"/>
    <col min="8199" max="8200" width="12.42578125" customWidth="1"/>
    <col min="8201" max="8204" width="0" hidden="1" customWidth="1"/>
    <col min="8205" max="8205" width="12.42578125" customWidth="1"/>
    <col min="8206" max="8206" width="29" bestFit="1" customWidth="1"/>
    <col min="8207" max="8207" width="26.42578125" customWidth="1"/>
    <col min="8208" max="8208" width="22.7109375" customWidth="1"/>
    <col min="8209" max="8209" width="15.7109375" customWidth="1"/>
    <col min="8210" max="8210" width="17" customWidth="1"/>
    <col min="8211" max="8211" width="12.42578125" customWidth="1"/>
    <col min="8212" max="8212" width="25.85546875" bestFit="1" customWidth="1"/>
    <col min="8213" max="8215" width="18" customWidth="1"/>
    <col min="8216" max="8216" width="17.140625" customWidth="1"/>
    <col min="8217" max="8218" width="15.7109375" customWidth="1"/>
    <col min="8219" max="8219" width="15" customWidth="1"/>
    <col min="8220" max="8221" width="14.140625" bestFit="1" customWidth="1"/>
    <col min="8222" max="8222" width="11.7109375" bestFit="1" customWidth="1"/>
    <col min="8223" max="8223" width="11.85546875" bestFit="1" customWidth="1"/>
    <col min="8224" max="8224" width="12.5703125" customWidth="1"/>
    <col min="8225" max="8225" width="11.28515625" customWidth="1"/>
    <col min="8226" max="8226" width="11.5703125" customWidth="1"/>
    <col min="8227" max="8227" width="9.28515625" customWidth="1"/>
    <col min="8229" max="8229" width="11.7109375" bestFit="1" customWidth="1"/>
    <col min="8230" max="8230" width="10.7109375" bestFit="1" customWidth="1"/>
    <col min="8449" max="8449" width="11.85546875" customWidth="1"/>
    <col min="8450" max="8450" width="18" customWidth="1"/>
    <col min="8451" max="8451" width="11.7109375" customWidth="1"/>
    <col min="8452" max="8452" width="13.42578125" customWidth="1"/>
    <col min="8453" max="8453" width="12.42578125" customWidth="1"/>
    <col min="8454" max="8454" width="10.140625" customWidth="1"/>
    <col min="8455" max="8456" width="12.42578125" customWidth="1"/>
    <col min="8457" max="8460" width="0" hidden="1" customWidth="1"/>
    <col min="8461" max="8461" width="12.42578125" customWidth="1"/>
    <col min="8462" max="8462" width="29" bestFit="1" customWidth="1"/>
    <col min="8463" max="8463" width="26.42578125" customWidth="1"/>
    <col min="8464" max="8464" width="22.7109375" customWidth="1"/>
    <col min="8465" max="8465" width="15.7109375" customWidth="1"/>
    <col min="8466" max="8466" width="17" customWidth="1"/>
    <col min="8467" max="8467" width="12.42578125" customWidth="1"/>
    <col min="8468" max="8468" width="25.85546875" bestFit="1" customWidth="1"/>
    <col min="8469" max="8471" width="18" customWidth="1"/>
    <col min="8472" max="8472" width="17.140625" customWidth="1"/>
    <col min="8473" max="8474" width="15.7109375" customWidth="1"/>
    <col min="8475" max="8475" width="15" customWidth="1"/>
    <col min="8476" max="8477" width="14.140625" bestFit="1" customWidth="1"/>
    <col min="8478" max="8478" width="11.7109375" bestFit="1" customWidth="1"/>
    <col min="8479" max="8479" width="11.85546875" bestFit="1" customWidth="1"/>
    <col min="8480" max="8480" width="12.5703125" customWidth="1"/>
    <col min="8481" max="8481" width="11.28515625" customWidth="1"/>
    <col min="8482" max="8482" width="11.5703125" customWidth="1"/>
    <col min="8483" max="8483" width="9.28515625" customWidth="1"/>
    <col min="8485" max="8485" width="11.7109375" bestFit="1" customWidth="1"/>
    <col min="8486" max="8486" width="10.7109375" bestFit="1" customWidth="1"/>
    <col min="8705" max="8705" width="11.85546875" customWidth="1"/>
    <col min="8706" max="8706" width="18" customWidth="1"/>
    <col min="8707" max="8707" width="11.7109375" customWidth="1"/>
    <col min="8708" max="8708" width="13.42578125" customWidth="1"/>
    <col min="8709" max="8709" width="12.42578125" customWidth="1"/>
    <col min="8710" max="8710" width="10.140625" customWidth="1"/>
    <col min="8711" max="8712" width="12.42578125" customWidth="1"/>
    <col min="8713" max="8716" width="0" hidden="1" customWidth="1"/>
    <col min="8717" max="8717" width="12.42578125" customWidth="1"/>
    <col min="8718" max="8718" width="29" bestFit="1" customWidth="1"/>
    <col min="8719" max="8719" width="26.42578125" customWidth="1"/>
    <col min="8720" max="8720" width="22.7109375" customWidth="1"/>
    <col min="8721" max="8721" width="15.7109375" customWidth="1"/>
    <col min="8722" max="8722" width="17" customWidth="1"/>
    <col min="8723" max="8723" width="12.42578125" customWidth="1"/>
    <col min="8724" max="8724" width="25.85546875" bestFit="1" customWidth="1"/>
    <col min="8725" max="8727" width="18" customWidth="1"/>
    <col min="8728" max="8728" width="17.140625" customWidth="1"/>
    <col min="8729" max="8730" width="15.7109375" customWidth="1"/>
    <col min="8731" max="8731" width="15" customWidth="1"/>
    <col min="8732" max="8733" width="14.140625" bestFit="1" customWidth="1"/>
    <col min="8734" max="8734" width="11.7109375" bestFit="1" customWidth="1"/>
    <col min="8735" max="8735" width="11.85546875" bestFit="1" customWidth="1"/>
    <col min="8736" max="8736" width="12.5703125" customWidth="1"/>
    <col min="8737" max="8737" width="11.28515625" customWidth="1"/>
    <col min="8738" max="8738" width="11.5703125" customWidth="1"/>
    <col min="8739" max="8739" width="9.28515625" customWidth="1"/>
    <col min="8741" max="8741" width="11.7109375" bestFit="1" customWidth="1"/>
    <col min="8742" max="8742" width="10.7109375" bestFit="1" customWidth="1"/>
    <col min="8961" max="8961" width="11.85546875" customWidth="1"/>
    <col min="8962" max="8962" width="18" customWidth="1"/>
    <col min="8963" max="8963" width="11.7109375" customWidth="1"/>
    <col min="8964" max="8964" width="13.42578125" customWidth="1"/>
    <col min="8965" max="8965" width="12.42578125" customWidth="1"/>
    <col min="8966" max="8966" width="10.140625" customWidth="1"/>
    <col min="8967" max="8968" width="12.42578125" customWidth="1"/>
    <col min="8969" max="8972" width="0" hidden="1" customWidth="1"/>
    <col min="8973" max="8973" width="12.42578125" customWidth="1"/>
    <col min="8974" max="8974" width="29" bestFit="1" customWidth="1"/>
    <col min="8975" max="8975" width="26.42578125" customWidth="1"/>
    <col min="8976" max="8976" width="22.7109375" customWidth="1"/>
    <col min="8977" max="8977" width="15.7109375" customWidth="1"/>
    <col min="8978" max="8978" width="17" customWidth="1"/>
    <col min="8979" max="8979" width="12.42578125" customWidth="1"/>
    <col min="8980" max="8980" width="25.85546875" bestFit="1" customWidth="1"/>
    <col min="8981" max="8983" width="18" customWidth="1"/>
    <col min="8984" max="8984" width="17.140625" customWidth="1"/>
    <col min="8985" max="8986" width="15.7109375" customWidth="1"/>
    <col min="8987" max="8987" width="15" customWidth="1"/>
    <col min="8988" max="8989" width="14.140625" bestFit="1" customWidth="1"/>
    <col min="8990" max="8990" width="11.7109375" bestFit="1" customWidth="1"/>
    <col min="8991" max="8991" width="11.85546875" bestFit="1" customWidth="1"/>
    <col min="8992" max="8992" width="12.5703125" customWidth="1"/>
    <col min="8993" max="8993" width="11.28515625" customWidth="1"/>
    <col min="8994" max="8994" width="11.5703125" customWidth="1"/>
    <col min="8995" max="8995" width="9.28515625" customWidth="1"/>
    <col min="8997" max="8997" width="11.7109375" bestFit="1" customWidth="1"/>
    <col min="8998" max="8998" width="10.7109375" bestFit="1" customWidth="1"/>
    <col min="9217" max="9217" width="11.85546875" customWidth="1"/>
    <col min="9218" max="9218" width="18" customWidth="1"/>
    <col min="9219" max="9219" width="11.7109375" customWidth="1"/>
    <col min="9220" max="9220" width="13.42578125" customWidth="1"/>
    <col min="9221" max="9221" width="12.42578125" customWidth="1"/>
    <col min="9222" max="9222" width="10.140625" customWidth="1"/>
    <col min="9223" max="9224" width="12.42578125" customWidth="1"/>
    <col min="9225" max="9228" width="0" hidden="1" customWidth="1"/>
    <col min="9229" max="9229" width="12.42578125" customWidth="1"/>
    <col min="9230" max="9230" width="29" bestFit="1" customWidth="1"/>
    <col min="9231" max="9231" width="26.42578125" customWidth="1"/>
    <col min="9232" max="9232" width="22.7109375" customWidth="1"/>
    <col min="9233" max="9233" width="15.7109375" customWidth="1"/>
    <col min="9234" max="9234" width="17" customWidth="1"/>
    <col min="9235" max="9235" width="12.42578125" customWidth="1"/>
    <col min="9236" max="9236" width="25.85546875" bestFit="1" customWidth="1"/>
    <col min="9237" max="9239" width="18" customWidth="1"/>
    <col min="9240" max="9240" width="17.140625" customWidth="1"/>
    <col min="9241" max="9242" width="15.7109375" customWidth="1"/>
    <col min="9243" max="9243" width="15" customWidth="1"/>
    <col min="9244" max="9245" width="14.140625" bestFit="1" customWidth="1"/>
    <col min="9246" max="9246" width="11.7109375" bestFit="1" customWidth="1"/>
    <col min="9247" max="9247" width="11.85546875" bestFit="1" customWidth="1"/>
    <col min="9248" max="9248" width="12.5703125" customWidth="1"/>
    <col min="9249" max="9249" width="11.28515625" customWidth="1"/>
    <col min="9250" max="9250" width="11.5703125" customWidth="1"/>
    <col min="9251" max="9251" width="9.28515625" customWidth="1"/>
    <col min="9253" max="9253" width="11.7109375" bestFit="1" customWidth="1"/>
    <col min="9254" max="9254" width="10.7109375" bestFit="1" customWidth="1"/>
    <col min="9473" max="9473" width="11.85546875" customWidth="1"/>
    <col min="9474" max="9474" width="18" customWidth="1"/>
    <col min="9475" max="9475" width="11.7109375" customWidth="1"/>
    <col min="9476" max="9476" width="13.42578125" customWidth="1"/>
    <col min="9477" max="9477" width="12.42578125" customWidth="1"/>
    <col min="9478" max="9478" width="10.140625" customWidth="1"/>
    <col min="9479" max="9480" width="12.42578125" customWidth="1"/>
    <col min="9481" max="9484" width="0" hidden="1" customWidth="1"/>
    <col min="9485" max="9485" width="12.42578125" customWidth="1"/>
    <col min="9486" max="9486" width="29" bestFit="1" customWidth="1"/>
    <col min="9487" max="9487" width="26.42578125" customWidth="1"/>
    <col min="9488" max="9488" width="22.7109375" customWidth="1"/>
    <col min="9489" max="9489" width="15.7109375" customWidth="1"/>
    <col min="9490" max="9490" width="17" customWidth="1"/>
    <col min="9491" max="9491" width="12.42578125" customWidth="1"/>
    <col min="9492" max="9492" width="25.85546875" bestFit="1" customWidth="1"/>
    <col min="9493" max="9495" width="18" customWidth="1"/>
    <col min="9496" max="9496" width="17.140625" customWidth="1"/>
    <col min="9497" max="9498" width="15.7109375" customWidth="1"/>
    <col min="9499" max="9499" width="15" customWidth="1"/>
    <col min="9500" max="9501" width="14.140625" bestFit="1" customWidth="1"/>
    <col min="9502" max="9502" width="11.7109375" bestFit="1" customWidth="1"/>
    <col min="9503" max="9503" width="11.85546875" bestFit="1" customWidth="1"/>
    <col min="9504" max="9504" width="12.5703125" customWidth="1"/>
    <col min="9505" max="9505" width="11.28515625" customWidth="1"/>
    <col min="9506" max="9506" width="11.5703125" customWidth="1"/>
    <col min="9507" max="9507" width="9.28515625" customWidth="1"/>
    <col min="9509" max="9509" width="11.7109375" bestFit="1" customWidth="1"/>
    <col min="9510" max="9510" width="10.7109375" bestFit="1" customWidth="1"/>
    <col min="9729" max="9729" width="11.85546875" customWidth="1"/>
    <col min="9730" max="9730" width="18" customWidth="1"/>
    <col min="9731" max="9731" width="11.7109375" customWidth="1"/>
    <col min="9732" max="9732" width="13.42578125" customWidth="1"/>
    <col min="9733" max="9733" width="12.42578125" customWidth="1"/>
    <col min="9734" max="9734" width="10.140625" customWidth="1"/>
    <col min="9735" max="9736" width="12.42578125" customWidth="1"/>
    <col min="9737" max="9740" width="0" hidden="1" customWidth="1"/>
    <col min="9741" max="9741" width="12.42578125" customWidth="1"/>
    <col min="9742" max="9742" width="29" bestFit="1" customWidth="1"/>
    <col min="9743" max="9743" width="26.42578125" customWidth="1"/>
    <col min="9744" max="9744" width="22.7109375" customWidth="1"/>
    <col min="9745" max="9745" width="15.7109375" customWidth="1"/>
    <col min="9746" max="9746" width="17" customWidth="1"/>
    <col min="9747" max="9747" width="12.42578125" customWidth="1"/>
    <col min="9748" max="9748" width="25.85546875" bestFit="1" customWidth="1"/>
    <col min="9749" max="9751" width="18" customWidth="1"/>
    <col min="9752" max="9752" width="17.140625" customWidth="1"/>
    <col min="9753" max="9754" width="15.7109375" customWidth="1"/>
    <col min="9755" max="9755" width="15" customWidth="1"/>
    <col min="9756" max="9757" width="14.140625" bestFit="1" customWidth="1"/>
    <col min="9758" max="9758" width="11.7109375" bestFit="1" customWidth="1"/>
    <col min="9759" max="9759" width="11.85546875" bestFit="1" customWidth="1"/>
    <col min="9760" max="9760" width="12.5703125" customWidth="1"/>
    <col min="9761" max="9761" width="11.28515625" customWidth="1"/>
    <col min="9762" max="9762" width="11.5703125" customWidth="1"/>
    <col min="9763" max="9763" width="9.28515625" customWidth="1"/>
    <col min="9765" max="9765" width="11.7109375" bestFit="1" customWidth="1"/>
    <col min="9766" max="9766" width="10.7109375" bestFit="1" customWidth="1"/>
    <col min="9985" max="9985" width="11.85546875" customWidth="1"/>
    <col min="9986" max="9986" width="18" customWidth="1"/>
    <col min="9987" max="9987" width="11.7109375" customWidth="1"/>
    <col min="9988" max="9988" width="13.42578125" customWidth="1"/>
    <col min="9989" max="9989" width="12.42578125" customWidth="1"/>
    <col min="9990" max="9990" width="10.140625" customWidth="1"/>
    <col min="9991" max="9992" width="12.42578125" customWidth="1"/>
    <col min="9993" max="9996" width="0" hidden="1" customWidth="1"/>
    <col min="9997" max="9997" width="12.42578125" customWidth="1"/>
    <col min="9998" max="9998" width="29" bestFit="1" customWidth="1"/>
    <col min="9999" max="9999" width="26.42578125" customWidth="1"/>
    <col min="10000" max="10000" width="22.7109375" customWidth="1"/>
    <col min="10001" max="10001" width="15.7109375" customWidth="1"/>
    <col min="10002" max="10002" width="17" customWidth="1"/>
    <col min="10003" max="10003" width="12.42578125" customWidth="1"/>
    <col min="10004" max="10004" width="25.85546875" bestFit="1" customWidth="1"/>
    <col min="10005" max="10007" width="18" customWidth="1"/>
    <col min="10008" max="10008" width="17.140625" customWidth="1"/>
    <col min="10009" max="10010" width="15.7109375" customWidth="1"/>
    <col min="10011" max="10011" width="15" customWidth="1"/>
    <col min="10012" max="10013" width="14.140625" bestFit="1" customWidth="1"/>
    <col min="10014" max="10014" width="11.7109375" bestFit="1" customWidth="1"/>
    <col min="10015" max="10015" width="11.85546875" bestFit="1" customWidth="1"/>
    <col min="10016" max="10016" width="12.5703125" customWidth="1"/>
    <col min="10017" max="10017" width="11.28515625" customWidth="1"/>
    <col min="10018" max="10018" width="11.5703125" customWidth="1"/>
    <col min="10019" max="10019" width="9.28515625" customWidth="1"/>
    <col min="10021" max="10021" width="11.7109375" bestFit="1" customWidth="1"/>
    <col min="10022" max="10022" width="10.7109375" bestFit="1" customWidth="1"/>
    <col min="10241" max="10241" width="11.85546875" customWidth="1"/>
    <col min="10242" max="10242" width="18" customWidth="1"/>
    <col min="10243" max="10243" width="11.7109375" customWidth="1"/>
    <col min="10244" max="10244" width="13.42578125" customWidth="1"/>
    <col min="10245" max="10245" width="12.42578125" customWidth="1"/>
    <col min="10246" max="10246" width="10.140625" customWidth="1"/>
    <col min="10247" max="10248" width="12.42578125" customWidth="1"/>
    <col min="10249" max="10252" width="0" hidden="1" customWidth="1"/>
    <col min="10253" max="10253" width="12.42578125" customWidth="1"/>
    <col min="10254" max="10254" width="29" bestFit="1" customWidth="1"/>
    <col min="10255" max="10255" width="26.42578125" customWidth="1"/>
    <col min="10256" max="10256" width="22.7109375" customWidth="1"/>
    <col min="10257" max="10257" width="15.7109375" customWidth="1"/>
    <col min="10258" max="10258" width="17" customWidth="1"/>
    <col min="10259" max="10259" width="12.42578125" customWidth="1"/>
    <col min="10260" max="10260" width="25.85546875" bestFit="1" customWidth="1"/>
    <col min="10261" max="10263" width="18" customWidth="1"/>
    <col min="10264" max="10264" width="17.140625" customWidth="1"/>
    <col min="10265" max="10266" width="15.7109375" customWidth="1"/>
    <col min="10267" max="10267" width="15" customWidth="1"/>
    <col min="10268" max="10269" width="14.140625" bestFit="1" customWidth="1"/>
    <col min="10270" max="10270" width="11.7109375" bestFit="1" customWidth="1"/>
    <col min="10271" max="10271" width="11.85546875" bestFit="1" customWidth="1"/>
    <col min="10272" max="10272" width="12.5703125" customWidth="1"/>
    <col min="10273" max="10273" width="11.28515625" customWidth="1"/>
    <col min="10274" max="10274" width="11.5703125" customWidth="1"/>
    <col min="10275" max="10275" width="9.28515625" customWidth="1"/>
    <col min="10277" max="10277" width="11.7109375" bestFit="1" customWidth="1"/>
    <col min="10278" max="10278" width="10.7109375" bestFit="1" customWidth="1"/>
    <col min="10497" max="10497" width="11.85546875" customWidth="1"/>
    <col min="10498" max="10498" width="18" customWidth="1"/>
    <col min="10499" max="10499" width="11.7109375" customWidth="1"/>
    <col min="10500" max="10500" width="13.42578125" customWidth="1"/>
    <col min="10501" max="10501" width="12.42578125" customWidth="1"/>
    <col min="10502" max="10502" width="10.140625" customWidth="1"/>
    <col min="10503" max="10504" width="12.42578125" customWidth="1"/>
    <col min="10505" max="10508" width="0" hidden="1" customWidth="1"/>
    <col min="10509" max="10509" width="12.42578125" customWidth="1"/>
    <col min="10510" max="10510" width="29" bestFit="1" customWidth="1"/>
    <col min="10511" max="10511" width="26.42578125" customWidth="1"/>
    <col min="10512" max="10512" width="22.7109375" customWidth="1"/>
    <col min="10513" max="10513" width="15.7109375" customWidth="1"/>
    <col min="10514" max="10514" width="17" customWidth="1"/>
    <col min="10515" max="10515" width="12.42578125" customWidth="1"/>
    <col min="10516" max="10516" width="25.85546875" bestFit="1" customWidth="1"/>
    <col min="10517" max="10519" width="18" customWidth="1"/>
    <col min="10520" max="10520" width="17.140625" customWidth="1"/>
    <col min="10521" max="10522" width="15.7109375" customWidth="1"/>
    <col min="10523" max="10523" width="15" customWidth="1"/>
    <col min="10524" max="10525" width="14.140625" bestFit="1" customWidth="1"/>
    <col min="10526" max="10526" width="11.7109375" bestFit="1" customWidth="1"/>
    <col min="10527" max="10527" width="11.85546875" bestFit="1" customWidth="1"/>
    <col min="10528" max="10528" width="12.5703125" customWidth="1"/>
    <col min="10529" max="10529" width="11.28515625" customWidth="1"/>
    <col min="10530" max="10530" width="11.5703125" customWidth="1"/>
    <col min="10531" max="10531" width="9.28515625" customWidth="1"/>
    <col min="10533" max="10533" width="11.7109375" bestFit="1" customWidth="1"/>
    <col min="10534" max="10534" width="10.7109375" bestFit="1" customWidth="1"/>
    <col min="10753" max="10753" width="11.85546875" customWidth="1"/>
    <col min="10754" max="10754" width="18" customWidth="1"/>
    <col min="10755" max="10755" width="11.7109375" customWidth="1"/>
    <col min="10756" max="10756" width="13.42578125" customWidth="1"/>
    <col min="10757" max="10757" width="12.42578125" customWidth="1"/>
    <col min="10758" max="10758" width="10.140625" customWidth="1"/>
    <col min="10759" max="10760" width="12.42578125" customWidth="1"/>
    <col min="10761" max="10764" width="0" hidden="1" customWidth="1"/>
    <col min="10765" max="10765" width="12.42578125" customWidth="1"/>
    <col min="10766" max="10766" width="29" bestFit="1" customWidth="1"/>
    <col min="10767" max="10767" width="26.42578125" customWidth="1"/>
    <col min="10768" max="10768" width="22.7109375" customWidth="1"/>
    <col min="10769" max="10769" width="15.7109375" customWidth="1"/>
    <col min="10770" max="10770" width="17" customWidth="1"/>
    <col min="10771" max="10771" width="12.42578125" customWidth="1"/>
    <col min="10772" max="10772" width="25.85546875" bestFit="1" customWidth="1"/>
    <col min="10773" max="10775" width="18" customWidth="1"/>
    <col min="10776" max="10776" width="17.140625" customWidth="1"/>
    <col min="10777" max="10778" width="15.7109375" customWidth="1"/>
    <col min="10779" max="10779" width="15" customWidth="1"/>
    <col min="10780" max="10781" width="14.140625" bestFit="1" customWidth="1"/>
    <col min="10782" max="10782" width="11.7109375" bestFit="1" customWidth="1"/>
    <col min="10783" max="10783" width="11.85546875" bestFit="1" customWidth="1"/>
    <col min="10784" max="10784" width="12.5703125" customWidth="1"/>
    <col min="10785" max="10785" width="11.28515625" customWidth="1"/>
    <col min="10786" max="10786" width="11.5703125" customWidth="1"/>
    <col min="10787" max="10787" width="9.28515625" customWidth="1"/>
    <col min="10789" max="10789" width="11.7109375" bestFit="1" customWidth="1"/>
    <col min="10790" max="10790" width="10.7109375" bestFit="1" customWidth="1"/>
    <col min="11009" max="11009" width="11.85546875" customWidth="1"/>
    <col min="11010" max="11010" width="18" customWidth="1"/>
    <col min="11011" max="11011" width="11.7109375" customWidth="1"/>
    <col min="11012" max="11012" width="13.42578125" customWidth="1"/>
    <col min="11013" max="11013" width="12.42578125" customWidth="1"/>
    <col min="11014" max="11014" width="10.140625" customWidth="1"/>
    <col min="11015" max="11016" width="12.42578125" customWidth="1"/>
    <col min="11017" max="11020" width="0" hidden="1" customWidth="1"/>
    <col min="11021" max="11021" width="12.42578125" customWidth="1"/>
    <col min="11022" max="11022" width="29" bestFit="1" customWidth="1"/>
    <col min="11023" max="11023" width="26.42578125" customWidth="1"/>
    <col min="11024" max="11024" width="22.7109375" customWidth="1"/>
    <col min="11025" max="11025" width="15.7109375" customWidth="1"/>
    <col min="11026" max="11026" width="17" customWidth="1"/>
    <col min="11027" max="11027" width="12.42578125" customWidth="1"/>
    <col min="11028" max="11028" width="25.85546875" bestFit="1" customWidth="1"/>
    <col min="11029" max="11031" width="18" customWidth="1"/>
    <col min="11032" max="11032" width="17.140625" customWidth="1"/>
    <col min="11033" max="11034" width="15.7109375" customWidth="1"/>
    <col min="11035" max="11035" width="15" customWidth="1"/>
    <col min="11036" max="11037" width="14.140625" bestFit="1" customWidth="1"/>
    <col min="11038" max="11038" width="11.7109375" bestFit="1" customWidth="1"/>
    <col min="11039" max="11039" width="11.85546875" bestFit="1" customWidth="1"/>
    <col min="11040" max="11040" width="12.5703125" customWidth="1"/>
    <col min="11041" max="11041" width="11.28515625" customWidth="1"/>
    <col min="11042" max="11042" width="11.5703125" customWidth="1"/>
    <col min="11043" max="11043" width="9.28515625" customWidth="1"/>
    <col min="11045" max="11045" width="11.7109375" bestFit="1" customWidth="1"/>
    <col min="11046" max="11046" width="10.7109375" bestFit="1" customWidth="1"/>
    <col min="11265" max="11265" width="11.85546875" customWidth="1"/>
    <col min="11266" max="11266" width="18" customWidth="1"/>
    <col min="11267" max="11267" width="11.7109375" customWidth="1"/>
    <col min="11268" max="11268" width="13.42578125" customWidth="1"/>
    <col min="11269" max="11269" width="12.42578125" customWidth="1"/>
    <col min="11270" max="11270" width="10.140625" customWidth="1"/>
    <col min="11271" max="11272" width="12.42578125" customWidth="1"/>
    <col min="11273" max="11276" width="0" hidden="1" customWidth="1"/>
    <col min="11277" max="11277" width="12.42578125" customWidth="1"/>
    <col min="11278" max="11278" width="29" bestFit="1" customWidth="1"/>
    <col min="11279" max="11279" width="26.42578125" customWidth="1"/>
    <col min="11280" max="11280" width="22.7109375" customWidth="1"/>
    <col min="11281" max="11281" width="15.7109375" customWidth="1"/>
    <col min="11282" max="11282" width="17" customWidth="1"/>
    <col min="11283" max="11283" width="12.42578125" customWidth="1"/>
    <col min="11284" max="11284" width="25.85546875" bestFit="1" customWidth="1"/>
    <col min="11285" max="11287" width="18" customWidth="1"/>
    <col min="11288" max="11288" width="17.140625" customWidth="1"/>
    <col min="11289" max="11290" width="15.7109375" customWidth="1"/>
    <col min="11291" max="11291" width="15" customWidth="1"/>
    <col min="11292" max="11293" width="14.140625" bestFit="1" customWidth="1"/>
    <col min="11294" max="11294" width="11.7109375" bestFit="1" customWidth="1"/>
    <col min="11295" max="11295" width="11.85546875" bestFit="1" customWidth="1"/>
    <col min="11296" max="11296" width="12.5703125" customWidth="1"/>
    <col min="11297" max="11297" width="11.28515625" customWidth="1"/>
    <col min="11298" max="11298" width="11.5703125" customWidth="1"/>
    <col min="11299" max="11299" width="9.28515625" customWidth="1"/>
    <col min="11301" max="11301" width="11.7109375" bestFit="1" customWidth="1"/>
    <col min="11302" max="11302" width="10.7109375" bestFit="1" customWidth="1"/>
    <col min="11521" max="11521" width="11.85546875" customWidth="1"/>
    <col min="11522" max="11522" width="18" customWidth="1"/>
    <col min="11523" max="11523" width="11.7109375" customWidth="1"/>
    <col min="11524" max="11524" width="13.42578125" customWidth="1"/>
    <col min="11525" max="11525" width="12.42578125" customWidth="1"/>
    <col min="11526" max="11526" width="10.140625" customWidth="1"/>
    <col min="11527" max="11528" width="12.42578125" customWidth="1"/>
    <col min="11529" max="11532" width="0" hidden="1" customWidth="1"/>
    <col min="11533" max="11533" width="12.42578125" customWidth="1"/>
    <col min="11534" max="11534" width="29" bestFit="1" customWidth="1"/>
    <col min="11535" max="11535" width="26.42578125" customWidth="1"/>
    <col min="11536" max="11536" width="22.7109375" customWidth="1"/>
    <col min="11537" max="11537" width="15.7109375" customWidth="1"/>
    <col min="11538" max="11538" width="17" customWidth="1"/>
    <col min="11539" max="11539" width="12.42578125" customWidth="1"/>
    <col min="11540" max="11540" width="25.85546875" bestFit="1" customWidth="1"/>
    <col min="11541" max="11543" width="18" customWidth="1"/>
    <col min="11544" max="11544" width="17.140625" customWidth="1"/>
    <col min="11545" max="11546" width="15.7109375" customWidth="1"/>
    <col min="11547" max="11547" width="15" customWidth="1"/>
    <col min="11548" max="11549" width="14.140625" bestFit="1" customWidth="1"/>
    <col min="11550" max="11550" width="11.7109375" bestFit="1" customWidth="1"/>
    <col min="11551" max="11551" width="11.85546875" bestFit="1" customWidth="1"/>
    <col min="11552" max="11552" width="12.5703125" customWidth="1"/>
    <col min="11553" max="11553" width="11.28515625" customWidth="1"/>
    <col min="11554" max="11554" width="11.5703125" customWidth="1"/>
    <col min="11555" max="11555" width="9.28515625" customWidth="1"/>
    <col min="11557" max="11557" width="11.7109375" bestFit="1" customWidth="1"/>
    <col min="11558" max="11558" width="10.7109375" bestFit="1" customWidth="1"/>
    <col min="11777" max="11777" width="11.85546875" customWidth="1"/>
    <col min="11778" max="11778" width="18" customWidth="1"/>
    <col min="11779" max="11779" width="11.7109375" customWidth="1"/>
    <col min="11780" max="11780" width="13.42578125" customWidth="1"/>
    <col min="11781" max="11781" width="12.42578125" customWidth="1"/>
    <col min="11782" max="11782" width="10.140625" customWidth="1"/>
    <col min="11783" max="11784" width="12.42578125" customWidth="1"/>
    <col min="11785" max="11788" width="0" hidden="1" customWidth="1"/>
    <col min="11789" max="11789" width="12.42578125" customWidth="1"/>
    <col min="11790" max="11790" width="29" bestFit="1" customWidth="1"/>
    <col min="11791" max="11791" width="26.42578125" customWidth="1"/>
    <col min="11792" max="11792" width="22.7109375" customWidth="1"/>
    <col min="11793" max="11793" width="15.7109375" customWidth="1"/>
    <col min="11794" max="11794" width="17" customWidth="1"/>
    <col min="11795" max="11795" width="12.42578125" customWidth="1"/>
    <col min="11796" max="11796" width="25.85546875" bestFit="1" customWidth="1"/>
    <col min="11797" max="11799" width="18" customWidth="1"/>
    <col min="11800" max="11800" width="17.140625" customWidth="1"/>
    <col min="11801" max="11802" width="15.7109375" customWidth="1"/>
    <col min="11803" max="11803" width="15" customWidth="1"/>
    <col min="11804" max="11805" width="14.140625" bestFit="1" customWidth="1"/>
    <col min="11806" max="11806" width="11.7109375" bestFit="1" customWidth="1"/>
    <col min="11807" max="11807" width="11.85546875" bestFit="1" customWidth="1"/>
    <col min="11808" max="11808" width="12.5703125" customWidth="1"/>
    <col min="11809" max="11809" width="11.28515625" customWidth="1"/>
    <col min="11810" max="11810" width="11.5703125" customWidth="1"/>
    <col min="11811" max="11811" width="9.28515625" customWidth="1"/>
    <col min="11813" max="11813" width="11.7109375" bestFit="1" customWidth="1"/>
    <col min="11814" max="11814" width="10.7109375" bestFit="1" customWidth="1"/>
    <col min="12033" max="12033" width="11.85546875" customWidth="1"/>
    <col min="12034" max="12034" width="18" customWidth="1"/>
    <col min="12035" max="12035" width="11.7109375" customWidth="1"/>
    <col min="12036" max="12036" width="13.42578125" customWidth="1"/>
    <col min="12037" max="12037" width="12.42578125" customWidth="1"/>
    <col min="12038" max="12038" width="10.140625" customWidth="1"/>
    <col min="12039" max="12040" width="12.42578125" customWidth="1"/>
    <col min="12041" max="12044" width="0" hidden="1" customWidth="1"/>
    <col min="12045" max="12045" width="12.42578125" customWidth="1"/>
    <col min="12046" max="12046" width="29" bestFit="1" customWidth="1"/>
    <col min="12047" max="12047" width="26.42578125" customWidth="1"/>
    <col min="12048" max="12048" width="22.7109375" customWidth="1"/>
    <col min="12049" max="12049" width="15.7109375" customWidth="1"/>
    <col min="12050" max="12050" width="17" customWidth="1"/>
    <col min="12051" max="12051" width="12.42578125" customWidth="1"/>
    <col min="12052" max="12052" width="25.85546875" bestFit="1" customWidth="1"/>
    <col min="12053" max="12055" width="18" customWidth="1"/>
    <col min="12056" max="12056" width="17.140625" customWidth="1"/>
    <col min="12057" max="12058" width="15.7109375" customWidth="1"/>
    <col min="12059" max="12059" width="15" customWidth="1"/>
    <col min="12060" max="12061" width="14.140625" bestFit="1" customWidth="1"/>
    <col min="12062" max="12062" width="11.7109375" bestFit="1" customWidth="1"/>
    <col min="12063" max="12063" width="11.85546875" bestFit="1" customWidth="1"/>
    <col min="12064" max="12064" width="12.5703125" customWidth="1"/>
    <col min="12065" max="12065" width="11.28515625" customWidth="1"/>
    <col min="12066" max="12066" width="11.5703125" customWidth="1"/>
    <col min="12067" max="12067" width="9.28515625" customWidth="1"/>
    <col min="12069" max="12069" width="11.7109375" bestFit="1" customWidth="1"/>
    <col min="12070" max="12070" width="10.7109375" bestFit="1" customWidth="1"/>
    <col min="12289" max="12289" width="11.85546875" customWidth="1"/>
    <col min="12290" max="12290" width="18" customWidth="1"/>
    <col min="12291" max="12291" width="11.7109375" customWidth="1"/>
    <col min="12292" max="12292" width="13.42578125" customWidth="1"/>
    <col min="12293" max="12293" width="12.42578125" customWidth="1"/>
    <col min="12294" max="12294" width="10.140625" customWidth="1"/>
    <col min="12295" max="12296" width="12.42578125" customWidth="1"/>
    <col min="12297" max="12300" width="0" hidden="1" customWidth="1"/>
    <col min="12301" max="12301" width="12.42578125" customWidth="1"/>
    <col min="12302" max="12302" width="29" bestFit="1" customWidth="1"/>
    <col min="12303" max="12303" width="26.42578125" customWidth="1"/>
    <col min="12304" max="12304" width="22.7109375" customWidth="1"/>
    <col min="12305" max="12305" width="15.7109375" customWidth="1"/>
    <col min="12306" max="12306" width="17" customWidth="1"/>
    <col min="12307" max="12307" width="12.42578125" customWidth="1"/>
    <col min="12308" max="12308" width="25.85546875" bestFit="1" customWidth="1"/>
    <col min="12309" max="12311" width="18" customWidth="1"/>
    <col min="12312" max="12312" width="17.140625" customWidth="1"/>
    <col min="12313" max="12314" width="15.7109375" customWidth="1"/>
    <col min="12315" max="12315" width="15" customWidth="1"/>
    <col min="12316" max="12317" width="14.140625" bestFit="1" customWidth="1"/>
    <col min="12318" max="12318" width="11.7109375" bestFit="1" customWidth="1"/>
    <col min="12319" max="12319" width="11.85546875" bestFit="1" customWidth="1"/>
    <col min="12320" max="12320" width="12.5703125" customWidth="1"/>
    <col min="12321" max="12321" width="11.28515625" customWidth="1"/>
    <col min="12322" max="12322" width="11.5703125" customWidth="1"/>
    <col min="12323" max="12323" width="9.28515625" customWidth="1"/>
    <col min="12325" max="12325" width="11.7109375" bestFit="1" customWidth="1"/>
    <col min="12326" max="12326" width="10.7109375" bestFit="1" customWidth="1"/>
    <col min="12545" max="12545" width="11.85546875" customWidth="1"/>
    <col min="12546" max="12546" width="18" customWidth="1"/>
    <col min="12547" max="12547" width="11.7109375" customWidth="1"/>
    <col min="12548" max="12548" width="13.42578125" customWidth="1"/>
    <col min="12549" max="12549" width="12.42578125" customWidth="1"/>
    <col min="12550" max="12550" width="10.140625" customWidth="1"/>
    <col min="12551" max="12552" width="12.42578125" customWidth="1"/>
    <col min="12553" max="12556" width="0" hidden="1" customWidth="1"/>
    <col min="12557" max="12557" width="12.42578125" customWidth="1"/>
    <col min="12558" max="12558" width="29" bestFit="1" customWidth="1"/>
    <col min="12559" max="12559" width="26.42578125" customWidth="1"/>
    <col min="12560" max="12560" width="22.7109375" customWidth="1"/>
    <col min="12561" max="12561" width="15.7109375" customWidth="1"/>
    <col min="12562" max="12562" width="17" customWidth="1"/>
    <col min="12563" max="12563" width="12.42578125" customWidth="1"/>
    <col min="12564" max="12564" width="25.85546875" bestFit="1" customWidth="1"/>
    <col min="12565" max="12567" width="18" customWidth="1"/>
    <col min="12568" max="12568" width="17.140625" customWidth="1"/>
    <col min="12569" max="12570" width="15.7109375" customWidth="1"/>
    <col min="12571" max="12571" width="15" customWidth="1"/>
    <col min="12572" max="12573" width="14.140625" bestFit="1" customWidth="1"/>
    <col min="12574" max="12574" width="11.7109375" bestFit="1" customWidth="1"/>
    <col min="12575" max="12575" width="11.85546875" bestFit="1" customWidth="1"/>
    <col min="12576" max="12576" width="12.5703125" customWidth="1"/>
    <col min="12577" max="12577" width="11.28515625" customWidth="1"/>
    <col min="12578" max="12578" width="11.5703125" customWidth="1"/>
    <col min="12579" max="12579" width="9.28515625" customWidth="1"/>
    <col min="12581" max="12581" width="11.7109375" bestFit="1" customWidth="1"/>
    <col min="12582" max="12582" width="10.7109375" bestFit="1" customWidth="1"/>
    <col min="12801" max="12801" width="11.85546875" customWidth="1"/>
    <col min="12802" max="12802" width="18" customWidth="1"/>
    <col min="12803" max="12803" width="11.7109375" customWidth="1"/>
    <col min="12804" max="12804" width="13.42578125" customWidth="1"/>
    <col min="12805" max="12805" width="12.42578125" customWidth="1"/>
    <col min="12806" max="12806" width="10.140625" customWidth="1"/>
    <col min="12807" max="12808" width="12.42578125" customWidth="1"/>
    <col min="12809" max="12812" width="0" hidden="1" customWidth="1"/>
    <col min="12813" max="12813" width="12.42578125" customWidth="1"/>
    <col min="12814" max="12814" width="29" bestFit="1" customWidth="1"/>
    <col min="12815" max="12815" width="26.42578125" customWidth="1"/>
    <col min="12816" max="12816" width="22.7109375" customWidth="1"/>
    <col min="12817" max="12817" width="15.7109375" customWidth="1"/>
    <col min="12818" max="12818" width="17" customWidth="1"/>
    <col min="12819" max="12819" width="12.42578125" customWidth="1"/>
    <col min="12820" max="12820" width="25.85546875" bestFit="1" customWidth="1"/>
    <col min="12821" max="12823" width="18" customWidth="1"/>
    <col min="12824" max="12824" width="17.140625" customWidth="1"/>
    <col min="12825" max="12826" width="15.7109375" customWidth="1"/>
    <col min="12827" max="12827" width="15" customWidth="1"/>
    <col min="12828" max="12829" width="14.140625" bestFit="1" customWidth="1"/>
    <col min="12830" max="12830" width="11.7109375" bestFit="1" customWidth="1"/>
    <col min="12831" max="12831" width="11.85546875" bestFit="1" customWidth="1"/>
    <col min="12832" max="12832" width="12.5703125" customWidth="1"/>
    <col min="12833" max="12833" width="11.28515625" customWidth="1"/>
    <col min="12834" max="12834" width="11.5703125" customWidth="1"/>
    <col min="12835" max="12835" width="9.28515625" customWidth="1"/>
    <col min="12837" max="12837" width="11.7109375" bestFit="1" customWidth="1"/>
    <col min="12838" max="12838" width="10.7109375" bestFit="1" customWidth="1"/>
    <col min="13057" max="13057" width="11.85546875" customWidth="1"/>
    <col min="13058" max="13058" width="18" customWidth="1"/>
    <col min="13059" max="13059" width="11.7109375" customWidth="1"/>
    <col min="13060" max="13060" width="13.42578125" customWidth="1"/>
    <col min="13061" max="13061" width="12.42578125" customWidth="1"/>
    <col min="13062" max="13062" width="10.140625" customWidth="1"/>
    <col min="13063" max="13064" width="12.42578125" customWidth="1"/>
    <col min="13065" max="13068" width="0" hidden="1" customWidth="1"/>
    <col min="13069" max="13069" width="12.42578125" customWidth="1"/>
    <col min="13070" max="13070" width="29" bestFit="1" customWidth="1"/>
    <col min="13071" max="13071" width="26.42578125" customWidth="1"/>
    <col min="13072" max="13072" width="22.7109375" customWidth="1"/>
    <col min="13073" max="13073" width="15.7109375" customWidth="1"/>
    <col min="13074" max="13074" width="17" customWidth="1"/>
    <col min="13075" max="13075" width="12.42578125" customWidth="1"/>
    <col min="13076" max="13076" width="25.85546875" bestFit="1" customWidth="1"/>
    <col min="13077" max="13079" width="18" customWidth="1"/>
    <col min="13080" max="13080" width="17.140625" customWidth="1"/>
    <col min="13081" max="13082" width="15.7109375" customWidth="1"/>
    <col min="13083" max="13083" width="15" customWidth="1"/>
    <col min="13084" max="13085" width="14.140625" bestFit="1" customWidth="1"/>
    <col min="13086" max="13086" width="11.7109375" bestFit="1" customWidth="1"/>
    <col min="13087" max="13087" width="11.85546875" bestFit="1" customWidth="1"/>
    <col min="13088" max="13088" width="12.5703125" customWidth="1"/>
    <col min="13089" max="13089" width="11.28515625" customWidth="1"/>
    <col min="13090" max="13090" width="11.5703125" customWidth="1"/>
    <col min="13091" max="13091" width="9.28515625" customWidth="1"/>
    <col min="13093" max="13093" width="11.7109375" bestFit="1" customWidth="1"/>
    <col min="13094" max="13094" width="10.7109375" bestFit="1" customWidth="1"/>
    <col min="13313" max="13313" width="11.85546875" customWidth="1"/>
    <col min="13314" max="13314" width="18" customWidth="1"/>
    <col min="13315" max="13315" width="11.7109375" customWidth="1"/>
    <col min="13316" max="13316" width="13.42578125" customWidth="1"/>
    <col min="13317" max="13317" width="12.42578125" customWidth="1"/>
    <col min="13318" max="13318" width="10.140625" customWidth="1"/>
    <col min="13319" max="13320" width="12.42578125" customWidth="1"/>
    <col min="13321" max="13324" width="0" hidden="1" customWidth="1"/>
    <col min="13325" max="13325" width="12.42578125" customWidth="1"/>
    <col min="13326" max="13326" width="29" bestFit="1" customWidth="1"/>
    <col min="13327" max="13327" width="26.42578125" customWidth="1"/>
    <col min="13328" max="13328" width="22.7109375" customWidth="1"/>
    <col min="13329" max="13329" width="15.7109375" customWidth="1"/>
    <col min="13330" max="13330" width="17" customWidth="1"/>
    <col min="13331" max="13331" width="12.42578125" customWidth="1"/>
    <col min="13332" max="13332" width="25.85546875" bestFit="1" customWidth="1"/>
    <col min="13333" max="13335" width="18" customWidth="1"/>
    <col min="13336" max="13336" width="17.140625" customWidth="1"/>
    <col min="13337" max="13338" width="15.7109375" customWidth="1"/>
    <col min="13339" max="13339" width="15" customWidth="1"/>
    <col min="13340" max="13341" width="14.140625" bestFit="1" customWidth="1"/>
    <col min="13342" max="13342" width="11.7109375" bestFit="1" customWidth="1"/>
    <col min="13343" max="13343" width="11.85546875" bestFit="1" customWidth="1"/>
    <col min="13344" max="13344" width="12.5703125" customWidth="1"/>
    <col min="13345" max="13345" width="11.28515625" customWidth="1"/>
    <col min="13346" max="13346" width="11.5703125" customWidth="1"/>
    <col min="13347" max="13347" width="9.28515625" customWidth="1"/>
    <col min="13349" max="13349" width="11.7109375" bestFit="1" customWidth="1"/>
    <col min="13350" max="13350" width="10.7109375" bestFit="1" customWidth="1"/>
    <col min="13569" max="13569" width="11.85546875" customWidth="1"/>
    <col min="13570" max="13570" width="18" customWidth="1"/>
    <col min="13571" max="13571" width="11.7109375" customWidth="1"/>
    <col min="13572" max="13572" width="13.42578125" customWidth="1"/>
    <col min="13573" max="13573" width="12.42578125" customWidth="1"/>
    <col min="13574" max="13574" width="10.140625" customWidth="1"/>
    <col min="13575" max="13576" width="12.42578125" customWidth="1"/>
    <col min="13577" max="13580" width="0" hidden="1" customWidth="1"/>
    <col min="13581" max="13581" width="12.42578125" customWidth="1"/>
    <col min="13582" max="13582" width="29" bestFit="1" customWidth="1"/>
    <col min="13583" max="13583" width="26.42578125" customWidth="1"/>
    <col min="13584" max="13584" width="22.7109375" customWidth="1"/>
    <col min="13585" max="13585" width="15.7109375" customWidth="1"/>
    <col min="13586" max="13586" width="17" customWidth="1"/>
    <col min="13587" max="13587" width="12.42578125" customWidth="1"/>
    <col min="13588" max="13588" width="25.85546875" bestFit="1" customWidth="1"/>
    <col min="13589" max="13591" width="18" customWidth="1"/>
    <col min="13592" max="13592" width="17.140625" customWidth="1"/>
    <col min="13593" max="13594" width="15.7109375" customWidth="1"/>
    <col min="13595" max="13595" width="15" customWidth="1"/>
    <col min="13596" max="13597" width="14.140625" bestFit="1" customWidth="1"/>
    <col min="13598" max="13598" width="11.7109375" bestFit="1" customWidth="1"/>
    <col min="13599" max="13599" width="11.85546875" bestFit="1" customWidth="1"/>
    <col min="13600" max="13600" width="12.5703125" customWidth="1"/>
    <col min="13601" max="13601" width="11.28515625" customWidth="1"/>
    <col min="13602" max="13602" width="11.5703125" customWidth="1"/>
    <col min="13603" max="13603" width="9.28515625" customWidth="1"/>
    <col min="13605" max="13605" width="11.7109375" bestFit="1" customWidth="1"/>
    <col min="13606" max="13606" width="10.7109375" bestFit="1" customWidth="1"/>
    <col min="13825" max="13825" width="11.85546875" customWidth="1"/>
    <col min="13826" max="13826" width="18" customWidth="1"/>
    <col min="13827" max="13827" width="11.7109375" customWidth="1"/>
    <col min="13828" max="13828" width="13.42578125" customWidth="1"/>
    <col min="13829" max="13829" width="12.42578125" customWidth="1"/>
    <col min="13830" max="13830" width="10.140625" customWidth="1"/>
    <col min="13831" max="13832" width="12.42578125" customWidth="1"/>
    <col min="13833" max="13836" width="0" hidden="1" customWidth="1"/>
    <col min="13837" max="13837" width="12.42578125" customWidth="1"/>
    <col min="13838" max="13838" width="29" bestFit="1" customWidth="1"/>
    <col min="13839" max="13839" width="26.42578125" customWidth="1"/>
    <col min="13840" max="13840" width="22.7109375" customWidth="1"/>
    <col min="13841" max="13841" width="15.7109375" customWidth="1"/>
    <col min="13842" max="13842" width="17" customWidth="1"/>
    <col min="13843" max="13843" width="12.42578125" customWidth="1"/>
    <col min="13844" max="13844" width="25.85546875" bestFit="1" customWidth="1"/>
    <col min="13845" max="13847" width="18" customWidth="1"/>
    <col min="13848" max="13848" width="17.140625" customWidth="1"/>
    <col min="13849" max="13850" width="15.7109375" customWidth="1"/>
    <col min="13851" max="13851" width="15" customWidth="1"/>
    <col min="13852" max="13853" width="14.140625" bestFit="1" customWidth="1"/>
    <col min="13854" max="13854" width="11.7109375" bestFit="1" customWidth="1"/>
    <col min="13855" max="13855" width="11.85546875" bestFit="1" customWidth="1"/>
    <col min="13856" max="13856" width="12.5703125" customWidth="1"/>
    <col min="13857" max="13857" width="11.28515625" customWidth="1"/>
    <col min="13858" max="13858" width="11.5703125" customWidth="1"/>
    <col min="13859" max="13859" width="9.28515625" customWidth="1"/>
    <col min="13861" max="13861" width="11.7109375" bestFit="1" customWidth="1"/>
    <col min="13862" max="13862" width="10.7109375" bestFit="1" customWidth="1"/>
    <col min="14081" max="14081" width="11.85546875" customWidth="1"/>
    <col min="14082" max="14082" width="18" customWidth="1"/>
    <col min="14083" max="14083" width="11.7109375" customWidth="1"/>
    <col min="14084" max="14084" width="13.42578125" customWidth="1"/>
    <col min="14085" max="14085" width="12.42578125" customWidth="1"/>
    <col min="14086" max="14086" width="10.140625" customWidth="1"/>
    <col min="14087" max="14088" width="12.42578125" customWidth="1"/>
    <col min="14089" max="14092" width="0" hidden="1" customWidth="1"/>
    <col min="14093" max="14093" width="12.42578125" customWidth="1"/>
    <col min="14094" max="14094" width="29" bestFit="1" customWidth="1"/>
    <col min="14095" max="14095" width="26.42578125" customWidth="1"/>
    <col min="14096" max="14096" width="22.7109375" customWidth="1"/>
    <col min="14097" max="14097" width="15.7109375" customWidth="1"/>
    <col min="14098" max="14098" width="17" customWidth="1"/>
    <col min="14099" max="14099" width="12.42578125" customWidth="1"/>
    <col min="14100" max="14100" width="25.85546875" bestFit="1" customWidth="1"/>
    <col min="14101" max="14103" width="18" customWidth="1"/>
    <col min="14104" max="14104" width="17.140625" customWidth="1"/>
    <col min="14105" max="14106" width="15.7109375" customWidth="1"/>
    <col min="14107" max="14107" width="15" customWidth="1"/>
    <col min="14108" max="14109" width="14.140625" bestFit="1" customWidth="1"/>
    <col min="14110" max="14110" width="11.7109375" bestFit="1" customWidth="1"/>
    <col min="14111" max="14111" width="11.85546875" bestFit="1" customWidth="1"/>
    <col min="14112" max="14112" width="12.5703125" customWidth="1"/>
    <col min="14113" max="14113" width="11.28515625" customWidth="1"/>
    <col min="14114" max="14114" width="11.5703125" customWidth="1"/>
    <col min="14115" max="14115" width="9.28515625" customWidth="1"/>
    <col min="14117" max="14117" width="11.7109375" bestFit="1" customWidth="1"/>
    <col min="14118" max="14118" width="10.7109375" bestFit="1" customWidth="1"/>
    <col min="14337" max="14337" width="11.85546875" customWidth="1"/>
    <col min="14338" max="14338" width="18" customWidth="1"/>
    <col min="14339" max="14339" width="11.7109375" customWidth="1"/>
    <col min="14340" max="14340" width="13.42578125" customWidth="1"/>
    <col min="14341" max="14341" width="12.42578125" customWidth="1"/>
    <col min="14342" max="14342" width="10.140625" customWidth="1"/>
    <col min="14343" max="14344" width="12.42578125" customWidth="1"/>
    <col min="14345" max="14348" width="0" hidden="1" customWidth="1"/>
    <col min="14349" max="14349" width="12.42578125" customWidth="1"/>
    <col min="14350" max="14350" width="29" bestFit="1" customWidth="1"/>
    <col min="14351" max="14351" width="26.42578125" customWidth="1"/>
    <col min="14352" max="14352" width="22.7109375" customWidth="1"/>
    <col min="14353" max="14353" width="15.7109375" customWidth="1"/>
    <col min="14354" max="14354" width="17" customWidth="1"/>
    <col min="14355" max="14355" width="12.42578125" customWidth="1"/>
    <col min="14356" max="14356" width="25.85546875" bestFit="1" customWidth="1"/>
    <col min="14357" max="14359" width="18" customWidth="1"/>
    <col min="14360" max="14360" width="17.140625" customWidth="1"/>
    <col min="14361" max="14362" width="15.7109375" customWidth="1"/>
    <col min="14363" max="14363" width="15" customWidth="1"/>
    <col min="14364" max="14365" width="14.140625" bestFit="1" customWidth="1"/>
    <col min="14366" max="14366" width="11.7109375" bestFit="1" customWidth="1"/>
    <col min="14367" max="14367" width="11.85546875" bestFit="1" customWidth="1"/>
    <col min="14368" max="14368" width="12.5703125" customWidth="1"/>
    <col min="14369" max="14369" width="11.28515625" customWidth="1"/>
    <col min="14370" max="14370" width="11.5703125" customWidth="1"/>
    <col min="14371" max="14371" width="9.28515625" customWidth="1"/>
    <col min="14373" max="14373" width="11.7109375" bestFit="1" customWidth="1"/>
    <col min="14374" max="14374" width="10.7109375" bestFit="1" customWidth="1"/>
    <col min="14593" max="14593" width="11.85546875" customWidth="1"/>
    <col min="14594" max="14594" width="18" customWidth="1"/>
    <col min="14595" max="14595" width="11.7109375" customWidth="1"/>
    <col min="14596" max="14596" width="13.42578125" customWidth="1"/>
    <col min="14597" max="14597" width="12.42578125" customWidth="1"/>
    <col min="14598" max="14598" width="10.140625" customWidth="1"/>
    <col min="14599" max="14600" width="12.42578125" customWidth="1"/>
    <col min="14601" max="14604" width="0" hidden="1" customWidth="1"/>
    <col min="14605" max="14605" width="12.42578125" customWidth="1"/>
    <col min="14606" max="14606" width="29" bestFit="1" customWidth="1"/>
    <col min="14607" max="14607" width="26.42578125" customWidth="1"/>
    <col min="14608" max="14608" width="22.7109375" customWidth="1"/>
    <col min="14609" max="14609" width="15.7109375" customWidth="1"/>
    <col min="14610" max="14610" width="17" customWidth="1"/>
    <col min="14611" max="14611" width="12.42578125" customWidth="1"/>
    <col min="14612" max="14612" width="25.85546875" bestFit="1" customWidth="1"/>
    <col min="14613" max="14615" width="18" customWidth="1"/>
    <col min="14616" max="14616" width="17.140625" customWidth="1"/>
    <col min="14617" max="14618" width="15.7109375" customWidth="1"/>
    <col min="14619" max="14619" width="15" customWidth="1"/>
    <col min="14620" max="14621" width="14.140625" bestFit="1" customWidth="1"/>
    <col min="14622" max="14622" width="11.7109375" bestFit="1" customWidth="1"/>
    <col min="14623" max="14623" width="11.85546875" bestFit="1" customWidth="1"/>
    <col min="14624" max="14624" width="12.5703125" customWidth="1"/>
    <col min="14625" max="14625" width="11.28515625" customWidth="1"/>
    <col min="14626" max="14626" width="11.5703125" customWidth="1"/>
    <col min="14627" max="14627" width="9.28515625" customWidth="1"/>
    <col min="14629" max="14629" width="11.7109375" bestFit="1" customWidth="1"/>
    <col min="14630" max="14630" width="10.7109375" bestFit="1" customWidth="1"/>
    <col min="14849" max="14849" width="11.85546875" customWidth="1"/>
    <col min="14850" max="14850" width="18" customWidth="1"/>
    <col min="14851" max="14851" width="11.7109375" customWidth="1"/>
    <col min="14852" max="14852" width="13.42578125" customWidth="1"/>
    <col min="14853" max="14853" width="12.42578125" customWidth="1"/>
    <col min="14854" max="14854" width="10.140625" customWidth="1"/>
    <col min="14855" max="14856" width="12.42578125" customWidth="1"/>
    <col min="14857" max="14860" width="0" hidden="1" customWidth="1"/>
    <col min="14861" max="14861" width="12.42578125" customWidth="1"/>
    <col min="14862" max="14862" width="29" bestFit="1" customWidth="1"/>
    <col min="14863" max="14863" width="26.42578125" customWidth="1"/>
    <col min="14864" max="14864" width="22.7109375" customWidth="1"/>
    <col min="14865" max="14865" width="15.7109375" customWidth="1"/>
    <col min="14866" max="14866" width="17" customWidth="1"/>
    <col min="14867" max="14867" width="12.42578125" customWidth="1"/>
    <col min="14868" max="14868" width="25.85546875" bestFit="1" customWidth="1"/>
    <col min="14869" max="14871" width="18" customWidth="1"/>
    <col min="14872" max="14872" width="17.140625" customWidth="1"/>
    <col min="14873" max="14874" width="15.7109375" customWidth="1"/>
    <col min="14875" max="14875" width="15" customWidth="1"/>
    <col min="14876" max="14877" width="14.140625" bestFit="1" customWidth="1"/>
    <col min="14878" max="14878" width="11.7109375" bestFit="1" customWidth="1"/>
    <col min="14879" max="14879" width="11.85546875" bestFit="1" customWidth="1"/>
    <col min="14880" max="14880" width="12.5703125" customWidth="1"/>
    <col min="14881" max="14881" width="11.28515625" customWidth="1"/>
    <col min="14882" max="14882" width="11.5703125" customWidth="1"/>
    <col min="14883" max="14883" width="9.28515625" customWidth="1"/>
    <col min="14885" max="14885" width="11.7109375" bestFit="1" customWidth="1"/>
    <col min="14886" max="14886" width="10.7109375" bestFit="1" customWidth="1"/>
    <col min="15105" max="15105" width="11.85546875" customWidth="1"/>
    <col min="15106" max="15106" width="18" customWidth="1"/>
    <col min="15107" max="15107" width="11.7109375" customWidth="1"/>
    <col min="15108" max="15108" width="13.42578125" customWidth="1"/>
    <col min="15109" max="15109" width="12.42578125" customWidth="1"/>
    <col min="15110" max="15110" width="10.140625" customWidth="1"/>
    <col min="15111" max="15112" width="12.42578125" customWidth="1"/>
    <col min="15113" max="15116" width="0" hidden="1" customWidth="1"/>
    <col min="15117" max="15117" width="12.42578125" customWidth="1"/>
    <col min="15118" max="15118" width="29" bestFit="1" customWidth="1"/>
    <col min="15119" max="15119" width="26.42578125" customWidth="1"/>
    <col min="15120" max="15120" width="22.7109375" customWidth="1"/>
    <col min="15121" max="15121" width="15.7109375" customWidth="1"/>
    <col min="15122" max="15122" width="17" customWidth="1"/>
    <col min="15123" max="15123" width="12.42578125" customWidth="1"/>
    <col min="15124" max="15124" width="25.85546875" bestFit="1" customWidth="1"/>
    <col min="15125" max="15127" width="18" customWidth="1"/>
    <col min="15128" max="15128" width="17.140625" customWidth="1"/>
    <col min="15129" max="15130" width="15.7109375" customWidth="1"/>
    <col min="15131" max="15131" width="15" customWidth="1"/>
    <col min="15132" max="15133" width="14.140625" bestFit="1" customWidth="1"/>
    <col min="15134" max="15134" width="11.7109375" bestFit="1" customWidth="1"/>
    <col min="15135" max="15135" width="11.85546875" bestFit="1" customWidth="1"/>
    <col min="15136" max="15136" width="12.5703125" customWidth="1"/>
    <col min="15137" max="15137" width="11.28515625" customWidth="1"/>
    <col min="15138" max="15138" width="11.5703125" customWidth="1"/>
    <col min="15139" max="15139" width="9.28515625" customWidth="1"/>
    <col min="15141" max="15141" width="11.7109375" bestFit="1" customWidth="1"/>
    <col min="15142" max="15142" width="10.7109375" bestFit="1" customWidth="1"/>
    <col min="15361" max="15361" width="11.85546875" customWidth="1"/>
    <col min="15362" max="15362" width="18" customWidth="1"/>
    <col min="15363" max="15363" width="11.7109375" customWidth="1"/>
    <col min="15364" max="15364" width="13.42578125" customWidth="1"/>
    <col min="15365" max="15365" width="12.42578125" customWidth="1"/>
    <col min="15366" max="15366" width="10.140625" customWidth="1"/>
    <col min="15367" max="15368" width="12.42578125" customWidth="1"/>
    <col min="15369" max="15372" width="0" hidden="1" customWidth="1"/>
    <col min="15373" max="15373" width="12.42578125" customWidth="1"/>
    <col min="15374" max="15374" width="29" bestFit="1" customWidth="1"/>
    <col min="15375" max="15375" width="26.42578125" customWidth="1"/>
    <col min="15376" max="15376" width="22.7109375" customWidth="1"/>
    <col min="15377" max="15377" width="15.7109375" customWidth="1"/>
    <col min="15378" max="15378" width="17" customWidth="1"/>
    <col min="15379" max="15379" width="12.42578125" customWidth="1"/>
    <col min="15380" max="15380" width="25.85546875" bestFit="1" customWidth="1"/>
    <col min="15381" max="15383" width="18" customWidth="1"/>
    <col min="15384" max="15384" width="17.140625" customWidth="1"/>
    <col min="15385" max="15386" width="15.7109375" customWidth="1"/>
    <col min="15387" max="15387" width="15" customWidth="1"/>
    <col min="15388" max="15389" width="14.140625" bestFit="1" customWidth="1"/>
    <col min="15390" max="15390" width="11.7109375" bestFit="1" customWidth="1"/>
    <col min="15391" max="15391" width="11.85546875" bestFit="1" customWidth="1"/>
    <col min="15392" max="15392" width="12.5703125" customWidth="1"/>
    <col min="15393" max="15393" width="11.28515625" customWidth="1"/>
    <col min="15394" max="15394" width="11.5703125" customWidth="1"/>
    <col min="15395" max="15395" width="9.28515625" customWidth="1"/>
    <col min="15397" max="15397" width="11.7109375" bestFit="1" customWidth="1"/>
    <col min="15398" max="15398" width="10.7109375" bestFit="1" customWidth="1"/>
    <col min="15617" max="15617" width="11.85546875" customWidth="1"/>
    <col min="15618" max="15618" width="18" customWidth="1"/>
    <col min="15619" max="15619" width="11.7109375" customWidth="1"/>
    <col min="15620" max="15620" width="13.42578125" customWidth="1"/>
    <col min="15621" max="15621" width="12.42578125" customWidth="1"/>
    <col min="15622" max="15622" width="10.140625" customWidth="1"/>
    <col min="15623" max="15624" width="12.42578125" customWidth="1"/>
    <col min="15625" max="15628" width="0" hidden="1" customWidth="1"/>
    <col min="15629" max="15629" width="12.42578125" customWidth="1"/>
    <col min="15630" max="15630" width="29" bestFit="1" customWidth="1"/>
    <col min="15631" max="15631" width="26.42578125" customWidth="1"/>
    <col min="15632" max="15632" width="22.7109375" customWidth="1"/>
    <col min="15633" max="15633" width="15.7109375" customWidth="1"/>
    <col min="15634" max="15634" width="17" customWidth="1"/>
    <col min="15635" max="15635" width="12.42578125" customWidth="1"/>
    <col min="15636" max="15636" width="25.85546875" bestFit="1" customWidth="1"/>
    <col min="15637" max="15639" width="18" customWidth="1"/>
    <col min="15640" max="15640" width="17.140625" customWidth="1"/>
    <col min="15641" max="15642" width="15.7109375" customWidth="1"/>
    <col min="15643" max="15643" width="15" customWidth="1"/>
    <col min="15644" max="15645" width="14.140625" bestFit="1" customWidth="1"/>
    <col min="15646" max="15646" width="11.7109375" bestFit="1" customWidth="1"/>
    <col min="15647" max="15647" width="11.85546875" bestFit="1" customWidth="1"/>
    <col min="15648" max="15648" width="12.5703125" customWidth="1"/>
    <col min="15649" max="15649" width="11.28515625" customWidth="1"/>
    <col min="15650" max="15650" width="11.5703125" customWidth="1"/>
    <col min="15651" max="15651" width="9.28515625" customWidth="1"/>
    <col min="15653" max="15653" width="11.7109375" bestFit="1" customWidth="1"/>
    <col min="15654" max="15654" width="10.7109375" bestFit="1" customWidth="1"/>
    <col min="15873" max="15873" width="11.85546875" customWidth="1"/>
    <col min="15874" max="15874" width="18" customWidth="1"/>
    <col min="15875" max="15875" width="11.7109375" customWidth="1"/>
    <col min="15876" max="15876" width="13.42578125" customWidth="1"/>
    <col min="15877" max="15877" width="12.42578125" customWidth="1"/>
    <col min="15878" max="15878" width="10.140625" customWidth="1"/>
    <col min="15879" max="15880" width="12.42578125" customWidth="1"/>
    <col min="15881" max="15884" width="0" hidden="1" customWidth="1"/>
    <col min="15885" max="15885" width="12.42578125" customWidth="1"/>
    <col min="15886" max="15886" width="29" bestFit="1" customWidth="1"/>
    <col min="15887" max="15887" width="26.42578125" customWidth="1"/>
    <col min="15888" max="15888" width="22.7109375" customWidth="1"/>
    <col min="15889" max="15889" width="15.7109375" customWidth="1"/>
    <col min="15890" max="15890" width="17" customWidth="1"/>
    <col min="15891" max="15891" width="12.42578125" customWidth="1"/>
    <col min="15892" max="15892" width="25.85546875" bestFit="1" customWidth="1"/>
    <col min="15893" max="15895" width="18" customWidth="1"/>
    <col min="15896" max="15896" width="17.140625" customWidth="1"/>
    <col min="15897" max="15898" width="15.7109375" customWidth="1"/>
    <col min="15899" max="15899" width="15" customWidth="1"/>
    <col min="15900" max="15901" width="14.140625" bestFit="1" customWidth="1"/>
    <col min="15902" max="15902" width="11.7109375" bestFit="1" customWidth="1"/>
    <col min="15903" max="15903" width="11.85546875" bestFit="1" customWidth="1"/>
    <col min="15904" max="15904" width="12.5703125" customWidth="1"/>
    <col min="15905" max="15905" width="11.28515625" customWidth="1"/>
    <col min="15906" max="15906" width="11.5703125" customWidth="1"/>
    <col min="15907" max="15907" width="9.28515625" customWidth="1"/>
    <col min="15909" max="15909" width="11.7109375" bestFit="1" customWidth="1"/>
    <col min="15910" max="15910" width="10.7109375" bestFit="1" customWidth="1"/>
    <col min="16129" max="16129" width="11.85546875" customWidth="1"/>
    <col min="16130" max="16130" width="18" customWidth="1"/>
    <col min="16131" max="16131" width="11.7109375" customWidth="1"/>
    <col min="16132" max="16132" width="13.42578125" customWidth="1"/>
    <col min="16133" max="16133" width="12.42578125" customWidth="1"/>
    <col min="16134" max="16134" width="10.140625" customWidth="1"/>
    <col min="16135" max="16136" width="12.42578125" customWidth="1"/>
    <col min="16137" max="16140" width="0" hidden="1" customWidth="1"/>
    <col min="16141" max="16141" width="12.42578125" customWidth="1"/>
    <col min="16142" max="16142" width="29" bestFit="1" customWidth="1"/>
    <col min="16143" max="16143" width="26.42578125" customWidth="1"/>
    <col min="16144" max="16144" width="22.7109375" customWidth="1"/>
    <col min="16145" max="16145" width="15.7109375" customWidth="1"/>
    <col min="16146" max="16146" width="17" customWidth="1"/>
    <col min="16147" max="16147" width="12.42578125" customWidth="1"/>
    <col min="16148" max="16148" width="25.85546875" bestFit="1" customWidth="1"/>
    <col min="16149" max="16151" width="18" customWidth="1"/>
    <col min="16152" max="16152" width="17.140625" customWidth="1"/>
    <col min="16153" max="16154" width="15.7109375" customWidth="1"/>
    <col min="16155" max="16155" width="15" customWidth="1"/>
    <col min="16156" max="16157" width="14.140625" bestFit="1" customWidth="1"/>
    <col min="16158" max="16158" width="11.7109375" bestFit="1" customWidth="1"/>
    <col min="16159" max="16159" width="11.85546875" bestFit="1" customWidth="1"/>
    <col min="16160" max="16160" width="12.5703125" customWidth="1"/>
    <col min="16161" max="16161" width="11.28515625" customWidth="1"/>
    <col min="16162" max="16162" width="11.5703125" customWidth="1"/>
    <col min="16163" max="16163" width="9.28515625" customWidth="1"/>
    <col min="16165" max="16165" width="11.7109375" bestFit="1" customWidth="1"/>
    <col min="16166" max="16166" width="10.7109375" bestFit="1" customWidth="1"/>
  </cols>
  <sheetData>
    <row r="1" spans="1:20" x14ac:dyDescent="0.2">
      <c r="G1" s="90"/>
      <c r="H1" s="90"/>
      <c r="I1" s="832" t="s">
        <v>209</v>
      </c>
      <c r="J1" s="832"/>
      <c r="K1" s="832"/>
      <c r="L1" s="832"/>
    </row>
    <row r="2" spans="1:20" ht="42" customHeight="1" x14ac:dyDescent="0.2">
      <c r="B2" s="91" t="s">
        <v>210</v>
      </c>
      <c r="C2" s="62" t="s">
        <v>2</v>
      </c>
      <c r="D2" s="62" t="s">
        <v>3</v>
      </c>
      <c r="E2" s="62" t="s">
        <v>18</v>
      </c>
      <c r="F2" s="62" t="s">
        <v>4</v>
      </c>
      <c r="G2" s="62" t="s">
        <v>211</v>
      </c>
      <c r="H2" s="62" t="s">
        <v>73</v>
      </c>
      <c r="I2" s="62" t="s">
        <v>212</v>
      </c>
      <c r="J2" s="11" t="s">
        <v>77</v>
      </c>
      <c r="K2" s="62" t="s">
        <v>65</v>
      </c>
      <c r="L2" s="92" t="s">
        <v>5</v>
      </c>
      <c r="M2" s="93" t="s">
        <v>213</v>
      </c>
      <c r="O2" t="s">
        <v>19</v>
      </c>
      <c r="P2"/>
      <c r="Q2"/>
      <c r="R2"/>
      <c r="S2"/>
    </row>
    <row r="3" spans="1:20" ht="13.5" thickBot="1" x14ac:dyDescent="0.25">
      <c r="A3" s="3">
        <v>37408</v>
      </c>
      <c r="E3" s="94"/>
      <c r="F3" s="94"/>
      <c r="G3" s="95">
        <f>[30]Residential!G3</f>
        <v>581.79999999999995</v>
      </c>
      <c r="H3" s="94"/>
      <c r="I3" s="94">
        <f>A3</f>
        <v>37408</v>
      </c>
      <c r="J3" s="96">
        <f>'[30]Purchased Power Model '!F5</f>
        <v>319.68</v>
      </c>
      <c r="K3" s="94">
        <f>+'[29]Data Input'!$R10</f>
        <v>573</v>
      </c>
      <c r="L3" s="28">
        <f>'[30]Purchased Power Model '!I5</f>
        <v>123.31120824213403</v>
      </c>
      <c r="M3" s="94">
        <f>$P$18+$P$19*C3+$P$20*D3+$P$21*E3+$P$22*F3+$P$23*G3+$P$24*H3</f>
        <v>118696.17524618295</v>
      </c>
      <c r="O3"/>
      <c r="P3"/>
      <c r="Q3"/>
      <c r="R3"/>
      <c r="S3"/>
    </row>
    <row r="4" spans="1:20" x14ac:dyDescent="0.2">
      <c r="A4" s="3">
        <v>37438</v>
      </c>
      <c r="E4" s="94"/>
      <c r="F4" s="94"/>
      <c r="G4" s="95">
        <f>[30]Residential!G4</f>
        <v>584.70000000000005</v>
      </c>
      <c r="H4" s="94"/>
      <c r="I4" s="94">
        <f t="shared" ref="I4:I67" si="0">A4</f>
        <v>37438</v>
      </c>
      <c r="J4" s="96">
        <f>'[30]Purchased Power Model '!F6</f>
        <v>351.91199999999998</v>
      </c>
      <c r="K4" s="94">
        <f>+'[29]Data Input'!$R11</f>
        <v>573</v>
      </c>
      <c r="L4" s="28">
        <f>'[30]Purchased Power Model '!I6</f>
        <v>123.67575966778612</v>
      </c>
      <c r="M4" s="94">
        <f t="shared" ref="M4:M67" si="1">$P$18+$P$19*C4+$P$20*D4+$P$21*E4+$P$22*F4+$P$23*G4+$P$24*H4</f>
        <v>121768.690539142</v>
      </c>
      <c r="O4" s="97" t="s">
        <v>20</v>
      </c>
      <c r="P4" s="97"/>
      <c r="Q4"/>
      <c r="R4"/>
      <c r="S4"/>
    </row>
    <row r="5" spans="1:20" x14ac:dyDescent="0.2">
      <c r="A5" s="3">
        <v>37469</v>
      </c>
      <c r="E5" s="94"/>
      <c r="F5" s="94"/>
      <c r="G5" s="95">
        <f>[30]Residential!G5</f>
        <v>586.6</v>
      </c>
      <c r="H5" s="94"/>
      <c r="I5" s="94">
        <f t="shared" si="0"/>
        <v>37469</v>
      </c>
      <c r="J5" s="96">
        <f>'[30]Purchased Power Model '!F7</f>
        <v>336.28800000000001</v>
      </c>
      <c r="K5" s="94">
        <f>+'[29]Data Input'!$R12</f>
        <v>573</v>
      </c>
      <c r="L5" s="28">
        <f>'[30]Purchased Power Model '!I7</f>
        <v>124.04138883603632</v>
      </c>
      <c r="M5" s="94">
        <f t="shared" si="1"/>
        <v>123781.7178000462</v>
      </c>
      <c r="O5" s="29" t="s">
        <v>21</v>
      </c>
      <c r="P5" s="45">
        <v>0.81216361228130507</v>
      </c>
      <c r="Q5"/>
      <c r="R5"/>
      <c r="S5"/>
    </row>
    <row r="6" spans="1:20" x14ac:dyDescent="0.2">
      <c r="A6" s="3">
        <v>37500</v>
      </c>
      <c r="E6" s="94"/>
      <c r="F6" s="94"/>
      <c r="G6" s="95">
        <f>[30]Residential!G6</f>
        <v>583.20000000000005</v>
      </c>
      <c r="H6" s="94"/>
      <c r="I6" s="94">
        <f t="shared" si="0"/>
        <v>37500</v>
      </c>
      <c r="J6" s="96">
        <f>'[30]Purchased Power Model '!F8</f>
        <v>319.68</v>
      </c>
      <c r="K6" s="94">
        <f>+'[29]Data Input'!$R13</f>
        <v>573</v>
      </c>
      <c r="L6" s="28">
        <f>'[30]Purchased Power Model '!I8</f>
        <v>124.40809893307186</v>
      </c>
      <c r="M6" s="94">
        <f t="shared" si="1"/>
        <v>120179.45849105972</v>
      </c>
      <c r="O6" s="29" t="s">
        <v>22</v>
      </c>
      <c r="P6" s="45">
        <v>0.6596097331138181</v>
      </c>
      <c r="Q6"/>
      <c r="R6"/>
      <c r="S6"/>
    </row>
    <row r="7" spans="1:20" x14ac:dyDescent="0.2">
      <c r="A7" s="3">
        <v>37530</v>
      </c>
      <c r="E7" s="94"/>
      <c r="F7" s="94"/>
      <c r="G7" s="95">
        <f>[30]Residential!G7</f>
        <v>582.9</v>
      </c>
      <c r="H7" s="94"/>
      <c r="I7" s="94">
        <f t="shared" si="0"/>
        <v>37530</v>
      </c>
      <c r="J7" s="96">
        <f>'[30]Purchased Power Model '!F9</f>
        <v>351.91199999999998</v>
      </c>
      <c r="K7" s="94">
        <f>+'[29]Data Input'!$R14</f>
        <v>573</v>
      </c>
      <c r="L7" s="28">
        <f>'[30]Purchased Power Model '!I9</f>
        <v>124.7758931544995</v>
      </c>
      <c r="M7" s="94">
        <f t="shared" si="1"/>
        <v>119861.61208144319</v>
      </c>
      <c r="O7" s="29" t="s">
        <v>23</v>
      </c>
      <c r="P7" s="45">
        <v>0.64069916273125238</v>
      </c>
      <c r="Q7"/>
      <c r="R7"/>
      <c r="S7"/>
    </row>
    <row r="8" spans="1:20" x14ac:dyDescent="0.2">
      <c r="A8" s="3">
        <v>37561</v>
      </c>
      <c r="E8" s="94"/>
      <c r="F8" s="94"/>
      <c r="G8" s="95">
        <f>[30]Residential!G8</f>
        <v>583.5</v>
      </c>
      <c r="H8" s="94"/>
      <c r="I8" s="94">
        <f t="shared" si="0"/>
        <v>37561</v>
      </c>
      <c r="J8" s="96">
        <f>'[30]Purchased Power Model '!F10</f>
        <v>336.24</v>
      </c>
      <c r="K8" s="94">
        <f>+'[29]Data Input'!$R15</f>
        <v>573</v>
      </c>
      <c r="L8" s="28">
        <f>'[30]Purchased Power Model '!I10</f>
        <v>125.14477470537335</v>
      </c>
      <c r="M8" s="94">
        <f t="shared" si="1"/>
        <v>120497.30490067613</v>
      </c>
      <c r="O8" s="29" t="s">
        <v>24</v>
      </c>
      <c r="P8" s="29">
        <v>90993.568447719561</v>
      </c>
      <c r="Q8"/>
      <c r="R8"/>
      <c r="S8"/>
    </row>
    <row r="9" spans="1:20" ht="13.5" thickBot="1" x14ac:dyDescent="0.25">
      <c r="A9" s="3">
        <v>37591</v>
      </c>
      <c r="E9" s="94"/>
      <c r="F9" s="94"/>
      <c r="G9" s="95">
        <f>[30]Residential!G9</f>
        <v>591.79999999999995</v>
      </c>
      <c r="H9" s="94"/>
      <c r="I9" s="94">
        <f t="shared" si="0"/>
        <v>37591</v>
      </c>
      <c r="J9" s="96">
        <f>'[30]Purchased Power Model '!F11</f>
        <v>319.92</v>
      </c>
      <c r="K9" s="94">
        <f>+'[29]Data Input'!$R16</f>
        <v>573</v>
      </c>
      <c r="L9" s="28">
        <f>'[30]Purchased Power Model '!I11</f>
        <v>125.51474680022261</v>
      </c>
      <c r="M9" s="94">
        <f t="shared" si="1"/>
        <v>129291.05556673126</v>
      </c>
      <c r="O9" s="41" t="s">
        <v>25</v>
      </c>
      <c r="P9" s="41">
        <v>115</v>
      </c>
      <c r="Q9"/>
      <c r="R9"/>
      <c r="S9"/>
    </row>
    <row r="10" spans="1:20" x14ac:dyDescent="0.2">
      <c r="A10" s="3">
        <v>37622</v>
      </c>
      <c r="E10" s="94"/>
      <c r="F10" s="94"/>
      <c r="G10" s="95">
        <f>[30]Residential!G10</f>
        <v>591.29999999999995</v>
      </c>
      <c r="H10" s="94"/>
      <c r="I10" s="94">
        <f t="shared" si="0"/>
        <v>37622</v>
      </c>
      <c r="J10" s="96">
        <v>351.91199999999998</v>
      </c>
      <c r="K10" s="94">
        <f>+'[29]Data Input'!$R17</f>
        <v>576</v>
      </c>
      <c r="L10" s="28">
        <f>'[30]Purchased Power Model '!I12</f>
        <v>125.66024937363977</v>
      </c>
      <c r="M10" s="94">
        <f t="shared" si="1"/>
        <v>128761.31155070383</v>
      </c>
      <c r="O10"/>
      <c r="P10"/>
      <c r="Q10"/>
      <c r="R10"/>
      <c r="S10"/>
    </row>
    <row r="11" spans="1:20" ht="13.5" thickBot="1" x14ac:dyDescent="0.25">
      <c r="A11" s="3">
        <v>37653</v>
      </c>
      <c r="E11" s="94"/>
      <c r="F11" s="94"/>
      <c r="G11" s="95">
        <f>[30]Residential!G11</f>
        <v>588.4</v>
      </c>
      <c r="H11" s="94"/>
      <c r="I11" s="94">
        <f t="shared" si="0"/>
        <v>37653</v>
      </c>
      <c r="J11" s="96">
        <v>319.87200000000001</v>
      </c>
      <c r="K11" s="94">
        <f>+'[29]Data Input'!$R18</f>
        <v>579</v>
      </c>
      <c r="L11" s="28">
        <v>125.80592062045517</v>
      </c>
      <c r="M11" s="94">
        <f t="shared" si="1"/>
        <v>125688.79625774478</v>
      </c>
      <c r="O11" t="s">
        <v>26</v>
      </c>
      <c r="P11"/>
      <c r="Q11"/>
      <c r="R11"/>
      <c r="S11"/>
    </row>
    <row r="12" spans="1:20" x14ac:dyDescent="0.2">
      <c r="A12" s="3">
        <v>37681</v>
      </c>
      <c r="E12" s="94"/>
      <c r="F12" s="94"/>
      <c r="G12" s="95">
        <f>[30]Residential!G12</f>
        <v>584.5</v>
      </c>
      <c r="H12" s="94"/>
      <c r="I12" s="94">
        <f t="shared" si="0"/>
        <v>37681</v>
      </c>
      <c r="J12" s="96">
        <v>336.28800000000001</v>
      </c>
      <c r="K12" s="94">
        <f>+'[29]Data Input'!$R19</f>
        <v>582</v>
      </c>
      <c r="L12" s="28">
        <v>125.9517607362029</v>
      </c>
      <c r="M12" s="94">
        <f t="shared" si="1"/>
        <v>121556.79293273098</v>
      </c>
      <c r="O12" s="99"/>
      <c r="P12" s="99" t="s">
        <v>30</v>
      </c>
      <c r="Q12" s="99" t="s">
        <v>31</v>
      </c>
      <c r="R12" s="99" t="s">
        <v>32</v>
      </c>
      <c r="S12" s="99" t="s">
        <v>33</v>
      </c>
      <c r="T12" s="99" t="s">
        <v>34</v>
      </c>
    </row>
    <row r="13" spans="1:20" x14ac:dyDescent="0.2">
      <c r="A13" s="3">
        <v>37712</v>
      </c>
      <c r="E13" s="94"/>
      <c r="F13" s="94"/>
      <c r="G13" s="95">
        <f>[30]Residential!G13</f>
        <v>587.79999999999995</v>
      </c>
      <c r="H13" s="94"/>
      <c r="I13" s="94">
        <f t="shared" si="0"/>
        <v>37712</v>
      </c>
      <c r="J13" s="96">
        <v>336.24</v>
      </c>
      <c r="K13" s="94">
        <f>+'[29]Data Input'!$R20</f>
        <v>585</v>
      </c>
      <c r="L13" s="28">
        <v>126.09776991664374</v>
      </c>
      <c r="M13" s="94">
        <f t="shared" si="1"/>
        <v>125053.10343851184</v>
      </c>
      <c r="O13" s="29" t="s">
        <v>27</v>
      </c>
      <c r="P13" s="29">
        <v>6</v>
      </c>
      <c r="Q13" s="29">
        <v>1732826461225.9497</v>
      </c>
      <c r="R13" s="29">
        <v>288804410204.32495</v>
      </c>
      <c r="S13" s="29">
        <v>34.880477942745514</v>
      </c>
      <c r="T13" s="29">
        <v>3.6392167601221754E-23</v>
      </c>
    </row>
    <row r="14" spans="1:20" x14ac:dyDescent="0.2">
      <c r="A14" s="3">
        <v>37742</v>
      </c>
      <c r="E14" s="94"/>
      <c r="F14" s="94"/>
      <c r="G14" s="95">
        <f>[30]Residential!G14</f>
        <v>596.4</v>
      </c>
      <c r="H14" s="94"/>
      <c r="I14" s="94">
        <f t="shared" si="0"/>
        <v>37742</v>
      </c>
      <c r="J14" s="96">
        <v>336.28800000000001</v>
      </c>
      <c r="K14" s="94">
        <f>+'[29]Data Input'!$R21</f>
        <v>588</v>
      </c>
      <c r="L14" s="28">
        <v>126.2439483577654</v>
      </c>
      <c r="M14" s="94">
        <f t="shared" si="1"/>
        <v>134164.7005141835</v>
      </c>
      <c r="O14" s="29" t="s">
        <v>28</v>
      </c>
      <c r="P14" s="29">
        <v>108</v>
      </c>
      <c r="Q14" s="29">
        <v>894221585875.78113</v>
      </c>
      <c r="R14" s="29">
        <v>8279829498.8498249</v>
      </c>
      <c r="S14" s="29"/>
      <c r="T14" s="29"/>
    </row>
    <row r="15" spans="1:20" ht="13.5" thickBot="1" x14ac:dyDescent="0.25">
      <c r="A15" s="3">
        <v>37773</v>
      </c>
      <c r="E15" s="94"/>
      <c r="F15" s="94"/>
      <c r="G15" s="95">
        <f>[30]Residential!G15</f>
        <v>601.70000000000005</v>
      </c>
      <c r="H15" s="94"/>
      <c r="I15" s="94">
        <f t="shared" si="0"/>
        <v>37773</v>
      </c>
      <c r="J15" s="96">
        <v>336.24</v>
      </c>
      <c r="K15" s="94">
        <f>+'[29]Data Input'!$R22</f>
        <v>591</v>
      </c>
      <c r="L15" s="28">
        <v>126.3902962557828</v>
      </c>
      <c r="M15" s="94">
        <f t="shared" si="1"/>
        <v>139779.98708407418</v>
      </c>
      <c r="O15" s="41" t="s">
        <v>9</v>
      </c>
      <c r="P15" s="41">
        <v>114</v>
      </c>
      <c r="Q15" s="41">
        <v>2627048047101.731</v>
      </c>
      <c r="R15" s="41"/>
      <c r="S15" s="41"/>
      <c r="T15" s="41"/>
    </row>
    <row r="16" spans="1:20" ht="13.5" thickBot="1" x14ac:dyDescent="0.25">
      <c r="A16" s="3">
        <v>37803</v>
      </c>
      <c r="E16" s="94"/>
      <c r="F16" s="94"/>
      <c r="G16" s="95">
        <f>[30]Residential!G16</f>
        <v>605.70000000000005</v>
      </c>
      <c r="H16" s="94"/>
      <c r="I16" s="94">
        <f t="shared" si="0"/>
        <v>37803</v>
      </c>
      <c r="J16" s="96">
        <v>351.91199999999998</v>
      </c>
      <c r="K16" s="94">
        <f>+'[29]Data Input'!$R23</f>
        <v>594</v>
      </c>
      <c r="L16" s="28">
        <v>126.5368138071383</v>
      </c>
      <c r="M16" s="94">
        <f t="shared" si="1"/>
        <v>144017.93921229348</v>
      </c>
      <c r="O16"/>
      <c r="P16"/>
      <c r="Q16"/>
      <c r="R16"/>
      <c r="S16"/>
    </row>
    <row r="17" spans="1:23" x14ac:dyDescent="0.2">
      <c r="A17" s="3">
        <v>37834</v>
      </c>
      <c r="E17" s="94"/>
      <c r="F17" s="94"/>
      <c r="G17" s="95">
        <f>[30]Residential!G17</f>
        <v>607.6</v>
      </c>
      <c r="H17" s="94"/>
      <c r="I17" s="94">
        <f t="shared" si="0"/>
        <v>37834</v>
      </c>
      <c r="J17" s="96">
        <v>319.92</v>
      </c>
      <c r="K17" s="94">
        <f>+'[29]Data Input'!$R24</f>
        <v>597</v>
      </c>
      <c r="L17" s="28">
        <v>126.68350120850199</v>
      </c>
      <c r="M17" s="94">
        <f t="shared" si="1"/>
        <v>146030.96647319756</v>
      </c>
      <c r="O17" s="99"/>
      <c r="P17" s="99" t="s">
        <v>35</v>
      </c>
      <c r="Q17" s="99" t="s">
        <v>24</v>
      </c>
      <c r="R17" s="99" t="s">
        <v>36</v>
      </c>
      <c r="S17" s="99" t="s">
        <v>37</v>
      </c>
      <c r="T17" s="99" t="s">
        <v>38</v>
      </c>
      <c r="U17" s="99" t="s">
        <v>39</v>
      </c>
      <c r="V17" s="99" t="s">
        <v>214</v>
      </c>
      <c r="W17" s="99" t="s">
        <v>215</v>
      </c>
    </row>
    <row r="18" spans="1:23" x14ac:dyDescent="0.2">
      <c r="A18" s="3">
        <v>37865</v>
      </c>
      <c r="E18" s="94"/>
      <c r="F18" s="94"/>
      <c r="G18" s="95">
        <f>[30]Residential!G18</f>
        <v>607.6</v>
      </c>
      <c r="H18" s="94"/>
      <c r="I18" s="94">
        <f t="shared" si="0"/>
        <v>37865</v>
      </c>
      <c r="J18" s="96">
        <v>336.24</v>
      </c>
      <c r="K18" s="94">
        <f>+'[29]Data Input'!$R25</f>
        <v>600</v>
      </c>
      <c r="L18" s="28">
        <v>126.83035865677196</v>
      </c>
      <c r="M18" s="94">
        <f t="shared" si="1"/>
        <v>146030.96647319756</v>
      </c>
      <c r="O18" s="29" t="s">
        <v>29</v>
      </c>
      <c r="P18" s="64">
        <v>-497713.96180331754</v>
      </c>
      <c r="Q18" s="29">
        <v>411789.35046503437</v>
      </c>
      <c r="R18" s="64">
        <v>-1.2086615674767898</v>
      </c>
      <c r="S18" s="29">
        <v>0.22943251522085062</v>
      </c>
      <c r="T18" s="29">
        <v>-1313951.8686761879</v>
      </c>
      <c r="U18" s="29">
        <v>318523.94506955275</v>
      </c>
      <c r="V18" s="29">
        <v>-1313951.8686761879</v>
      </c>
      <c r="W18" s="29">
        <v>318523.94506955275</v>
      </c>
    </row>
    <row r="19" spans="1:23" x14ac:dyDescent="0.2">
      <c r="A19" s="3">
        <v>37895</v>
      </c>
      <c r="E19" s="94"/>
      <c r="F19" s="94"/>
      <c r="G19" s="95">
        <f>[30]Residential!G19</f>
        <v>609.5</v>
      </c>
      <c r="H19" s="94"/>
      <c r="I19" s="94">
        <f t="shared" si="0"/>
        <v>37895</v>
      </c>
      <c r="J19" s="96">
        <v>351.91199999999998</v>
      </c>
      <c r="K19" s="94">
        <f>+'[29]Data Input'!$R26</f>
        <v>603</v>
      </c>
      <c r="L19" s="28">
        <v>126.97738634907456</v>
      </c>
      <c r="M19" s="94">
        <f t="shared" si="1"/>
        <v>148043.99373410176</v>
      </c>
      <c r="O19" s="29" t="s">
        <v>2</v>
      </c>
      <c r="P19" s="64">
        <v>468.51827850966339</v>
      </c>
      <c r="Q19" s="29">
        <v>55.258849312684582</v>
      </c>
      <c r="R19" s="64">
        <v>8.4786108349548233</v>
      </c>
      <c r="S19" s="29">
        <v>1.2958900203064791E-13</v>
      </c>
      <c r="T19" s="29">
        <v>358.98565594851027</v>
      </c>
      <c r="U19" s="29">
        <v>578.05090107081651</v>
      </c>
      <c r="V19" s="29">
        <v>358.98565594851027</v>
      </c>
      <c r="W19" s="29">
        <v>578.05090107081651</v>
      </c>
    </row>
    <row r="20" spans="1:23" x14ac:dyDescent="0.2">
      <c r="A20" s="3">
        <v>37926</v>
      </c>
      <c r="E20" s="94"/>
      <c r="F20" s="94"/>
      <c r="G20" s="95">
        <f>[30]Residential!G20</f>
        <v>609</v>
      </c>
      <c r="H20" s="94"/>
      <c r="I20" s="94">
        <f t="shared" si="0"/>
        <v>37926</v>
      </c>
      <c r="J20" s="96">
        <v>319.68</v>
      </c>
      <c r="K20" s="94">
        <f>+'[29]Data Input'!$R27</f>
        <v>606</v>
      </c>
      <c r="L20" s="28">
        <v>127.12458448276465</v>
      </c>
      <c r="M20" s="94">
        <f t="shared" si="1"/>
        <v>147514.24971807434</v>
      </c>
      <c r="O20" s="29" t="s">
        <v>3</v>
      </c>
      <c r="P20" s="64">
        <v>1938.676562414413</v>
      </c>
      <c r="Q20" s="29">
        <v>317.21406338000907</v>
      </c>
      <c r="R20" s="64">
        <v>6.1115719201010332</v>
      </c>
      <c r="S20" s="29">
        <v>1.595066463422972E-8</v>
      </c>
      <c r="T20" s="29">
        <v>1309.9032761904359</v>
      </c>
      <c r="U20" s="29">
        <v>2567.44984863839</v>
      </c>
      <c r="V20" s="29">
        <v>1309.9032761904359</v>
      </c>
      <c r="W20" s="29">
        <v>2567.44984863839</v>
      </c>
    </row>
    <row r="21" spans="1:23" x14ac:dyDescent="0.2">
      <c r="A21" s="3">
        <v>37956</v>
      </c>
      <c r="E21" s="94"/>
      <c r="F21" s="94"/>
      <c r="G21" s="95">
        <f>[30]Residential!G21</f>
        <v>609.20000000000005</v>
      </c>
      <c r="H21" s="94"/>
      <c r="I21" s="94">
        <f t="shared" si="0"/>
        <v>37956</v>
      </c>
      <c r="J21" s="96">
        <v>336.28800000000001</v>
      </c>
      <c r="K21" s="94">
        <f>+'[29]Data Input'!$R28</f>
        <v>609</v>
      </c>
      <c r="L21" s="28">
        <v>127.27195325542573</v>
      </c>
      <c r="M21" s="94">
        <f t="shared" si="1"/>
        <v>147726.14732448536</v>
      </c>
      <c r="O21" s="29" t="s">
        <v>18</v>
      </c>
      <c r="P21" s="64">
        <v>-62980.98201848584</v>
      </c>
      <c r="Q21" s="29">
        <v>23736.999826832758</v>
      </c>
      <c r="R21" s="64">
        <v>-2.6532831645931485</v>
      </c>
      <c r="S21" s="29">
        <v>9.1739842984158802E-3</v>
      </c>
      <c r="T21" s="29">
        <v>-110031.83224619424</v>
      </c>
      <c r="U21" s="29">
        <v>-15930.131790777443</v>
      </c>
      <c r="V21" s="29">
        <v>-110031.83224619424</v>
      </c>
      <c r="W21" s="29">
        <v>-15930.131790777443</v>
      </c>
    </row>
    <row r="22" spans="1:23" x14ac:dyDescent="0.2">
      <c r="A22" s="3">
        <v>37987</v>
      </c>
      <c r="E22" s="94"/>
      <c r="F22" s="94"/>
      <c r="G22" s="95">
        <f>[30]Residential!G22</f>
        <v>605</v>
      </c>
      <c r="H22" s="94"/>
      <c r="I22" s="94">
        <f t="shared" si="0"/>
        <v>37987</v>
      </c>
      <c r="J22" s="96">
        <v>336.28800000000001</v>
      </c>
      <c r="K22" s="94">
        <f>+'[29]Data Input'!$R29</f>
        <v>613</v>
      </c>
      <c r="L22" s="28">
        <v>127.53411264087498</v>
      </c>
      <c r="M22" s="94">
        <f t="shared" si="1"/>
        <v>143276.29758985504</v>
      </c>
      <c r="O22" s="29" t="s">
        <v>4</v>
      </c>
      <c r="P22" s="64">
        <v>45583.454012390655</v>
      </c>
      <c r="Q22" s="29">
        <v>10992.506327753834</v>
      </c>
      <c r="R22" s="64">
        <v>4.1467753261421141</v>
      </c>
      <c r="S22" s="29">
        <v>6.7348844105503207E-5</v>
      </c>
      <c r="T22" s="29">
        <v>23794.40010383301</v>
      </c>
      <c r="U22" s="29">
        <v>67372.507920948294</v>
      </c>
      <c r="V22" s="29">
        <v>23794.40010383301</v>
      </c>
      <c r="W22" s="29">
        <v>67372.507920948294</v>
      </c>
    </row>
    <row r="23" spans="1:23" x14ac:dyDescent="0.2">
      <c r="A23" s="3">
        <v>38018</v>
      </c>
      <c r="E23" s="94"/>
      <c r="F23" s="94"/>
      <c r="G23" s="95">
        <f>[30]Residential!G23</f>
        <v>599.4</v>
      </c>
      <c r="H23" s="94"/>
      <c r="I23" s="94">
        <f t="shared" si="0"/>
        <v>38018</v>
      </c>
      <c r="J23" s="96">
        <v>320.16000000000003</v>
      </c>
      <c r="K23" s="94">
        <f>+'[29]Data Input'!$R30</f>
        <v>611</v>
      </c>
      <c r="L23" s="28">
        <v>127.79681203173486</v>
      </c>
      <c r="M23" s="94">
        <f t="shared" si="1"/>
        <v>137343.16461034794</v>
      </c>
      <c r="O23" s="29" t="s">
        <v>211</v>
      </c>
      <c r="P23" s="64">
        <v>1059.4880320548307</v>
      </c>
      <c r="Q23" s="29">
        <v>411.25784890402826</v>
      </c>
      <c r="R23" s="64">
        <v>2.5762135236525889</v>
      </c>
      <c r="S23" s="29">
        <v>1.1339409475074978E-2</v>
      </c>
      <c r="T23" s="29">
        <v>244.30365345112364</v>
      </c>
      <c r="U23" s="29">
        <v>1874.6724106585377</v>
      </c>
      <c r="V23" s="29">
        <v>244.30365345112364</v>
      </c>
      <c r="W23" s="29">
        <v>1874.6724106585377</v>
      </c>
    </row>
    <row r="24" spans="1:23" ht="13.5" thickBot="1" x14ac:dyDescent="0.25">
      <c r="A24" s="3">
        <v>38047</v>
      </c>
      <c r="E24" s="94"/>
      <c r="F24" s="94"/>
      <c r="G24" s="95">
        <f>[30]Residential!G24</f>
        <v>595.4</v>
      </c>
      <c r="H24" s="94"/>
      <c r="I24" s="94">
        <f t="shared" si="0"/>
        <v>38047</v>
      </c>
      <c r="J24" s="96">
        <v>368.28</v>
      </c>
      <c r="K24" s="94">
        <f>+'[29]Data Input'!$R31</f>
        <v>612</v>
      </c>
      <c r="L24" s="28">
        <v>128.06005254032812</v>
      </c>
      <c r="M24" s="94">
        <f t="shared" si="1"/>
        <v>133105.21248212864</v>
      </c>
      <c r="O24" s="41" t="s">
        <v>73</v>
      </c>
      <c r="P24" s="65">
        <v>-0.33999344078768151</v>
      </c>
      <c r="Q24" s="41">
        <v>0.11008763100073192</v>
      </c>
      <c r="R24" s="65">
        <v>-3.0883891105388677</v>
      </c>
      <c r="S24" s="41">
        <v>2.558463669360766E-3</v>
      </c>
      <c r="T24" s="41">
        <v>-0.55820621729380993</v>
      </c>
      <c r="U24" s="41">
        <v>-0.1217806642815531</v>
      </c>
      <c r="V24" s="41">
        <v>-0.55820621729380993</v>
      </c>
      <c r="W24" s="41">
        <v>-0.1217806642815531</v>
      </c>
    </row>
    <row r="25" spans="1:23" x14ac:dyDescent="0.2">
      <c r="A25" s="3">
        <v>38078</v>
      </c>
      <c r="E25" s="94"/>
      <c r="F25" s="94"/>
      <c r="G25" s="95">
        <f>[30]Residential!G25</f>
        <v>597.70000000000005</v>
      </c>
      <c r="H25" s="94"/>
      <c r="I25" s="94">
        <f t="shared" si="0"/>
        <v>38078</v>
      </c>
      <c r="J25" s="96">
        <v>336.24</v>
      </c>
      <c r="K25" s="94">
        <f>+'[29]Data Input'!$R32</f>
        <v>612</v>
      </c>
      <c r="L25" s="28">
        <v>128.32383528126866</v>
      </c>
      <c r="M25" s="94">
        <f t="shared" si="1"/>
        <v>135542.03495585476</v>
      </c>
      <c r="O25"/>
      <c r="P25"/>
      <c r="Q25"/>
      <c r="R25"/>
      <c r="S25"/>
    </row>
    <row r="26" spans="1:23" x14ac:dyDescent="0.2">
      <c r="A26" s="3">
        <v>38108</v>
      </c>
      <c r="E26" s="94"/>
      <c r="F26" s="94"/>
      <c r="G26" s="95">
        <f>[30]Residential!G26</f>
        <v>605.6</v>
      </c>
      <c r="H26" s="94"/>
      <c r="I26" s="94">
        <f t="shared" si="0"/>
        <v>38108</v>
      </c>
      <c r="J26" s="96">
        <v>319.92</v>
      </c>
      <c r="K26" s="94">
        <f>+'[29]Data Input'!$R33</f>
        <v>614</v>
      </c>
      <c r="L26" s="28">
        <v>128.58816137146633</v>
      </c>
      <c r="M26" s="94">
        <f t="shared" si="1"/>
        <v>143911.99040908797</v>
      </c>
      <c r="N26"/>
      <c r="O26"/>
      <c r="P26"/>
      <c r="Q26"/>
      <c r="R26"/>
      <c r="S26"/>
    </row>
    <row r="27" spans="1:23" x14ac:dyDescent="0.2">
      <c r="A27" s="3">
        <v>38139</v>
      </c>
      <c r="E27" s="94"/>
      <c r="F27" s="94"/>
      <c r="G27" s="95">
        <f>[30]Residential!G27</f>
        <v>615.4</v>
      </c>
      <c r="H27" s="94"/>
      <c r="I27" s="94">
        <f t="shared" si="0"/>
        <v>38139</v>
      </c>
      <c r="J27" s="96">
        <v>352.08</v>
      </c>
      <c r="K27" s="94">
        <f>+'[29]Data Input'!$R34</f>
        <v>615</v>
      </c>
      <c r="L27" s="28">
        <v>128.85303193013166</v>
      </c>
      <c r="M27" s="94">
        <f t="shared" si="1"/>
        <v>154294.97312322527</v>
      </c>
      <c r="N27"/>
      <c r="O27"/>
      <c r="P27"/>
      <c r="Q27"/>
      <c r="R27"/>
      <c r="S27"/>
    </row>
    <row r="28" spans="1:23" x14ac:dyDescent="0.2">
      <c r="A28" s="3">
        <v>38169</v>
      </c>
      <c r="E28" s="94"/>
      <c r="F28" s="94"/>
      <c r="G28" s="95">
        <f>[30]Residential!G28</f>
        <v>623.79999999999995</v>
      </c>
      <c r="H28" s="94"/>
      <c r="I28" s="94">
        <f t="shared" si="0"/>
        <v>38169</v>
      </c>
      <c r="J28" s="96">
        <v>336.28800000000001</v>
      </c>
      <c r="K28" s="94">
        <f>+'[29]Data Input'!$R35</f>
        <v>622</v>
      </c>
      <c r="L28" s="28">
        <v>129.11844807878055</v>
      </c>
      <c r="M28" s="94">
        <f t="shared" si="1"/>
        <v>163194.67259248579</v>
      </c>
      <c r="N28"/>
      <c r="O28"/>
      <c r="P28"/>
      <c r="Q28"/>
      <c r="R28"/>
      <c r="S28"/>
    </row>
    <row r="29" spans="1:23" x14ac:dyDescent="0.2">
      <c r="A29" s="3">
        <v>38200</v>
      </c>
      <c r="E29" s="94"/>
      <c r="F29" s="94"/>
      <c r="G29" s="95">
        <f>[30]Residential!G29</f>
        <v>625.70000000000005</v>
      </c>
      <c r="H29" s="94"/>
      <c r="I29" s="94">
        <f t="shared" si="0"/>
        <v>38200</v>
      </c>
      <c r="J29" s="96">
        <v>336.28800000000001</v>
      </c>
      <c r="K29" s="94">
        <f>+'[29]Data Input'!$R36</f>
        <v>621</v>
      </c>
      <c r="L29" s="28">
        <v>129.38441094123903</v>
      </c>
      <c r="M29" s="94">
        <f t="shared" si="1"/>
        <v>165207.69985339011</v>
      </c>
      <c r="N29"/>
      <c r="O29"/>
      <c r="P29"/>
      <c r="Q29"/>
      <c r="R29"/>
      <c r="S29"/>
    </row>
    <row r="30" spans="1:23" x14ac:dyDescent="0.2">
      <c r="A30" s="3">
        <v>38231</v>
      </c>
      <c r="E30" s="94"/>
      <c r="F30" s="94"/>
      <c r="G30" s="95">
        <f>[30]Residential!G30</f>
        <v>626.70000000000005</v>
      </c>
      <c r="H30" s="94"/>
      <c r="I30" s="94">
        <f t="shared" si="0"/>
        <v>38231</v>
      </c>
      <c r="J30" s="96">
        <v>336.24</v>
      </c>
      <c r="K30" s="94">
        <f>+'[29]Data Input'!$R37</f>
        <v>620</v>
      </c>
      <c r="L30" s="28">
        <v>129.65092164364802</v>
      </c>
      <c r="M30" s="94">
        <f t="shared" si="1"/>
        <v>166267.18788544484</v>
      </c>
      <c r="N30"/>
      <c r="O30"/>
      <c r="P30"/>
      <c r="Q30"/>
      <c r="R30"/>
      <c r="S30"/>
    </row>
    <row r="31" spans="1:23" x14ac:dyDescent="0.2">
      <c r="A31" s="3">
        <v>38261</v>
      </c>
      <c r="E31" s="94"/>
      <c r="F31" s="94"/>
      <c r="G31" s="95">
        <f>[30]Residential!G31</f>
        <v>625.1</v>
      </c>
      <c r="H31" s="94"/>
      <c r="I31" s="94">
        <f t="shared" si="0"/>
        <v>38261</v>
      </c>
      <c r="J31" s="96">
        <v>319.92</v>
      </c>
      <c r="K31" s="94">
        <f>+'[29]Data Input'!$R38</f>
        <v>620</v>
      </c>
      <c r="L31" s="28">
        <v>129.91798131446814</v>
      </c>
      <c r="M31" s="94">
        <f t="shared" si="1"/>
        <v>164572.00703415717</v>
      </c>
      <c r="N31" s="94"/>
      <c r="O31"/>
      <c r="P31"/>
      <c r="Q31"/>
      <c r="R31"/>
      <c r="S31"/>
    </row>
    <row r="32" spans="1:23" x14ac:dyDescent="0.2">
      <c r="A32" s="3">
        <v>38292</v>
      </c>
      <c r="E32" s="94"/>
      <c r="F32" s="94"/>
      <c r="G32" s="95">
        <f>[30]Residential!G32</f>
        <v>625.20000000000005</v>
      </c>
      <c r="H32" s="94"/>
      <c r="I32" s="94">
        <f t="shared" si="0"/>
        <v>38292</v>
      </c>
      <c r="J32" s="96">
        <v>352.08</v>
      </c>
      <c r="K32" s="94">
        <f>+'[29]Data Input'!$R39</f>
        <v>622</v>
      </c>
      <c r="L32" s="28">
        <v>130.18559108448443</v>
      </c>
      <c r="M32" s="94">
        <f t="shared" si="1"/>
        <v>164677.95583736268</v>
      </c>
      <c r="N32" s="94"/>
      <c r="O32"/>
      <c r="P32"/>
      <c r="Q32"/>
      <c r="R32"/>
      <c r="S32"/>
    </row>
    <row r="33" spans="1:19" x14ac:dyDescent="0.2">
      <c r="A33" s="3">
        <v>38322</v>
      </c>
      <c r="E33" s="94"/>
      <c r="F33" s="94"/>
      <c r="G33" s="95">
        <f>[30]Residential!G33</f>
        <v>628.4</v>
      </c>
      <c r="H33" s="94"/>
      <c r="I33" s="94">
        <f t="shared" si="0"/>
        <v>38322</v>
      </c>
      <c r="J33" s="96">
        <v>336.28800000000001</v>
      </c>
      <c r="K33" s="94">
        <f>+'[29]Data Input'!$R40</f>
        <v>627</v>
      </c>
      <c r="L33" s="28">
        <v>130.45375208681136</v>
      </c>
      <c r="M33" s="94">
        <f t="shared" si="1"/>
        <v>168068.31753993803</v>
      </c>
      <c r="N33" s="94"/>
      <c r="O33"/>
      <c r="P33"/>
      <c r="Q33"/>
      <c r="R33"/>
      <c r="S33"/>
    </row>
    <row r="34" spans="1:19" x14ac:dyDescent="0.2">
      <c r="A34" s="3">
        <v>38353</v>
      </c>
      <c r="E34" s="94"/>
      <c r="F34" s="94"/>
      <c r="G34" s="95">
        <f>[30]Residential!G34</f>
        <v>629.5</v>
      </c>
      <c r="H34" s="94"/>
      <c r="I34" s="94">
        <f t="shared" si="0"/>
        <v>38353</v>
      </c>
      <c r="J34" s="96">
        <v>319.92</v>
      </c>
      <c r="K34" s="94">
        <f>+'[29]Data Input'!$R41</f>
        <v>627</v>
      </c>
      <c r="L34" s="28">
        <v>130.74370215685079</v>
      </c>
      <c r="M34" s="94">
        <f t="shared" si="1"/>
        <v>169233.75437519839</v>
      </c>
      <c r="N34" s="94"/>
      <c r="O34"/>
      <c r="P34"/>
      <c r="Q34"/>
      <c r="R34"/>
      <c r="S34"/>
    </row>
    <row r="35" spans="1:19" x14ac:dyDescent="0.2">
      <c r="A35" s="3">
        <v>38384</v>
      </c>
      <c r="E35" s="94"/>
      <c r="F35" s="94"/>
      <c r="G35" s="95">
        <f>[30]Residential!G35</f>
        <v>630.9</v>
      </c>
      <c r="H35" s="94"/>
      <c r="I35" s="94">
        <f t="shared" si="0"/>
        <v>38384</v>
      </c>
      <c r="J35" s="96">
        <v>319.87200000000001</v>
      </c>
      <c r="K35" s="94">
        <f>+'[29]Data Input'!$R42</f>
        <v>626</v>
      </c>
      <c r="L35" s="28">
        <v>131.0342966778299</v>
      </c>
      <c r="M35" s="94">
        <f t="shared" si="1"/>
        <v>170717.03762007516</v>
      </c>
      <c r="N35" s="94"/>
      <c r="O35"/>
      <c r="P35"/>
      <c r="Q35"/>
      <c r="R35"/>
      <c r="S35"/>
    </row>
    <row r="36" spans="1:19" x14ac:dyDescent="0.2">
      <c r="A36" s="3">
        <v>38412</v>
      </c>
      <c r="E36" s="94"/>
      <c r="F36" s="94"/>
      <c r="G36" s="95">
        <f>[30]Residential!G36</f>
        <v>628.1</v>
      </c>
      <c r="H36" s="94"/>
      <c r="I36" s="94">
        <f t="shared" si="0"/>
        <v>38412</v>
      </c>
      <c r="J36" s="96">
        <v>351.91199999999998</v>
      </c>
      <c r="K36" s="94">
        <f>+'[29]Data Input'!$R43</f>
        <v>621</v>
      </c>
      <c r="L36" s="28">
        <v>131.32553708212293</v>
      </c>
      <c r="M36" s="94">
        <f t="shared" si="1"/>
        <v>167750.47113032162</v>
      </c>
      <c r="N36" s="94"/>
      <c r="O36"/>
      <c r="P36"/>
      <c r="Q36"/>
      <c r="R36"/>
      <c r="S36"/>
    </row>
    <row r="37" spans="1:19" x14ac:dyDescent="0.2">
      <c r="A37" s="3">
        <v>38443</v>
      </c>
      <c r="E37" s="94"/>
      <c r="F37" s="94"/>
      <c r="G37" s="95">
        <f>[30]Residential!G37</f>
        <v>631.29999999999995</v>
      </c>
      <c r="H37" s="94"/>
      <c r="I37" s="94">
        <f t="shared" si="0"/>
        <v>38443</v>
      </c>
      <c r="J37" s="96">
        <v>336.24</v>
      </c>
      <c r="K37" s="94">
        <f>+'[29]Data Input'!$R44</f>
        <v>621</v>
      </c>
      <c r="L37" s="28">
        <v>131.61742480528775</v>
      </c>
      <c r="M37" s="94">
        <f t="shared" si="1"/>
        <v>171140.83283289708</v>
      </c>
      <c r="N37" s="94"/>
      <c r="O37"/>
      <c r="P37"/>
      <c r="Q37"/>
      <c r="R37"/>
      <c r="S37"/>
    </row>
    <row r="38" spans="1:19" x14ac:dyDescent="0.2">
      <c r="A38" s="3">
        <v>38473</v>
      </c>
      <c r="E38" s="94"/>
      <c r="F38" s="94"/>
      <c r="G38" s="95">
        <f>[30]Residential!G38</f>
        <v>638.6</v>
      </c>
      <c r="H38" s="94"/>
      <c r="I38" s="94">
        <f t="shared" si="0"/>
        <v>38473</v>
      </c>
      <c r="J38" s="96">
        <v>336.28800000000001</v>
      </c>
      <c r="K38" s="94">
        <f>+'[29]Data Input'!$R45</f>
        <v>622</v>
      </c>
      <c r="L38" s="28">
        <v>131.90996128607298</v>
      </c>
      <c r="M38" s="94">
        <f t="shared" si="1"/>
        <v>178875.09546689736</v>
      </c>
      <c r="N38" s="94"/>
      <c r="O38"/>
      <c r="P38"/>
      <c r="Q38"/>
      <c r="R38"/>
      <c r="S38"/>
    </row>
    <row r="39" spans="1:19" x14ac:dyDescent="0.2">
      <c r="A39" s="3">
        <v>38504</v>
      </c>
      <c r="E39" s="94"/>
      <c r="F39" s="94"/>
      <c r="G39" s="95">
        <f>[30]Residential!G39</f>
        <v>648.1</v>
      </c>
      <c r="H39" s="94"/>
      <c r="I39" s="94">
        <f t="shared" si="0"/>
        <v>38504</v>
      </c>
      <c r="J39" s="96">
        <v>352.08</v>
      </c>
      <c r="K39" s="94">
        <f>+'[29]Data Input'!$R46</f>
        <v>622</v>
      </c>
      <c r="L39" s="28">
        <v>132.20314796642501</v>
      </c>
      <c r="M39" s="94">
        <f t="shared" si="1"/>
        <v>188940.23177141824</v>
      </c>
      <c r="N39" s="94"/>
      <c r="O39"/>
      <c r="P39"/>
      <c r="Q39"/>
      <c r="R39"/>
      <c r="S39"/>
    </row>
    <row r="40" spans="1:19" x14ac:dyDescent="0.2">
      <c r="A40" s="3">
        <v>38534</v>
      </c>
      <c r="E40" s="94"/>
      <c r="F40" s="94"/>
      <c r="G40" s="95">
        <f>[30]Residential!G40</f>
        <v>653.1</v>
      </c>
      <c r="H40" s="94"/>
      <c r="I40" s="94">
        <f t="shared" si="0"/>
        <v>38534</v>
      </c>
      <c r="J40" s="96">
        <v>319.92</v>
      </c>
      <c r="K40" s="94">
        <f>+'[29]Data Input'!$R47</f>
        <v>622</v>
      </c>
      <c r="L40" s="28">
        <v>132.49698629149512</v>
      </c>
      <c r="M40" s="94">
        <f t="shared" si="1"/>
        <v>194237.6719316924</v>
      </c>
      <c r="N40" s="94"/>
      <c r="O40"/>
      <c r="P40"/>
      <c r="Q40"/>
      <c r="R40"/>
      <c r="S40"/>
    </row>
    <row r="41" spans="1:19" x14ac:dyDescent="0.2">
      <c r="A41" s="3">
        <v>38565</v>
      </c>
      <c r="E41" s="94"/>
      <c r="F41" s="94"/>
      <c r="G41" s="95">
        <f>[30]Residential!G41</f>
        <v>655.6</v>
      </c>
      <c r="H41" s="94"/>
      <c r="I41" s="94">
        <f t="shared" si="0"/>
        <v>38565</v>
      </c>
      <c r="J41" s="96">
        <v>351.91199999999998</v>
      </c>
      <c r="K41" s="94">
        <f>+'[29]Data Input'!$R48</f>
        <v>623</v>
      </c>
      <c r="L41" s="28">
        <v>132.79147770964664</v>
      </c>
      <c r="M41" s="94">
        <f t="shared" si="1"/>
        <v>196886.39201182954</v>
      </c>
      <c r="N41" s="94"/>
      <c r="O41"/>
      <c r="P41"/>
      <c r="Q41"/>
      <c r="R41"/>
      <c r="S41"/>
    </row>
    <row r="42" spans="1:19" x14ac:dyDescent="0.2">
      <c r="A42" s="3">
        <v>38596</v>
      </c>
      <c r="E42" s="94"/>
      <c r="F42" s="94"/>
      <c r="G42" s="95">
        <f>[30]Residential!G42</f>
        <v>652.20000000000005</v>
      </c>
      <c r="H42" s="94"/>
      <c r="I42" s="94">
        <f t="shared" si="0"/>
        <v>38596</v>
      </c>
      <c r="J42" s="96">
        <v>336.24</v>
      </c>
      <c r="K42" s="94">
        <f>+'[29]Data Input'!$R49</f>
        <v>621</v>
      </c>
      <c r="L42" s="28">
        <v>133.08662367246211</v>
      </c>
      <c r="M42" s="94">
        <f t="shared" si="1"/>
        <v>193284.13270284305</v>
      </c>
      <c r="N42" s="94"/>
      <c r="O42"/>
      <c r="P42"/>
      <c r="Q42"/>
      <c r="R42"/>
      <c r="S42"/>
    </row>
    <row r="43" spans="1:19" x14ac:dyDescent="0.2">
      <c r="A43" s="3">
        <v>38626</v>
      </c>
      <c r="E43" s="94"/>
      <c r="F43" s="94"/>
      <c r="G43" s="95">
        <f>[30]Residential!G43</f>
        <v>649.79999999999995</v>
      </c>
      <c r="H43" s="94"/>
      <c r="I43" s="94">
        <f t="shared" si="0"/>
        <v>38626</v>
      </c>
      <c r="J43" s="96">
        <v>319.92</v>
      </c>
      <c r="K43" s="94">
        <f>+'[29]Data Input'!$R50</f>
        <v>621</v>
      </c>
      <c r="L43" s="28">
        <v>133.38242563475035</v>
      </c>
      <c r="M43" s="94">
        <f t="shared" si="1"/>
        <v>190741.36142591143</v>
      </c>
      <c r="N43" s="94"/>
      <c r="O43"/>
      <c r="P43"/>
      <c r="Q43"/>
      <c r="R43"/>
      <c r="S43"/>
    </row>
    <row r="44" spans="1:19" x14ac:dyDescent="0.2">
      <c r="A44" s="3">
        <v>38657</v>
      </c>
      <c r="E44" s="94"/>
      <c r="F44" s="94"/>
      <c r="G44" s="95">
        <f>[30]Residential!G44</f>
        <v>643.79999999999995</v>
      </c>
      <c r="H44" s="94"/>
      <c r="I44" s="94">
        <f t="shared" si="0"/>
        <v>38657</v>
      </c>
      <c r="J44" s="96">
        <v>352.08</v>
      </c>
      <c r="K44" s="94">
        <f>+'[29]Data Input'!$R51</f>
        <v>622</v>
      </c>
      <c r="L44" s="28">
        <v>133.67888505455369</v>
      </c>
      <c r="M44" s="94">
        <f t="shared" si="1"/>
        <v>184384.43323358241</v>
      </c>
      <c r="N44" s="94"/>
      <c r="O44"/>
      <c r="P44"/>
      <c r="Q44"/>
      <c r="R44"/>
      <c r="S44"/>
    </row>
    <row r="45" spans="1:19" x14ac:dyDescent="0.2">
      <c r="A45" s="3">
        <v>38687</v>
      </c>
      <c r="E45" s="94"/>
      <c r="F45" s="94"/>
      <c r="G45" s="95">
        <f>[30]Residential!G45</f>
        <v>644.6</v>
      </c>
      <c r="H45" s="94"/>
      <c r="I45" s="94">
        <f t="shared" si="0"/>
        <v>38687</v>
      </c>
      <c r="J45" s="96">
        <v>319.92</v>
      </c>
      <c r="K45" s="94">
        <f>+'[29]Data Input'!$R52</f>
        <v>624</v>
      </c>
      <c r="L45" s="28">
        <v>133.97600339315525</v>
      </c>
      <c r="M45" s="94">
        <f t="shared" si="1"/>
        <v>185232.02365922637</v>
      </c>
      <c r="N45" s="94"/>
      <c r="O45"/>
      <c r="P45"/>
      <c r="Q45"/>
      <c r="R45"/>
      <c r="S45"/>
    </row>
    <row r="46" spans="1:19" x14ac:dyDescent="0.2">
      <c r="A46" s="3">
        <v>38718</v>
      </c>
      <c r="E46" s="94"/>
      <c r="F46" s="94"/>
      <c r="G46" s="95">
        <f>[30]Residential!G46</f>
        <v>643.6</v>
      </c>
      <c r="H46" s="94"/>
      <c r="I46" s="94">
        <f t="shared" si="0"/>
        <v>38718</v>
      </c>
      <c r="J46" s="96">
        <v>336.28800000000001</v>
      </c>
      <c r="K46" s="94">
        <f>+'[29]Data Input'!$R53</f>
        <v>623</v>
      </c>
      <c r="L46" s="28">
        <v>134.25197202423305</v>
      </c>
      <c r="M46" s="94">
        <f t="shared" si="1"/>
        <v>184172.53562717151</v>
      </c>
      <c r="N46" s="94"/>
      <c r="O46"/>
      <c r="P46"/>
      <c r="Q46"/>
      <c r="R46"/>
      <c r="S46"/>
    </row>
    <row r="47" spans="1:19" x14ac:dyDescent="0.2">
      <c r="A47" s="3">
        <v>38749</v>
      </c>
      <c r="E47" s="94"/>
      <c r="F47" s="94"/>
      <c r="G47" s="95">
        <f>[30]Residential!G47</f>
        <v>642.9</v>
      </c>
      <c r="H47" s="94"/>
      <c r="I47" s="94">
        <f t="shared" si="0"/>
        <v>38749</v>
      </c>
      <c r="J47" s="96">
        <v>319.87200000000001</v>
      </c>
      <c r="K47" s="94">
        <f>+'[29]Data Input'!$R54</f>
        <v>623</v>
      </c>
      <c r="L47" s="28">
        <v>134.52850910550649</v>
      </c>
      <c r="M47" s="94">
        <f t="shared" si="1"/>
        <v>183430.89400473307</v>
      </c>
      <c r="N47" s="94"/>
      <c r="O47"/>
      <c r="P47"/>
      <c r="Q47"/>
      <c r="R47"/>
      <c r="S47"/>
    </row>
    <row r="48" spans="1:19" x14ac:dyDescent="0.2">
      <c r="A48" s="3">
        <v>38777</v>
      </c>
      <c r="E48" s="94"/>
      <c r="F48" s="94"/>
      <c r="G48" s="95">
        <f>[30]Residential!G48</f>
        <v>641</v>
      </c>
      <c r="H48" s="94"/>
      <c r="I48" s="94">
        <f t="shared" si="0"/>
        <v>38777</v>
      </c>
      <c r="J48" s="96">
        <v>368.28</v>
      </c>
      <c r="K48" s="94">
        <f>+'[29]Data Input'!$R55</f>
        <v>622</v>
      </c>
      <c r="L48" s="28">
        <v>134.80561580788986</v>
      </c>
      <c r="M48" s="94">
        <f t="shared" si="1"/>
        <v>181417.86674382898</v>
      </c>
      <c r="N48" s="94"/>
      <c r="O48"/>
      <c r="P48"/>
      <c r="Q48"/>
      <c r="R48"/>
      <c r="S48"/>
    </row>
    <row r="49" spans="1:19" x14ac:dyDescent="0.2">
      <c r="A49" s="3">
        <v>38808</v>
      </c>
      <c r="E49" s="94"/>
      <c r="F49" s="94"/>
      <c r="G49" s="95">
        <f>[30]Residential!G49</f>
        <v>643.6</v>
      </c>
      <c r="H49" s="94"/>
      <c r="I49" s="94">
        <f t="shared" si="0"/>
        <v>38808</v>
      </c>
      <c r="J49" s="96">
        <v>303.83999999999997</v>
      </c>
      <c r="K49" s="94">
        <f>+'[29]Data Input'!$R56</f>
        <v>628</v>
      </c>
      <c r="L49" s="28">
        <v>135.08329330470943</v>
      </c>
      <c r="M49" s="94">
        <f t="shared" si="1"/>
        <v>184172.53562717151</v>
      </c>
      <c r="N49" s="94"/>
      <c r="O49"/>
      <c r="P49"/>
      <c r="Q49"/>
      <c r="R49"/>
      <c r="S49"/>
    </row>
    <row r="50" spans="1:19" x14ac:dyDescent="0.2">
      <c r="A50" s="3">
        <v>38838</v>
      </c>
      <c r="E50" s="94"/>
      <c r="F50" s="94"/>
      <c r="G50" s="95">
        <f>[30]Residential!G50</f>
        <v>652.29999999999995</v>
      </c>
      <c r="H50" s="94"/>
      <c r="I50" s="94">
        <f t="shared" si="0"/>
        <v>38838</v>
      </c>
      <c r="J50" s="96">
        <v>351.91199999999998</v>
      </c>
      <c r="K50" s="94">
        <f>+'[29]Data Input'!$R57</f>
        <v>626</v>
      </c>
      <c r="L50" s="28">
        <v>135.36154277170829</v>
      </c>
      <c r="M50" s="94">
        <f t="shared" si="1"/>
        <v>193390.08150604845</v>
      </c>
      <c r="N50" s="94"/>
      <c r="O50"/>
      <c r="P50"/>
      <c r="Q50"/>
      <c r="R50"/>
      <c r="S50"/>
    </row>
    <row r="51" spans="1:19" x14ac:dyDescent="0.2">
      <c r="A51" s="3">
        <v>38869</v>
      </c>
      <c r="E51" s="94"/>
      <c r="F51" s="94"/>
      <c r="G51" s="95">
        <f>[30]Residential!G51</f>
        <v>660</v>
      </c>
      <c r="H51" s="94"/>
      <c r="I51" s="94">
        <f t="shared" si="0"/>
        <v>38869</v>
      </c>
      <c r="J51" s="96">
        <v>352.08</v>
      </c>
      <c r="K51" s="94">
        <f>+'[29]Data Input'!$R58</f>
        <v>637</v>
      </c>
      <c r="L51" s="28">
        <v>135.64036538705133</v>
      </c>
      <c r="M51" s="94">
        <f t="shared" si="1"/>
        <v>201548.13935287076</v>
      </c>
      <c r="N51" s="94"/>
      <c r="O51"/>
      <c r="P51"/>
      <c r="Q51"/>
      <c r="R51"/>
      <c r="S51"/>
    </row>
    <row r="52" spans="1:19" x14ac:dyDescent="0.2">
      <c r="A52" s="3">
        <v>38899</v>
      </c>
      <c r="E52" s="94"/>
      <c r="F52" s="94"/>
      <c r="G52" s="95">
        <f>[30]Residential!G52</f>
        <v>665.1</v>
      </c>
      <c r="H52" s="94"/>
      <c r="I52" s="94">
        <f t="shared" si="0"/>
        <v>38899</v>
      </c>
      <c r="J52" s="96">
        <v>319.92</v>
      </c>
      <c r="K52" s="94">
        <f>+'[29]Data Input'!$R59</f>
        <v>638</v>
      </c>
      <c r="L52" s="28">
        <v>135.9197623313303</v>
      </c>
      <c r="M52" s="94">
        <f t="shared" si="1"/>
        <v>206951.52831635042</v>
      </c>
      <c r="N52" s="94"/>
      <c r="O52"/>
      <c r="P52"/>
      <c r="Q52"/>
      <c r="R52"/>
      <c r="S52"/>
    </row>
    <row r="53" spans="1:19" x14ac:dyDescent="0.2">
      <c r="A53" s="3">
        <v>38930</v>
      </c>
      <c r="E53" s="94"/>
      <c r="F53" s="94"/>
      <c r="G53" s="95">
        <f>[30]Residential!G53</f>
        <v>667.3</v>
      </c>
      <c r="H53" s="94"/>
      <c r="I53" s="94">
        <f t="shared" si="0"/>
        <v>38930</v>
      </c>
      <c r="J53" s="96">
        <v>351.91199999999998</v>
      </c>
      <c r="K53" s="94">
        <f>+'[29]Data Input'!$R60</f>
        <v>638</v>
      </c>
      <c r="L53" s="28">
        <v>136.19973478756879</v>
      </c>
      <c r="M53" s="94">
        <f t="shared" si="1"/>
        <v>209282.40198687091</v>
      </c>
      <c r="N53" s="94"/>
      <c r="O53"/>
      <c r="P53"/>
      <c r="Q53"/>
      <c r="R53"/>
      <c r="S53"/>
    </row>
    <row r="54" spans="1:19" x14ac:dyDescent="0.2">
      <c r="A54" s="3">
        <v>38961</v>
      </c>
      <c r="E54" s="94"/>
      <c r="F54" s="94"/>
      <c r="G54" s="95">
        <f>[30]Residential!G54</f>
        <v>664.9</v>
      </c>
      <c r="H54" s="94"/>
      <c r="I54" s="94">
        <f t="shared" si="0"/>
        <v>38961</v>
      </c>
      <c r="J54" s="96">
        <v>319.68</v>
      </c>
      <c r="K54" s="94">
        <f>+'[29]Data Input'!$R61</f>
        <v>638</v>
      </c>
      <c r="L54" s="28">
        <v>136.48028394122719</v>
      </c>
      <c r="M54" s="94">
        <f t="shared" si="1"/>
        <v>206739.6307099394</v>
      </c>
      <c r="N54" s="94"/>
      <c r="O54"/>
      <c r="P54"/>
      <c r="Q54"/>
      <c r="R54"/>
      <c r="S54"/>
    </row>
    <row r="55" spans="1:19" x14ac:dyDescent="0.2">
      <c r="A55" s="3">
        <v>38991</v>
      </c>
      <c r="E55" s="94"/>
      <c r="F55" s="94"/>
      <c r="G55" s="95">
        <f>[30]Residential!G55</f>
        <v>667</v>
      </c>
      <c r="H55" s="94"/>
      <c r="I55" s="94">
        <f t="shared" si="0"/>
        <v>38991</v>
      </c>
      <c r="J55" s="96">
        <v>336.28800000000001</v>
      </c>
      <c r="K55" s="94">
        <f>+'[29]Data Input'!$R62</f>
        <v>639</v>
      </c>
      <c r="L55" s="28">
        <v>136.76141098020776</v>
      </c>
      <c r="M55" s="94">
        <f t="shared" si="1"/>
        <v>208964.5555772545</v>
      </c>
      <c r="N55" s="94"/>
      <c r="O55"/>
      <c r="P55"/>
      <c r="Q55"/>
      <c r="R55"/>
      <c r="S55"/>
    </row>
    <row r="56" spans="1:19" x14ac:dyDescent="0.2">
      <c r="A56" s="3">
        <v>39022</v>
      </c>
      <c r="E56" s="94"/>
      <c r="F56" s="94"/>
      <c r="G56" s="95">
        <f>[30]Residential!G56</f>
        <v>666.2</v>
      </c>
      <c r="H56" s="94"/>
      <c r="I56" s="94">
        <f t="shared" si="0"/>
        <v>39022</v>
      </c>
      <c r="J56" s="96">
        <v>352.08</v>
      </c>
      <c r="K56" s="94">
        <f>+'[29]Data Input'!$R63</f>
        <v>639</v>
      </c>
      <c r="L56" s="28">
        <v>137.04311709485967</v>
      </c>
      <c r="M56" s="94">
        <f t="shared" si="1"/>
        <v>208116.96515161067</v>
      </c>
      <c r="N56" s="94"/>
      <c r="O56"/>
      <c r="P56"/>
      <c r="Q56"/>
      <c r="R56"/>
      <c r="S56"/>
    </row>
    <row r="57" spans="1:19" x14ac:dyDescent="0.2">
      <c r="A57" s="3">
        <v>39052</v>
      </c>
      <c r="E57" s="94"/>
      <c r="F57" s="94"/>
      <c r="G57" s="95">
        <f>[30]Residential!G57</f>
        <v>667.7</v>
      </c>
      <c r="H57" s="94"/>
      <c r="I57" s="94">
        <f t="shared" si="0"/>
        <v>39052</v>
      </c>
      <c r="J57" s="96">
        <v>304.29599999999999</v>
      </c>
      <c r="K57" s="94">
        <f>+'[29]Data Input'!$R64</f>
        <v>639</v>
      </c>
      <c r="L57" s="28">
        <v>137.32540347798411</v>
      </c>
      <c r="M57" s="94">
        <f t="shared" si="1"/>
        <v>209706.19719969295</v>
      </c>
      <c r="N57" s="94"/>
      <c r="O57"/>
      <c r="P57"/>
      <c r="Q57"/>
      <c r="R57"/>
      <c r="S57"/>
    </row>
    <row r="58" spans="1:19" x14ac:dyDescent="0.2">
      <c r="A58" s="3">
        <v>39083</v>
      </c>
      <c r="E58" s="94"/>
      <c r="F58" s="94"/>
      <c r="G58" s="95">
        <f>[30]Residential!G58</f>
        <v>662.2</v>
      </c>
      <c r="H58" s="94"/>
      <c r="I58" s="94">
        <f t="shared" si="0"/>
        <v>39083</v>
      </c>
      <c r="J58" s="96">
        <v>351.91199999999998</v>
      </c>
      <c r="K58" s="94">
        <f>+'[29]Data Input'!$R65</f>
        <v>640</v>
      </c>
      <c r="L58" s="28">
        <v>137.58587596073079</v>
      </c>
      <c r="M58" s="94">
        <f t="shared" si="1"/>
        <v>203879.01302339137</v>
      </c>
      <c r="N58" s="94"/>
      <c r="O58"/>
      <c r="P58"/>
      <c r="Q58"/>
      <c r="R58"/>
      <c r="S58"/>
    </row>
    <row r="59" spans="1:19" x14ac:dyDescent="0.2">
      <c r="A59" s="3">
        <v>39114</v>
      </c>
      <c r="E59" s="94"/>
      <c r="F59" s="94"/>
      <c r="G59" s="95">
        <f>[30]Residential!G59</f>
        <v>656.8</v>
      </c>
      <c r="H59" s="94"/>
      <c r="I59" s="94">
        <f t="shared" si="0"/>
        <v>39114</v>
      </c>
      <c r="J59" s="96">
        <v>319.87200000000001</v>
      </c>
      <c r="K59" s="94">
        <f>+'[29]Data Input'!$R66</f>
        <v>642</v>
      </c>
      <c r="L59" s="28">
        <v>137.84684249565245</v>
      </c>
      <c r="M59" s="94">
        <f t="shared" si="1"/>
        <v>198157.77765029517</v>
      </c>
      <c r="N59" s="94"/>
      <c r="O59"/>
      <c r="P59"/>
      <c r="Q59"/>
      <c r="R59"/>
      <c r="S59"/>
    </row>
    <row r="60" spans="1:19" x14ac:dyDescent="0.2">
      <c r="A60" s="3">
        <v>39142</v>
      </c>
      <c r="E60" s="94"/>
      <c r="F60" s="94"/>
      <c r="G60" s="95">
        <f>[30]Residential!G60</f>
        <v>652.20000000000005</v>
      </c>
      <c r="H60" s="94"/>
      <c r="I60" s="94">
        <f t="shared" si="0"/>
        <v>39142</v>
      </c>
      <c r="J60" s="96">
        <v>351.91199999999998</v>
      </c>
      <c r="K60" s="94">
        <f>+'[29]Data Input'!$R67</f>
        <v>665</v>
      </c>
      <c r="L60" s="28">
        <v>138.10830401984444</v>
      </c>
      <c r="M60" s="94">
        <f t="shared" si="1"/>
        <v>193284.13270284305</v>
      </c>
      <c r="N60" s="94"/>
      <c r="O60"/>
      <c r="P60"/>
      <c r="Q60"/>
      <c r="R60"/>
      <c r="S60"/>
    </row>
    <row r="61" spans="1:19" x14ac:dyDescent="0.2">
      <c r="A61" s="3">
        <v>39173</v>
      </c>
      <c r="E61" s="94"/>
      <c r="F61" s="94"/>
      <c r="G61" s="95">
        <f>[30]Residential!G61</f>
        <v>647.4</v>
      </c>
      <c r="H61" s="94"/>
      <c r="I61" s="94">
        <f t="shared" si="0"/>
        <v>39173</v>
      </c>
      <c r="J61" s="96">
        <v>319.68</v>
      </c>
      <c r="K61" s="94">
        <f>+'[29]Data Input'!$R68</f>
        <v>662</v>
      </c>
      <c r="L61" s="28">
        <v>138.37026147217955</v>
      </c>
      <c r="M61" s="94">
        <f t="shared" si="1"/>
        <v>188198.5901489798</v>
      </c>
      <c r="N61" s="94"/>
      <c r="O61"/>
      <c r="P61"/>
      <c r="Q61"/>
      <c r="R61"/>
      <c r="S61"/>
    </row>
    <row r="62" spans="1:19" x14ac:dyDescent="0.2">
      <c r="A62" s="3">
        <v>39203</v>
      </c>
      <c r="E62" s="94"/>
      <c r="F62" s="94"/>
      <c r="G62" s="95">
        <f>[30]Residential!G62</f>
        <v>646.9</v>
      </c>
      <c r="H62" s="94"/>
      <c r="I62" s="94">
        <f t="shared" si="0"/>
        <v>39203</v>
      </c>
      <c r="J62" s="96">
        <v>351.91199999999998</v>
      </c>
      <c r="K62" s="94">
        <f>+'[29]Data Input'!$R69</f>
        <v>663</v>
      </c>
      <c r="L62" s="28">
        <v>138.63271579331135</v>
      </c>
      <c r="M62" s="94">
        <f t="shared" si="1"/>
        <v>187668.84613295237</v>
      </c>
      <c r="N62" s="94"/>
      <c r="O62"/>
      <c r="P62"/>
      <c r="Q62"/>
      <c r="R62"/>
      <c r="S62"/>
    </row>
    <row r="63" spans="1:19" x14ac:dyDescent="0.2">
      <c r="A63" s="3">
        <v>39234</v>
      </c>
      <c r="E63" s="94"/>
      <c r="F63" s="94"/>
      <c r="G63" s="95">
        <f>[30]Residential!G63</f>
        <v>652.29999999999995</v>
      </c>
      <c r="H63" s="94"/>
      <c r="I63" s="94">
        <f t="shared" si="0"/>
        <v>39234</v>
      </c>
      <c r="J63" s="96">
        <v>336.24</v>
      </c>
      <c r="K63" s="94">
        <f>+'[29]Data Input'!$R70</f>
        <v>667</v>
      </c>
      <c r="L63" s="28">
        <v>138.89566792567766</v>
      </c>
      <c r="M63" s="94">
        <f t="shared" si="1"/>
        <v>193390.08150604845</v>
      </c>
      <c r="N63" s="94"/>
      <c r="O63"/>
      <c r="P63"/>
      <c r="Q63"/>
      <c r="R63"/>
      <c r="S63"/>
    </row>
    <row r="64" spans="1:19" x14ac:dyDescent="0.2">
      <c r="A64" s="3">
        <v>39264</v>
      </c>
      <c r="E64" s="94"/>
      <c r="F64" s="94"/>
      <c r="G64" s="95">
        <f>[30]Residential!G64</f>
        <v>659.9</v>
      </c>
      <c r="H64" s="94"/>
      <c r="I64" s="94">
        <f t="shared" si="0"/>
        <v>39264</v>
      </c>
      <c r="J64" s="96">
        <v>336.28800000000001</v>
      </c>
      <c r="K64" s="94">
        <f>+'[29]Data Input'!$R71</f>
        <v>667</v>
      </c>
      <c r="L64" s="28">
        <v>139.1591188135038</v>
      </c>
      <c r="M64" s="94">
        <f t="shared" si="1"/>
        <v>201442.19054966525</v>
      </c>
      <c r="N64" s="94"/>
      <c r="O64"/>
      <c r="P64"/>
      <c r="Q64"/>
      <c r="R64"/>
      <c r="S64"/>
    </row>
    <row r="65" spans="1:19" x14ac:dyDescent="0.2">
      <c r="A65" s="3">
        <v>39295</v>
      </c>
      <c r="E65" s="94"/>
      <c r="F65" s="94"/>
      <c r="G65" s="95">
        <f>[30]Residential!G65</f>
        <v>662.1</v>
      </c>
      <c r="H65" s="94"/>
      <c r="I65" s="94">
        <f t="shared" si="0"/>
        <v>39295</v>
      </c>
      <c r="J65" s="96">
        <v>351.91199999999998</v>
      </c>
      <c r="K65" s="94">
        <f>+'[29]Data Input'!$R72</f>
        <v>667</v>
      </c>
      <c r="L65" s="28">
        <v>139.42306940280611</v>
      </c>
      <c r="M65" s="94">
        <f t="shared" si="1"/>
        <v>203773.06422018586</v>
      </c>
      <c r="N65" s="94"/>
      <c r="O65"/>
      <c r="P65"/>
      <c r="Q65"/>
      <c r="R65"/>
      <c r="S65"/>
    </row>
    <row r="66" spans="1:19" x14ac:dyDescent="0.2">
      <c r="A66" s="3">
        <v>39326</v>
      </c>
      <c r="E66" s="94"/>
      <c r="F66" s="94"/>
      <c r="G66" s="95">
        <f>[30]Residential!G66</f>
        <v>660.7</v>
      </c>
      <c r="H66" s="94"/>
      <c r="I66" s="94">
        <f t="shared" si="0"/>
        <v>39326</v>
      </c>
      <c r="J66" s="96">
        <v>303.83999999999997</v>
      </c>
      <c r="K66" s="94">
        <f>+'[29]Data Input'!$R73</f>
        <v>669</v>
      </c>
      <c r="L66" s="28">
        <v>139.68752064139528</v>
      </c>
      <c r="M66" s="94">
        <f t="shared" si="1"/>
        <v>202289.7809753092</v>
      </c>
      <c r="N66" s="94"/>
      <c r="O66"/>
      <c r="P66"/>
      <c r="Q66"/>
      <c r="R66"/>
      <c r="S66"/>
    </row>
    <row r="67" spans="1:19" x14ac:dyDescent="0.2">
      <c r="A67" s="3">
        <v>39356</v>
      </c>
      <c r="E67" s="94"/>
      <c r="F67" s="94"/>
      <c r="G67" s="95">
        <f>[30]Residential!G67</f>
        <v>662.5</v>
      </c>
      <c r="H67" s="94"/>
      <c r="I67" s="94">
        <f t="shared" si="0"/>
        <v>39356</v>
      </c>
      <c r="J67" s="96">
        <v>351.91199999999998</v>
      </c>
      <c r="K67" s="94">
        <f>+'[29]Data Input'!$R74</f>
        <v>667</v>
      </c>
      <c r="L67" s="28">
        <v>139.95247347887977</v>
      </c>
      <c r="M67" s="94">
        <f t="shared" si="1"/>
        <v>204196.85943300778</v>
      </c>
      <c r="N67" s="94"/>
      <c r="O67"/>
      <c r="P67"/>
      <c r="Q67"/>
      <c r="R67"/>
      <c r="S67"/>
    </row>
    <row r="68" spans="1:19" x14ac:dyDescent="0.2">
      <c r="A68" s="3">
        <v>39387</v>
      </c>
      <c r="E68" s="94"/>
      <c r="F68" s="94"/>
      <c r="G68" s="95">
        <f>[30]Residential!G68</f>
        <v>666.7</v>
      </c>
      <c r="H68" s="94"/>
      <c r="I68" s="94">
        <f t="shared" ref="I68:I131" si="2">A68</f>
        <v>39387</v>
      </c>
      <c r="J68" s="96">
        <v>352.08</v>
      </c>
      <c r="K68" s="94">
        <f>+'[29]Data Input'!$R75</f>
        <v>668</v>
      </c>
      <c r="L68" s="28">
        <v>140.21792886666915</v>
      </c>
      <c r="M68" s="94">
        <f t="shared" ref="M68:M131" si="3">$P$18+$P$19*C68+$P$20*D68+$P$21*E68+$P$22*F68+$P$23*G68+$P$24*H68</f>
        <v>208646.7091676381</v>
      </c>
      <c r="N68" s="94"/>
      <c r="O68"/>
      <c r="P68"/>
      <c r="Q68"/>
      <c r="R68"/>
      <c r="S68"/>
    </row>
    <row r="69" spans="1:19" x14ac:dyDescent="0.2">
      <c r="A69" s="3">
        <v>39417</v>
      </c>
      <c r="E69" s="94"/>
      <c r="F69" s="94"/>
      <c r="G69" s="95">
        <f>[30]Residential!G69</f>
        <v>668.5</v>
      </c>
      <c r="H69" s="94"/>
      <c r="I69" s="94">
        <f t="shared" si="2"/>
        <v>39417</v>
      </c>
      <c r="J69" s="96">
        <v>304.29599999999999</v>
      </c>
      <c r="K69" s="94">
        <f>+'[29]Data Input'!$R76</f>
        <v>671</v>
      </c>
      <c r="L69" s="28">
        <v>140.48388775797773</v>
      </c>
      <c r="M69" s="94">
        <f t="shared" si="3"/>
        <v>210553.78762533679</v>
      </c>
      <c r="N69" s="94"/>
      <c r="O69"/>
      <c r="P69"/>
      <c r="Q69"/>
      <c r="R69"/>
      <c r="S69"/>
    </row>
    <row r="70" spans="1:19" x14ac:dyDescent="0.2">
      <c r="A70" s="3">
        <v>39448</v>
      </c>
      <c r="E70" s="94"/>
      <c r="F70" s="94"/>
      <c r="G70" s="95">
        <f>[30]Residential!G70</f>
        <v>661.4</v>
      </c>
      <c r="H70" s="94"/>
      <c r="I70" s="94">
        <f t="shared" si="2"/>
        <v>39448</v>
      </c>
      <c r="J70" s="89">
        <v>352</v>
      </c>
      <c r="K70" s="94">
        <f>+'[29]Data Input'!$R77</f>
        <v>672</v>
      </c>
      <c r="L70" s="100">
        <v>140.42521823206457</v>
      </c>
      <c r="M70" s="94">
        <f t="shared" si="3"/>
        <v>203031.42259774741</v>
      </c>
      <c r="N70" s="94"/>
      <c r="O70"/>
      <c r="P70"/>
      <c r="Q70"/>
      <c r="R70"/>
      <c r="S70"/>
    </row>
    <row r="71" spans="1:19" x14ac:dyDescent="0.2">
      <c r="A71" s="3">
        <v>39479</v>
      </c>
      <c r="E71" s="94"/>
      <c r="F71" s="94"/>
      <c r="G71" s="95">
        <f>[30]Residential!G71</f>
        <v>656.3</v>
      </c>
      <c r="H71" s="94"/>
      <c r="I71" s="94">
        <f t="shared" si="2"/>
        <v>39479</v>
      </c>
      <c r="J71" s="89">
        <v>320</v>
      </c>
      <c r="K71" s="94">
        <f>+'[29]Data Input'!$R78</f>
        <v>673</v>
      </c>
      <c r="L71" s="100">
        <v>140.36657320798807</v>
      </c>
      <c r="M71" s="94">
        <f t="shared" si="3"/>
        <v>197628.03363426775</v>
      </c>
      <c r="N71" s="94"/>
      <c r="O71"/>
      <c r="P71"/>
      <c r="Q71"/>
      <c r="R71"/>
      <c r="S71"/>
    </row>
    <row r="72" spans="1:19" x14ac:dyDescent="0.2">
      <c r="A72" s="3">
        <v>39508</v>
      </c>
      <c r="E72" s="94"/>
      <c r="F72" s="94"/>
      <c r="G72" s="95">
        <f>[30]Residential!G72</f>
        <v>647</v>
      </c>
      <c r="H72" s="94"/>
      <c r="I72" s="94">
        <f t="shared" si="2"/>
        <v>39508</v>
      </c>
      <c r="J72" s="89">
        <v>304</v>
      </c>
      <c r="K72" s="94">
        <f>+'[29]Data Input'!$R79</f>
        <v>676</v>
      </c>
      <c r="L72" s="100">
        <v>140.30795267551565</v>
      </c>
      <c r="M72" s="94">
        <f t="shared" si="3"/>
        <v>187774.79493615788</v>
      </c>
      <c r="N72" s="94"/>
      <c r="O72"/>
      <c r="P72"/>
      <c r="Q72"/>
      <c r="R72"/>
      <c r="S72"/>
    </row>
    <row r="73" spans="1:19" x14ac:dyDescent="0.2">
      <c r="A73" s="3">
        <v>39539</v>
      </c>
      <c r="E73" s="94"/>
      <c r="F73" s="94"/>
      <c r="G73" s="95">
        <f>[30]Residential!G73</f>
        <v>647.20000000000005</v>
      </c>
      <c r="H73" s="94"/>
      <c r="I73" s="94">
        <f t="shared" si="2"/>
        <v>39539</v>
      </c>
      <c r="J73" s="89">
        <v>352</v>
      </c>
      <c r="K73" s="94">
        <f>+'[29]Data Input'!$R80</f>
        <v>672</v>
      </c>
      <c r="L73" s="100">
        <v>140.24935662441902</v>
      </c>
      <c r="M73" s="94">
        <f t="shared" si="3"/>
        <v>187986.6925425689</v>
      </c>
      <c r="N73" s="94"/>
      <c r="O73"/>
      <c r="P73"/>
      <c r="Q73"/>
      <c r="R73"/>
      <c r="S73"/>
    </row>
    <row r="74" spans="1:19" x14ac:dyDescent="0.2">
      <c r="A74" s="3">
        <v>39569</v>
      </c>
      <c r="E74" s="94"/>
      <c r="F74" s="94"/>
      <c r="G74" s="95">
        <f>[30]Residential!G74</f>
        <v>648.79999999999995</v>
      </c>
      <c r="H74" s="94"/>
      <c r="I74" s="94">
        <f t="shared" si="2"/>
        <v>39569</v>
      </c>
      <c r="J74" s="89">
        <v>336</v>
      </c>
      <c r="K74" s="94">
        <f>+'[29]Data Input'!$R81</f>
        <v>672</v>
      </c>
      <c r="L74" s="100">
        <v>140.19078504447415</v>
      </c>
      <c r="M74" s="94">
        <f t="shared" si="3"/>
        <v>189681.87339385657</v>
      </c>
      <c r="N74" s="94"/>
      <c r="O74"/>
      <c r="P74"/>
      <c r="Q74"/>
      <c r="R74"/>
      <c r="S74"/>
    </row>
    <row r="75" spans="1:19" x14ac:dyDescent="0.2">
      <c r="A75" s="3">
        <v>39600</v>
      </c>
      <c r="E75" s="94"/>
      <c r="F75" s="94"/>
      <c r="G75" s="95">
        <f>[30]Residential!G75</f>
        <v>656.8</v>
      </c>
      <c r="H75" s="94"/>
      <c r="I75" s="94">
        <f t="shared" si="2"/>
        <v>39600</v>
      </c>
      <c r="J75" s="89">
        <v>336</v>
      </c>
      <c r="K75" s="94">
        <f>+'[29]Data Input'!$R82</f>
        <v>674</v>
      </c>
      <c r="L75" s="100">
        <v>140.13223792546131</v>
      </c>
      <c r="M75" s="94">
        <f t="shared" si="3"/>
        <v>198157.77765029517</v>
      </c>
      <c r="N75" s="94"/>
      <c r="O75"/>
      <c r="P75"/>
      <c r="Q75"/>
      <c r="R75"/>
      <c r="S75"/>
    </row>
    <row r="76" spans="1:19" x14ac:dyDescent="0.2">
      <c r="A76" s="3">
        <v>39630</v>
      </c>
      <c r="E76" s="94"/>
      <c r="F76" s="94"/>
      <c r="G76" s="95">
        <f>[30]Residential!G76</f>
        <v>663.6</v>
      </c>
      <c r="H76" s="94"/>
      <c r="I76" s="94">
        <f t="shared" si="2"/>
        <v>39630</v>
      </c>
      <c r="J76" s="89">
        <v>352</v>
      </c>
      <c r="K76" s="94">
        <f>+'[29]Data Input'!$R83</f>
        <v>675</v>
      </c>
      <c r="L76" s="100">
        <v>140.07371525716499</v>
      </c>
      <c r="M76" s="94">
        <f t="shared" si="3"/>
        <v>205362.29626826814</v>
      </c>
      <c r="N76" s="94"/>
      <c r="O76"/>
      <c r="P76"/>
      <c r="Q76"/>
      <c r="R76"/>
      <c r="S76"/>
    </row>
    <row r="77" spans="1:19" x14ac:dyDescent="0.2">
      <c r="A77" s="3">
        <v>39661</v>
      </c>
      <c r="E77" s="94"/>
      <c r="F77" s="94"/>
      <c r="G77" s="95">
        <f>[30]Residential!G77</f>
        <v>666.6</v>
      </c>
      <c r="H77" s="94"/>
      <c r="I77" s="94">
        <f t="shared" si="2"/>
        <v>39661</v>
      </c>
      <c r="J77" s="89">
        <v>320</v>
      </c>
      <c r="K77" s="94">
        <f>+'[29]Data Input'!$R84</f>
        <v>676</v>
      </c>
      <c r="L77" s="100">
        <v>140.01521702937399</v>
      </c>
      <c r="M77" s="94">
        <f t="shared" si="3"/>
        <v>208540.76036443259</v>
      </c>
      <c r="N77" s="94"/>
      <c r="O77"/>
      <c r="P77"/>
      <c r="Q77"/>
      <c r="R77"/>
      <c r="S77"/>
    </row>
    <row r="78" spans="1:19" x14ac:dyDescent="0.2">
      <c r="A78" s="3">
        <v>39692</v>
      </c>
      <c r="E78" s="94"/>
      <c r="F78" s="94"/>
      <c r="G78" s="95">
        <f>[30]Residential!G78</f>
        <v>669.7</v>
      </c>
      <c r="H78" s="94"/>
      <c r="I78" s="94">
        <f t="shared" si="2"/>
        <v>39692</v>
      </c>
      <c r="J78" s="89">
        <v>336</v>
      </c>
      <c r="K78" s="94">
        <f>+'[29]Data Input'!$R85</f>
        <v>676</v>
      </c>
      <c r="L78" s="100">
        <v>139.95674323188132</v>
      </c>
      <c r="M78" s="94">
        <f t="shared" si="3"/>
        <v>211825.17326380266</v>
      </c>
      <c r="N78" s="94"/>
      <c r="O78"/>
      <c r="P78"/>
      <c r="Q78"/>
      <c r="R78"/>
      <c r="S78"/>
    </row>
    <row r="79" spans="1:19" x14ac:dyDescent="0.2">
      <c r="A79" s="3">
        <v>39722</v>
      </c>
      <c r="E79" s="94"/>
      <c r="F79" s="94"/>
      <c r="G79" s="95">
        <f>[30]Residential!G79</f>
        <v>673</v>
      </c>
      <c r="H79" s="94"/>
      <c r="I79" s="94">
        <f t="shared" si="2"/>
        <v>39722</v>
      </c>
      <c r="J79" s="89">
        <v>352</v>
      </c>
      <c r="K79" s="94">
        <f>+'[29]Data Input'!$R86</f>
        <v>680</v>
      </c>
      <c r="L79" s="100">
        <v>139.89829385448431</v>
      </c>
      <c r="M79" s="94">
        <f t="shared" si="3"/>
        <v>215321.48376958352</v>
      </c>
      <c r="N79" s="94"/>
      <c r="O79"/>
      <c r="P79"/>
      <c r="Q79"/>
      <c r="R79"/>
      <c r="S79"/>
    </row>
    <row r="80" spans="1:19" x14ac:dyDescent="0.2">
      <c r="A80" s="3">
        <v>39753</v>
      </c>
      <c r="E80" s="94"/>
      <c r="F80" s="94"/>
      <c r="G80" s="95">
        <f>[30]Residential!G80</f>
        <v>676.9</v>
      </c>
      <c r="H80" s="94"/>
      <c r="I80" s="94">
        <f t="shared" si="2"/>
        <v>39753</v>
      </c>
      <c r="J80" s="89">
        <v>304</v>
      </c>
      <c r="K80" s="94">
        <f>+'[29]Data Input'!$R87</f>
        <v>682</v>
      </c>
      <c r="L80" s="100">
        <v>139.83986888698453</v>
      </c>
      <c r="M80" s="94">
        <f t="shared" si="3"/>
        <v>219453.48709459731</v>
      </c>
      <c r="N80" s="94"/>
      <c r="O80"/>
      <c r="P80"/>
      <c r="Q80"/>
      <c r="R80"/>
      <c r="S80"/>
    </row>
    <row r="81" spans="1:40" x14ac:dyDescent="0.2">
      <c r="A81" s="3">
        <v>39783</v>
      </c>
      <c r="E81" s="94"/>
      <c r="F81" s="94"/>
      <c r="G81" s="95">
        <f>[30]Residential!G81</f>
        <v>673.6</v>
      </c>
      <c r="H81" s="94"/>
      <c r="I81" s="94">
        <f t="shared" si="2"/>
        <v>39783</v>
      </c>
      <c r="J81" s="89">
        <v>336</v>
      </c>
      <c r="K81" s="94">
        <f>+'[29]Data Input'!$R88</f>
        <v>685</v>
      </c>
      <c r="L81" s="100">
        <v>139.78146831918784</v>
      </c>
      <c r="M81" s="94">
        <f t="shared" si="3"/>
        <v>215957.17658881645</v>
      </c>
      <c r="N81" s="94"/>
      <c r="O81"/>
      <c r="P81"/>
      <c r="Q81"/>
      <c r="R81"/>
      <c r="S81"/>
    </row>
    <row r="82" spans="1:40" s="72" customFormat="1" x14ac:dyDescent="0.2">
      <c r="A82" s="3">
        <v>39814</v>
      </c>
      <c r="B82" s="22"/>
      <c r="C82" s="19"/>
      <c r="D82" s="19"/>
      <c r="E82" s="94"/>
      <c r="F82" s="94"/>
      <c r="G82" s="95">
        <f>[30]Residential!G82</f>
        <v>662.3</v>
      </c>
      <c r="H82" s="94"/>
      <c r="I82" s="94">
        <f t="shared" si="2"/>
        <v>39814</v>
      </c>
      <c r="J82" s="89">
        <v>336</v>
      </c>
      <c r="K82" s="94">
        <f>+'[29]Data Input'!$R89</f>
        <v>686</v>
      </c>
      <c r="L82" s="100">
        <v>139.37911160687111</v>
      </c>
      <c r="M82" s="94">
        <f t="shared" si="3"/>
        <v>203984.96182659676</v>
      </c>
      <c r="N82" s="94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 s="101"/>
    </row>
    <row r="83" spans="1:40" x14ac:dyDescent="0.2">
      <c r="A83" s="3">
        <v>39845</v>
      </c>
      <c r="E83" s="94"/>
      <c r="F83" s="94"/>
      <c r="G83" s="95">
        <f>[30]Residential!G83</f>
        <v>649.29999999999995</v>
      </c>
      <c r="H83" s="94"/>
      <c r="I83" s="94">
        <f t="shared" si="2"/>
        <v>39845</v>
      </c>
      <c r="J83" s="89">
        <v>304</v>
      </c>
      <c r="K83" s="94">
        <f>+'[29]Data Input'!$R90</f>
        <v>682</v>
      </c>
      <c r="L83" s="100">
        <v>138.97791306613385</v>
      </c>
      <c r="M83" s="94">
        <f t="shared" si="3"/>
        <v>190211.617409884</v>
      </c>
      <c r="N83" s="94"/>
      <c r="O83"/>
      <c r="P83"/>
      <c r="Q83"/>
      <c r="R83"/>
      <c r="S83"/>
    </row>
    <row r="84" spans="1:40" x14ac:dyDescent="0.2">
      <c r="A84" s="3">
        <v>39873</v>
      </c>
      <c r="E84" s="94"/>
      <c r="F84" s="94"/>
      <c r="G84" s="95">
        <f>[30]Residential!G84</f>
        <v>636.29999999999995</v>
      </c>
      <c r="H84" s="94"/>
      <c r="I84" s="94">
        <f t="shared" si="2"/>
        <v>39873</v>
      </c>
      <c r="J84" s="89">
        <v>352</v>
      </c>
      <c r="K84" s="94">
        <f>+'[29]Data Input'!$R91</f>
        <v>689</v>
      </c>
      <c r="L84" s="100">
        <v>138.57786936321438</v>
      </c>
      <c r="M84" s="94">
        <f t="shared" si="3"/>
        <v>176438.27299317112</v>
      </c>
      <c r="N84" s="94"/>
      <c r="O84"/>
      <c r="P84"/>
      <c r="Q84"/>
      <c r="R84"/>
      <c r="S84"/>
    </row>
    <row r="85" spans="1:40" x14ac:dyDescent="0.2">
      <c r="A85" s="3">
        <v>39904</v>
      </c>
      <c r="E85" s="94"/>
      <c r="F85" s="94"/>
      <c r="G85" s="95">
        <f>[30]Residential!G85</f>
        <v>632.20000000000005</v>
      </c>
      <c r="H85" s="94"/>
      <c r="I85" s="94">
        <f t="shared" si="2"/>
        <v>39904</v>
      </c>
      <c r="J85" s="89">
        <v>320</v>
      </c>
      <c r="K85" s="94">
        <f>+'[29]Data Input'!$R92</f>
        <v>688</v>
      </c>
      <c r="L85" s="100">
        <v>138.17897717394706</v>
      </c>
      <c r="M85" s="94">
        <f t="shared" si="3"/>
        <v>172094.37206174643</v>
      </c>
      <c r="N85" s="94"/>
      <c r="O85"/>
      <c r="P85"/>
      <c r="Q85"/>
      <c r="R85"/>
      <c r="S85"/>
    </row>
    <row r="86" spans="1:40" x14ac:dyDescent="0.2">
      <c r="A86" s="3">
        <v>39934</v>
      </c>
      <c r="E86" s="94"/>
      <c r="F86" s="94"/>
      <c r="G86" s="95">
        <f>[30]Residential!G86</f>
        <v>631.70000000000005</v>
      </c>
      <c r="H86" s="94"/>
      <c r="I86" s="94">
        <f t="shared" si="2"/>
        <v>39934</v>
      </c>
      <c r="J86" s="89">
        <v>320</v>
      </c>
      <c r="K86" s="94">
        <f>+'[29]Data Input'!$R93</f>
        <v>689</v>
      </c>
      <c r="L86" s="100">
        <v>137.78123318373483</v>
      </c>
      <c r="M86" s="94">
        <f t="shared" si="3"/>
        <v>171564.628045719</v>
      </c>
      <c r="N86" s="94"/>
      <c r="O86"/>
      <c r="P86"/>
      <c r="Q86"/>
      <c r="R86"/>
      <c r="S86"/>
    </row>
    <row r="87" spans="1:40" x14ac:dyDescent="0.2">
      <c r="A87" s="3">
        <v>39965</v>
      </c>
      <c r="E87" s="94"/>
      <c r="F87" s="94"/>
      <c r="G87" s="95">
        <f>[30]Residential!G87</f>
        <v>642.70000000000005</v>
      </c>
      <c r="H87" s="94"/>
      <c r="I87" s="94">
        <f t="shared" si="2"/>
        <v>39965</v>
      </c>
      <c r="J87" s="89">
        <v>352</v>
      </c>
      <c r="K87" s="94">
        <f>+'[29]Data Input'!$R94</f>
        <v>691</v>
      </c>
      <c r="L87" s="100">
        <v>137.38463408752156</v>
      </c>
      <c r="M87" s="94">
        <f t="shared" si="3"/>
        <v>183218.99639832217</v>
      </c>
      <c r="N87" s="94"/>
      <c r="O87"/>
      <c r="P87"/>
      <c r="Q87"/>
      <c r="R87"/>
      <c r="S87"/>
    </row>
    <row r="88" spans="1:40" x14ac:dyDescent="0.2">
      <c r="A88" s="3">
        <v>39995</v>
      </c>
      <c r="E88" s="94"/>
      <c r="F88" s="94"/>
      <c r="G88" s="95">
        <f>[30]Residential!G88</f>
        <v>650</v>
      </c>
      <c r="H88" s="94"/>
      <c r="I88" s="94">
        <f t="shared" si="2"/>
        <v>39995</v>
      </c>
      <c r="J88" s="89">
        <v>352</v>
      </c>
      <c r="K88" s="94">
        <f>+'[29]Data Input'!$R95</f>
        <v>694</v>
      </c>
      <c r="L88" s="100">
        <v>136.98917658976464</v>
      </c>
      <c r="M88" s="94">
        <f t="shared" si="3"/>
        <v>190953.25903232244</v>
      </c>
      <c r="N88" s="94"/>
      <c r="O88"/>
      <c r="P88"/>
      <c r="Q88"/>
      <c r="R88"/>
      <c r="S88"/>
    </row>
    <row r="89" spans="1:40" x14ac:dyDescent="0.2">
      <c r="A89" s="3">
        <v>40026</v>
      </c>
      <c r="E89" s="94"/>
      <c r="F89" s="94"/>
      <c r="G89" s="95">
        <f>[30]Residential!G89</f>
        <v>655.29999999999995</v>
      </c>
      <c r="H89" s="94"/>
      <c r="I89" s="94">
        <f t="shared" si="2"/>
        <v>40026</v>
      </c>
      <c r="J89" s="89">
        <v>320</v>
      </c>
      <c r="K89" s="94">
        <f>+'[29]Data Input'!$R96</f>
        <v>693</v>
      </c>
      <c r="L89" s="100">
        <v>136.59485740440758</v>
      </c>
      <c r="M89" s="94">
        <f t="shared" si="3"/>
        <v>196568.54560221301</v>
      </c>
      <c r="N89" s="94"/>
      <c r="O89"/>
      <c r="P89"/>
      <c r="Q89"/>
      <c r="R89"/>
      <c r="S89"/>
    </row>
    <row r="90" spans="1:40" x14ac:dyDescent="0.2">
      <c r="A90" s="3">
        <v>40057</v>
      </c>
      <c r="E90" s="94"/>
      <c r="F90" s="94"/>
      <c r="G90" s="95">
        <f>[30]Residential!G90</f>
        <v>654.9</v>
      </c>
      <c r="H90" s="94"/>
      <c r="I90" s="94">
        <f t="shared" si="2"/>
        <v>40057</v>
      </c>
      <c r="J90" s="89">
        <v>336</v>
      </c>
      <c r="K90" s="94">
        <f>+'[29]Data Input'!$R97</f>
        <v>696</v>
      </c>
      <c r="L90" s="100">
        <v>136.20167325485272</v>
      </c>
      <c r="M90" s="94">
        <f t="shared" si="3"/>
        <v>196144.75038939109</v>
      </c>
      <c r="N90" s="94"/>
      <c r="O90"/>
      <c r="P90"/>
      <c r="Q90"/>
      <c r="R90"/>
      <c r="S90"/>
    </row>
    <row r="91" spans="1:40" x14ac:dyDescent="0.2">
      <c r="A91" s="3">
        <v>40087</v>
      </c>
      <c r="E91" s="94"/>
      <c r="F91" s="94"/>
      <c r="G91" s="95">
        <f>[30]Residential!G91</f>
        <v>656.6</v>
      </c>
      <c r="H91" s="94"/>
      <c r="I91" s="94">
        <f t="shared" si="2"/>
        <v>40087</v>
      </c>
      <c r="J91" s="89">
        <v>336</v>
      </c>
      <c r="K91" s="94">
        <f>+'[29]Data Input'!$R98</f>
        <v>699</v>
      </c>
      <c r="L91" s="100">
        <v>135.80962087393394</v>
      </c>
      <c r="M91" s="94">
        <f t="shared" si="3"/>
        <v>197945.88004388427</v>
      </c>
      <c r="N91" s="94"/>
      <c r="O91"/>
      <c r="P91"/>
      <c r="Q91"/>
      <c r="R91"/>
      <c r="S91"/>
    </row>
    <row r="92" spans="1:40" x14ac:dyDescent="0.2">
      <c r="A92" s="3">
        <v>40118</v>
      </c>
      <c r="E92" s="94"/>
      <c r="F92" s="94"/>
      <c r="G92" s="95">
        <f>[30]Residential!G92</f>
        <v>654.79999999999995</v>
      </c>
      <c r="H92" s="94"/>
      <c r="I92" s="94">
        <f t="shared" si="2"/>
        <v>40118</v>
      </c>
      <c r="J92" s="89">
        <v>320</v>
      </c>
      <c r="K92" s="94">
        <f>+'[29]Data Input'!$R99</f>
        <v>700</v>
      </c>
      <c r="L92" s="100">
        <v>135.41869700388958</v>
      </c>
      <c r="M92" s="94">
        <f t="shared" si="3"/>
        <v>196038.80158618558</v>
      </c>
      <c r="N92" s="94"/>
      <c r="O92"/>
      <c r="P92"/>
      <c r="Q92"/>
      <c r="R92"/>
      <c r="S92"/>
    </row>
    <row r="93" spans="1:40" s="26" customFormat="1" x14ac:dyDescent="0.2">
      <c r="A93" s="3">
        <v>40148</v>
      </c>
      <c r="B93" s="22"/>
      <c r="C93" s="19"/>
      <c r="D93" s="19"/>
      <c r="E93" s="94"/>
      <c r="F93" s="94"/>
      <c r="G93" s="95">
        <f>[30]Residential!G93</f>
        <v>652.29999999999995</v>
      </c>
      <c r="H93" s="94"/>
      <c r="I93" s="94">
        <f t="shared" si="2"/>
        <v>40148</v>
      </c>
      <c r="J93" s="89">
        <v>352</v>
      </c>
      <c r="K93" s="94">
        <f>+'[29]Data Input'!$R100</f>
        <v>701</v>
      </c>
      <c r="L93" s="100">
        <v>135.02889839633545</v>
      </c>
      <c r="M93" s="94">
        <f t="shared" si="3"/>
        <v>193390.08150604845</v>
      </c>
      <c r="N93" s="94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 s="22"/>
    </row>
    <row r="94" spans="1:40" x14ac:dyDescent="0.2">
      <c r="A94" s="3">
        <v>40179</v>
      </c>
      <c r="E94" s="94"/>
      <c r="F94" s="94"/>
      <c r="G94" s="95">
        <f>[30]Residential!G94</f>
        <v>646</v>
      </c>
      <c r="H94" s="94"/>
      <c r="I94" s="94">
        <f t="shared" si="2"/>
        <v>40179</v>
      </c>
      <c r="J94" s="89">
        <v>320</v>
      </c>
      <c r="K94" s="94">
        <f>+'[29]Data Input'!$R101</f>
        <v>702</v>
      </c>
      <c r="L94" s="100">
        <v>135.32901731143812</v>
      </c>
      <c r="M94" s="94">
        <f t="shared" si="3"/>
        <v>186715.30690410314</v>
      </c>
      <c r="N94" s="94"/>
      <c r="O94"/>
      <c r="P94"/>
      <c r="Q94"/>
      <c r="R94"/>
      <c r="S94"/>
    </row>
    <row r="95" spans="1:40" x14ac:dyDescent="0.2">
      <c r="A95" s="3">
        <v>40210</v>
      </c>
      <c r="E95" s="94"/>
      <c r="F95" s="94"/>
      <c r="G95" s="95">
        <f>[30]Residential!G95</f>
        <v>642.29999999999995</v>
      </c>
      <c r="H95" s="94"/>
      <c r="I95" s="94">
        <f t="shared" si="2"/>
        <v>40210</v>
      </c>
      <c r="J95" s="89">
        <v>304</v>
      </c>
      <c r="K95" s="94">
        <f>+'[29]Data Input'!$R102</f>
        <v>704</v>
      </c>
      <c r="L95" s="100">
        <v>135.62980327903304</v>
      </c>
      <c r="M95" s="94">
        <f t="shared" si="3"/>
        <v>182795.20118550013</v>
      </c>
      <c r="N95" s="94"/>
      <c r="O95"/>
      <c r="P95"/>
      <c r="Q95"/>
      <c r="R95"/>
      <c r="S95"/>
    </row>
    <row r="96" spans="1:40" x14ac:dyDescent="0.2">
      <c r="A96" s="3">
        <v>40238</v>
      </c>
      <c r="E96" s="94"/>
      <c r="F96" s="94"/>
      <c r="G96" s="95">
        <f>[30]Residential!G96</f>
        <v>639.5</v>
      </c>
      <c r="H96" s="94"/>
      <c r="I96" s="94">
        <f t="shared" si="2"/>
        <v>40238</v>
      </c>
      <c r="J96" s="89">
        <v>368</v>
      </c>
      <c r="K96" s="94">
        <f>+'[29]Data Input'!$R103</f>
        <v>707</v>
      </c>
      <c r="L96" s="100">
        <v>135.9312577817293</v>
      </c>
      <c r="M96" s="94">
        <f t="shared" si="3"/>
        <v>179828.6346957467</v>
      </c>
      <c r="N96" s="94"/>
      <c r="O96"/>
      <c r="P96"/>
      <c r="Q96"/>
      <c r="R96"/>
      <c r="S96"/>
    </row>
    <row r="97" spans="1:19" x14ac:dyDescent="0.2">
      <c r="A97" s="3">
        <v>40269</v>
      </c>
      <c r="E97" s="94"/>
      <c r="F97" s="94"/>
      <c r="G97" s="95">
        <f>[30]Residential!G97</f>
        <v>643.79999999999995</v>
      </c>
      <c r="H97" s="94"/>
      <c r="I97" s="94">
        <f t="shared" si="2"/>
        <v>40269</v>
      </c>
      <c r="J97" s="89">
        <v>320</v>
      </c>
      <c r="K97" s="94">
        <f>+'[29]Data Input'!$R104</f>
        <v>706</v>
      </c>
      <c r="L97" s="100">
        <v>136.23338230543126</v>
      </c>
      <c r="M97" s="94">
        <f t="shared" si="3"/>
        <v>184384.43323358241</v>
      </c>
      <c r="N97" s="94"/>
      <c r="O97"/>
      <c r="P97"/>
      <c r="Q97"/>
      <c r="R97"/>
      <c r="S97"/>
    </row>
    <row r="98" spans="1:19" x14ac:dyDescent="0.2">
      <c r="A98" s="3">
        <v>40299</v>
      </c>
      <c r="E98" s="94"/>
      <c r="F98" s="94"/>
      <c r="G98" s="95">
        <f>[30]Residential!G98</f>
        <v>653.4</v>
      </c>
      <c r="H98" s="94"/>
      <c r="I98" s="94">
        <f t="shared" si="2"/>
        <v>40299</v>
      </c>
      <c r="J98" s="89">
        <v>320</v>
      </c>
      <c r="K98" s="94">
        <f>+'[29]Data Input'!$R105</f>
        <v>705</v>
      </c>
      <c r="L98" s="100">
        <v>136.53617833934589</v>
      </c>
      <c r="M98" s="94">
        <f t="shared" si="3"/>
        <v>194555.51834130881</v>
      </c>
      <c r="N98" s="94"/>
      <c r="O98"/>
      <c r="P98"/>
      <c r="Q98"/>
      <c r="R98"/>
      <c r="S98"/>
    </row>
    <row r="99" spans="1:19" x14ac:dyDescent="0.2">
      <c r="A99" s="3">
        <v>40330</v>
      </c>
      <c r="E99" s="94"/>
      <c r="F99" s="94"/>
      <c r="G99" s="95">
        <f>[30]Residential!G99</f>
        <v>668.5</v>
      </c>
      <c r="H99" s="94"/>
      <c r="I99" s="94">
        <f t="shared" si="2"/>
        <v>40330</v>
      </c>
      <c r="J99" s="89">
        <v>352</v>
      </c>
      <c r="K99" s="94">
        <f>+'[29]Data Input'!$R106</f>
        <v>705</v>
      </c>
      <c r="L99" s="100">
        <v>136.83964737599013</v>
      </c>
      <c r="M99" s="94">
        <f t="shared" si="3"/>
        <v>210553.78762533679</v>
      </c>
      <c r="N99" s="94"/>
      <c r="O99"/>
      <c r="P99"/>
      <c r="Q99"/>
      <c r="R99"/>
      <c r="S99"/>
    </row>
    <row r="100" spans="1:19" x14ac:dyDescent="0.2">
      <c r="A100" s="3">
        <v>40360</v>
      </c>
      <c r="E100" s="94"/>
      <c r="F100" s="94"/>
      <c r="G100" s="95">
        <f>[30]Residential!G100</f>
        <v>680.1</v>
      </c>
      <c r="H100" s="94"/>
      <c r="I100" s="94">
        <f t="shared" si="2"/>
        <v>40360</v>
      </c>
      <c r="J100" s="89">
        <v>336</v>
      </c>
      <c r="K100" s="94">
        <f>+'[29]Data Input'!$R107</f>
        <v>706</v>
      </c>
      <c r="L100" s="100">
        <v>137.14379091119821</v>
      </c>
      <c r="M100" s="94">
        <f t="shared" si="3"/>
        <v>222843.84879717289</v>
      </c>
      <c r="N100" s="94"/>
      <c r="O100"/>
      <c r="P100"/>
      <c r="Q100"/>
      <c r="R100"/>
      <c r="S100"/>
    </row>
    <row r="101" spans="1:19" x14ac:dyDescent="0.2">
      <c r="A101" s="3">
        <v>40391</v>
      </c>
      <c r="E101" s="94"/>
      <c r="F101" s="94"/>
      <c r="G101" s="95">
        <f>[30]Residential!G101</f>
        <v>683.1</v>
      </c>
      <c r="H101" s="94"/>
      <c r="I101" s="94">
        <f t="shared" si="2"/>
        <v>40391</v>
      </c>
      <c r="J101" s="89">
        <v>336</v>
      </c>
      <c r="K101" s="94">
        <f>+'[29]Data Input'!$R108</f>
        <v>708</v>
      </c>
      <c r="L101" s="100">
        <v>137.44861044412903</v>
      </c>
      <c r="M101" s="94">
        <f t="shared" si="3"/>
        <v>226022.31289333734</v>
      </c>
      <c r="N101" s="94"/>
      <c r="O101"/>
      <c r="P101"/>
      <c r="Q101"/>
      <c r="R101"/>
      <c r="S101"/>
    </row>
    <row r="102" spans="1:19" x14ac:dyDescent="0.2">
      <c r="A102" s="3">
        <v>40422</v>
      </c>
      <c r="E102" s="94"/>
      <c r="F102" s="94"/>
      <c r="G102" s="95">
        <f>[30]Residential!G102</f>
        <v>677.1</v>
      </c>
      <c r="H102" s="94"/>
      <c r="I102" s="94">
        <f t="shared" si="2"/>
        <v>40422</v>
      </c>
      <c r="J102" s="89">
        <v>336</v>
      </c>
      <c r="K102" s="94">
        <f>+'[29]Data Input'!$R109</f>
        <v>707</v>
      </c>
      <c r="L102" s="100">
        <v>137.75410747727361</v>
      </c>
      <c r="M102" s="94">
        <f t="shared" si="3"/>
        <v>219665.38470100833</v>
      </c>
      <c r="N102" s="94"/>
      <c r="O102"/>
      <c r="P102"/>
      <c r="Q102"/>
      <c r="R102"/>
      <c r="S102"/>
    </row>
    <row r="103" spans="1:19" x14ac:dyDescent="0.2">
      <c r="A103" s="3">
        <v>40452</v>
      </c>
      <c r="E103" s="94"/>
      <c r="F103" s="94"/>
      <c r="G103" s="95">
        <f>[30]Residential!G103</f>
        <v>670.2</v>
      </c>
      <c r="H103" s="94"/>
      <c r="I103" s="94">
        <f t="shared" si="2"/>
        <v>40452</v>
      </c>
      <c r="J103" s="89">
        <v>320</v>
      </c>
      <c r="K103" s="94">
        <f>+'[29]Data Input'!$R110</f>
        <v>708</v>
      </c>
      <c r="L103" s="100">
        <v>138.06028351646239</v>
      </c>
      <c r="M103" s="94">
        <f t="shared" si="3"/>
        <v>212354.91727983009</v>
      </c>
      <c r="N103" s="94"/>
      <c r="O103"/>
      <c r="P103"/>
      <c r="Q103"/>
      <c r="R103"/>
      <c r="S103"/>
    </row>
    <row r="104" spans="1:19" x14ac:dyDescent="0.2">
      <c r="A104" s="3">
        <v>40483</v>
      </c>
      <c r="E104" s="94"/>
      <c r="F104" s="94"/>
      <c r="G104" s="95">
        <f>[30]Residential!G104</f>
        <v>668.1</v>
      </c>
      <c r="H104" s="94"/>
      <c r="I104" s="94">
        <f t="shared" si="2"/>
        <v>40483</v>
      </c>
      <c r="J104" s="89">
        <v>336</v>
      </c>
      <c r="K104" s="94">
        <f>+'[29]Data Input'!$R111</f>
        <v>706</v>
      </c>
      <c r="L104" s="100">
        <v>138.36714007087275</v>
      </c>
      <c r="M104" s="94">
        <f t="shared" si="3"/>
        <v>210129.99241251487</v>
      </c>
      <c r="N104" s="94"/>
      <c r="O104"/>
      <c r="P104"/>
      <c r="Q104"/>
      <c r="R104"/>
      <c r="S104"/>
    </row>
    <row r="105" spans="1:19" x14ac:dyDescent="0.2">
      <c r="A105" s="3">
        <v>40513</v>
      </c>
      <c r="E105" s="94"/>
      <c r="F105" s="94"/>
      <c r="G105" s="95">
        <f>[30]Residential!G105</f>
        <v>666.9</v>
      </c>
      <c r="H105" s="94"/>
      <c r="I105" s="94">
        <f t="shared" si="2"/>
        <v>40513</v>
      </c>
      <c r="J105" s="89">
        <v>368</v>
      </c>
      <c r="K105" s="94">
        <f>+'[29]Data Input'!$R112</f>
        <v>705</v>
      </c>
      <c r="L105" s="100">
        <v>138.67467865303649</v>
      </c>
      <c r="M105" s="94">
        <f t="shared" si="3"/>
        <v>208858.606774049</v>
      </c>
      <c r="N105" s="94"/>
      <c r="O105"/>
      <c r="P105"/>
      <c r="Q105"/>
      <c r="R105"/>
      <c r="S105"/>
    </row>
    <row r="106" spans="1:19" x14ac:dyDescent="0.2">
      <c r="A106" s="3">
        <v>40544</v>
      </c>
      <c r="E106" s="94"/>
      <c r="F106" s="102"/>
      <c r="G106" s="95">
        <f>[30]Residential!G106</f>
        <v>663.9</v>
      </c>
      <c r="H106" s="94"/>
      <c r="I106" s="94">
        <f t="shared" si="2"/>
        <v>40544</v>
      </c>
      <c r="J106" s="89">
        <v>336</v>
      </c>
      <c r="K106" s="94">
        <f>+'[29]Data Input'!$R113</f>
        <v>707</v>
      </c>
      <c r="L106" s="100">
        <v>139.03916243618784</v>
      </c>
      <c r="M106" s="94">
        <f t="shared" si="3"/>
        <v>205680.14267788455</v>
      </c>
      <c r="N106" s="94"/>
      <c r="O106"/>
      <c r="P106"/>
      <c r="Q106"/>
      <c r="R106"/>
      <c r="S106"/>
    </row>
    <row r="107" spans="1:19" x14ac:dyDescent="0.2">
      <c r="A107" s="3">
        <v>40575</v>
      </c>
      <c r="E107" s="94"/>
      <c r="F107" s="102"/>
      <c r="G107" s="95">
        <f>[30]Residential!G107</f>
        <v>666.1</v>
      </c>
      <c r="H107" s="94"/>
      <c r="I107" s="94">
        <f t="shared" si="2"/>
        <v>40575</v>
      </c>
      <c r="J107" s="89">
        <v>304</v>
      </c>
      <c r="K107" s="94">
        <f>+'[29]Data Input'!$R114</f>
        <v>707</v>
      </c>
      <c r="L107" s="100">
        <v>139.40460420553731</v>
      </c>
      <c r="M107" s="94">
        <f t="shared" si="3"/>
        <v>208011.01634840516</v>
      </c>
      <c r="N107" s="94"/>
      <c r="O107"/>
      <c r="P107"/>
      <c r="Q107"/>
      <c r="R107"/>
      <c r="S107"/>
    </row>
    <row r="108" spans="1:19" x14ac:dyDescent="0.2">
      <c r="A108" s="3">
        <v>40603</v>
      </c>
      <c r="E108" s="94"/>
      <c r="F108" s="102"/>
      <c r="G108" s="95">
        <f>[30]Residential!G108</f>
        <v>671.2</v>
      </c>
      <c r="H108" s="94"/>
      <c r="I108" s="94">
        <f t="shared" si="2"/>
        <v>40603</v>
      </c>
      <c r="J108" s="89">
        <v>368</v>
      </c>
      <c r="K108" s="94">
        <f>+'[29]Data Input'!$R115</f>
        <v>708</v>
      </c>
      <c r="L108" s="100">
        <v>139.77100647899545</v>
      </c>
      <c r="M108" s="94">
        <f t="shared" si="3"/>
        <v>213414.40531188482</v>
      </c>
      <c r="N108" s="94"/>
      <c r="O108"/>
      <c r="P108"/>
      <c r="Q108"/>
      <c r="R108"/>
      <c r="S108"/>
    </row>
    <row r="109" spans="1:19" x14ac:dyDescent="0.2">
      <c r="A109" s="3">
        <v>40634</v>
      </c>
      <c r="E109" s="94"/>
      <c r="F109" s="102"/>
      <c r="G109" s="95">
        <f>[30]Residential!G109</f>
        <v>679.9</v>
      </c>
      <c r="H109" s="94"/>
      <c r="I109" s="94">
        <f t="shared" si="2"/>
        <v>40634</v>
      </c>
      <c r="J109" s="89">
        <v>320</v>
      </c>
      <c r="K109" s="94">
        <f>+'[29]Data Input'!$R116</f>
        <v>708</v>
      </c>
      <c r="L109" s="100">
        <v>140.13837178109071</v>
      </c>
      <c r="M109" s="94">
        <f t="shared" si="3"/>
        <v>222631.95119076187</v>
      </c>
      <c r="N109" s="94"/>
      <c r="O109"/>
      <c r="P109"/>
      <c r="Q109"/>
      <c r="R109"/>
      <c r="S109"/>
    </row>
    <row r="110" spans="1:19" x14ac:dyDescent="0.2">
      <c r="A110" s="3">
        <v>40664</v>
      </c>
      <c r="E110" s="94"/>
      <c r="F110" s="102"/>
      <c r="G110" s="95">
        <f>[30]Residential!G110</f>
        <v>685.8</v>
      </c>
      <c r="H110" s="94"/>
      <c r="I110" s="94">
        <f t="shared" si="2"/>
        <v>40664</v>
      </c>
      <c r="J110" s="89">
        <v>336</v>
      </c>
      <c r="K110" s="94">
        <f>+'[29]Data Input'!$R117</f>
        <v>709</v>
      </c>
      <c r="L110" s="100">
        <v>140.50670264298682</v>
      </c>
      <c r="M110" s="94">
        <f t="shared" si="3"/>
        <v>228882.93057988526</v>
      </c>
      <c r="N110" s="94"/>
      <c r="O110"/>
      <c r="P110"/>
      <c r="Q110"/>
      <c r="R110"/>
      <c r="S110"/>
    </row>
    <row r="111" spans="1:19" x14ac:dyDescent="0.2">
      <c r="A111" s="3">
        <v>40695</v>
      </c>
      <c r="E111" s="94"/>
      <c r="F111" s="102"/>
      <c r="G111" s="95">
        <f>[30]Residential!G111</f>
        <v>697.1</v>
      </c>
      <c r="H111" s="94"/>
      <c r="I111" s="94">
        <f t="shared" si="2"/>
        <v>40695</v>
      </c>
      <c r="J111" s="89">
        <v>352</v>
      </c>
      <c r="K111" s="94">
        <f>+'[29]Data Input'!$R118</f>
        <v>709</v>
      </c>
      <c r="L111" s="100">
        <v>140.87600160250034</v>
      </c>
      <c r="M111" s="94">
        <f t="shared" si="3"/>
        <v>240855.14534210495</v>
      </c>
      <c r="N111" s="94"/>
      <c r="O111" s="94"/>
      <c r="P111" s="94"/>
      <c r="Q111" s="96"/>
      <c r="R111" s="38"/>
    </row>
    <row r="112" spans="1:19" x14ac:dyDescent="0.2">
      <c r="A112" s="3">
        <v>40725</v>
      </c>
      <c r="E112" s="94"/>
      <c r="F112" s="102"/>
      <c r="G112" s="95">
        <f>[30]Residential!G112</f>
        <v>707.5</v>
      </c>
      <c r="H112" s="94"/>
      <c r="I112" s="94">
        <f t="shared" si="2"/>
        <v>40725</v>
      </c>
      <c r="J112" s="89">
        <v>320</v>
      </c>
      <c r="K112" s="94">
        <f>+'[29]Data Input'!$R119</f>
        <v>709</v>
      </c>
      <c r="L112" s="100">
        <v>141.24627120411799</v>
      </c>
      <c r="M112" s="94">
        <f t="shared" si="3"/>
        <v>251873.82087547518</v>
      </c>
      <c r="N112" s="94"/>
      <c r="O112" s="94"/>
      <c r="P112" s="94"/>
      <c r="Q112" s="96"/>
      <c r="R112" s="38"/>
    </row>
    <row r="113" spans="1:18" x14ac:dyDescent="0.2">
      <c r="A113" s="3">
        <v>40756</v>
      </c>
      <c r="E113" s="94"/>
      <c r="F113" s="102"/>
      <c r="G113" s="95">
        <f>[30]Residential!G113</f>
        <v>708.3</v>
      </c>
      <c r="H113" s="94"/>
      <c r="I113" s="94">
        <f t="shared" si="2"/>
        <v>40756</v>
      </c>
      <c r="J113" s="89">
        <v>352</v>
      </c>
      <c r="K113" s="94">
        <f>+'[29]Data Input'!$R120</f>
        <v>711</v>
      </c>
      <c r="L113" s="100">
        <v>141.61751399901428</v>
      </c>
      <c r="M113" s="94">
        <f t="shared" si="3"/>
        <v>252721.41130111902</v>
      </c>
      <c r="N113" s="94"/>
      <c r="O113" s="94"/>
      <c r="P113" s="94"/>
      <c r="Q113" s="96"/>
      <c r="R113" s="38"/>
    </row>
    <row r="114" spans="1:18" x14ac:dyDescent="0.2">
      <c r="A114" s="3">
        <v>40787</v>
      </c>
      <c r="E114" s="94"/>
      <c r="F114" s="102"/>
      <c r="G114" s="95">
        <f>[30]Residential!G114</f>
        <v>700.8</v>
      </c>
      <c r="H114" s="94"/>
      <c r="I114" s="94">
        <f t="shared" si="2"/>
        <v>40787</v>
      </c>
      <c r="J114" s="89">
        <v>336</v>
      </c>
      <c r="K114" s="94">
        <f>+'[29]Data Input'!$R121</f>
        <v>713</v>
      </c>
      <c r="L114" s="100">
        <v>141.98973254506907</v>
      </c>
      <c r="M114" s="94">
        <f t="shared" si="3"/>
        <v>244775.25106070773</v>
      </c>
      <c r="N114" s="94"/>
      <c r="O114" s="94"/>
      <c r="P114" s="94"/>
      <c r="Q114" s="96"/>
      <c r="R114" s="38"/>
    </row>
    <row r="115" spans="1:18" x14ac:dyDescent="0.2">
      <c r="A115" s="3">
        <v>40817</v>
      </c>
      <c r="E115" s="94"/>
      <c r="F115" s="102"/>
      <c r="G115" s="95">
        <f>[30]Residential!G115</f>
        <v>693.6</v>
      </c>
      <c r="H115" s="94"/>
      <c r="I115" s="94">
        <f t="shared" si="2"/>
        <v>40817</v>
      </c>
      <c r="J115" s="89">
        <v>320</v>
      </c>
      <c r="K115" s="94">
        <f>+'[29]Data Input'!$R122</f>
        <v>713</v>
      </c>
      <c r="L115" s="100">
        <v>142.3629294068852</v>
      </c>
      <c r="M115" s="94">
        <f t="shared" si="3"/>
        <v>237146.93722991308</v>
      </c>
      <c r="N115" s="94"/>
      <c r="O115" s="94"/>
      <c r="P115" s="94"/>
      <c r="Q115" s="96"/>
      <c r="R115" s="38"/>
    </row>
    <row r="116" spans="1:18" x14ac:dyDescent="0.2">
      <c r="A116" s="3">
        <v>40848</v>
      </c>
      <c r="E116" s="94"/>
      <c r="F116" s="102"/>
      <c r="G116" s="95">
        <f>[30]Residential!G116</f>
        <v>690.2</v>
      </c>
      <c r="H116" s="94"/>
      <c r="I116" s="94">
        <f t="shared" si="2"/>
        <v>40848</v>
      </c>
      <c r="J116" s="89">
        <v>352</v>
      </c>
      <c r="K116" s="94">
        <f>+'[29]Data Input'!$R123</f>
        <v>710</v>
      </c>
      <c r="L116" s="100">
        <v>142.73710715580614</v>
      </c>
      <c r="M116" s="94">
        <f t="shared" si="3"/>
        <v>233544.6779209266</v>
      </c>
      <c r="N116" s="94"/>
      <c r="O116" s="94"/>
      <c r="P116" s="94"/>
      <c r="Q116" s="96"/>
      <c r="R116" s="38"/>
    </row>
    <row r="117" spans="1:18" x14ac:dyDescent="0.2">
      <c r="A117" s="3">
        <v>40878</v>
      </c>
      <c r="E117" s="94"/>
      <c r="F117" s="102"/>
      <c r="G117" s="95">
        <f>[30]Residential!G117</f>
        <v>690.4</v>
      </c>
      <c r="H117" s="94"/>
      <c r="I117" s="94">
        <f t="shared" si="2"/>
        <v>40878</v>
      </c>
      <c r="J117" s="89">
        <v>336</v>
      </c>
      <c r="K117" s="94">
        <f>+'[29]Data Input'!$R124</f>
        <v>710</v>
      </c>
      <c r="L117" s="100">
        <v>143.11226836993367</v>
      </c>
      <c r="M117" s="94">
        <f t="shared" si="3"/>
        <v>233756.5755273375</v>
      </c>
      <c r="N117" s="94"/>
      <c r="O117" s="94"/>
      <c r="P117" s="94"/>
      <c r="Q117" s="96"/>
      <c r="R117" s="38"/>
    </row>
    <row r="118" spans="1:18" x14ac:dyDescent="0.2">
      <c r="A118" s="3">
        <v>40909</v>
      </c>
      <c r="C118" s="103"/>
      <c r="D118" s="103"/>
      <c r="E118" s="94"/>
      <c r="F118" s="94"/>
      <c r="G118" s="95">
        <f>[30]Residential!G118</f>
        <v>689.98599542334102</v>
      </c>
      <c r="H118" s="94"/>
      <c r="I118" s="94">
        <f t="shared" si="2"/>
        <v>40909</v>
      </c>
      <c r="J118" s="15">
        <v>336</v>
      </c>
      <c r="K118" s="94">
        <v>0</v>
      </c>
      <c r="L118" s="104">
        <v>143.49</v>
      </c>
      <c r="M118" s="94">
        <f t="shared" si="3"/>
        <v>233317.94263315143</v>
      </c>
      <c r="N118" s="94"/>
      <c r="O118" s="94"/>
      <c r="P118" s="94"/>
      <c r="Q118" s="96"/>
      <c r="R118" s="38"/>
    </row>
    <row r="119" spans="1:18" x14ac:dyDescent="0.2">
      <c r="A119" s="3">
        <v>40940</v>
      </c>
      <c r="C119" s="103"/>
      <c r="D119" s="103"/>
      <c r="E119" s="94"/>
      <c r="F119" s="94"/>
      <c r="G119" s="95">
        <f>[30]Residential!G119</f>
        <v>690.77809279570704</v>
      </c>
      <c r="H119" s="94"/>
      <c r="I119" s="94">
        <f t="shared" si="2"/>
        <v>40940</v>
      </c>
      <c r="J119" s="15">
        <v>320</v>
      </c>
      <c r="K119" s="94">
        <v>0</v>
      </c>
      <c r="L119" s="104">
        <v>143.87</v>
      </c>
      <c r="M119" s="94">
        <f t="shared" si="3"/>
        <v>234157.16031939536</v>
      </c>
      <c r="N119" s="94"/>
      <c r="O119" s="94"/>
      <c r="P119" s="94"/>
      <c r="Q119" s="96"/>
      <c r="R119" s="38"/>
    </row>
    <row r="120" spans="1:18" x14ac:dyDescent="0.2">
      <c r="A120" s="3">
        <v>40969</v>
      </c>
      <c r="C120" s="103"/>
      <c r="D120" s="103"/>
      <c r="E120" s="94"/>
      <c r="F120" s="94"/>
      <c r="G120" s="95">
        <f>[30]Residential!G120</f>
        <v>691.57019016807396</v>
      </c>
      <c r="H120" s="94"/>
      <c r="I120" s="94">
        <f t="shared" si="2"/>
        <v>40969</v>
      </c>
      <c r="J120" s="15">
        <v>352</v>
      </c>
      <c r="K120" s="94" t="e">
        <f>'[29]Data Input'!N127</f>
        <v>#REF!</v>
      </c>
      <c r="L120" s="104">
        <v>144.24</v>
      </c>
      <c r="M120" s="94">
        <f t="shared" si="3"/>
        <v>234996.37800564012</v>
      </c>
      <c r="N120" s="94"/>
      <c r="O120" s="94"/>
      <c r="P120" s="94"/>
      <c r="Q120" s="96"/>
      <c r="R120" s="38"/>
    </row>
    <row r="121" spans="1:18" x14ac:dyDescent="0.2">
      <c r="A121" s="3">
        <v>41000</v>
      </c>
      <c r="C121" s="103"/>
      <c r="D121" s="103"/>
      <c r="E121" s="94"/>
      <c r="F121" s="94"/>
      <c r="G121" s="95">
        <f>[30]Residential!G121</f>
        <v>692.36228754043998</v>
      </c>
      <c r="H121" s="94"/>
      <c r="I121" s="94">
        <f t="shared" si="2"/>
        <v>41000</v>
      </c>
      <c r="J121" s="15">
        <v>320</v>
      </c>
      <c r="K121" s="94" t="e">
        <f>'[29]Data Input'!N128</f>
        <v>#REF!</v>
      </c>
      <c r="L121" s="104">
        <v>144.62</v>
      </c>
      <c r="M121" s="94">
        <f t="shared" si="3"/>
        <v>235835.59569188405</v>
      </c>
      <c r="N121" s="94"/>
      <c r="O121" s="94"/>
      <c r="P121" s="94"/>
      <c r="Q121" s="96"/>
      <c r="R121" s="38"/>
    </row>
    <row r="122" spans="1:18" x14ac:dyDescent="0.2">
      <c r="A122" s="3">
        <v>41030</v>
      </c>
      <c r="C122" s="103"/>
      <c r="D122" s="103"/>
      <c r="E122" s="94"/>
      <c r="F122" s="94"/>
      <c r="G122" s="95">
        <f>[30]Residential!G122</f>
        <v>693.15438491280702</v>
      </c>
      <c r="H122" s="94"/>
      <c r="I122" s="94">
        <f t="shared" si="2"/>
        <v>41030</v>
      </c>
      <c r="J122" s="15">
        <v>352</v>
      </c>
      <c r="K122" s="94" t="e">
        <f>'[29]Data Input'!N129</f>
        <v>#REF!</v>
      </c>
      <c r="L122" s="104">
        <v>145</v>
      </c>
      <c r="M122" s="94">
        <f t="shared" si="3"/>
        <v>236674.81337812904</v>
      </c>
      <c r="N122" s="94"/>
      <c r="O122" s="94"/>
      <c r="P122" s="94"/>
      <c r="Q122" s="96"/>
      <c r="R122" s="38"/>
    </row>
    <row r="123" spans="1:18" x14ac:dyDescent="0.2">
      <c r="A123" s="3">
        <v>41061</v>
      </c>
      <c r="C123" s="103"/>
      <c r="D123" s="103"/>
      <c r="E123" s="94"/>
      <c r="F123" s="94"/>
      <c r="G123" s="95">
        <f>[30]Residential!G123</f>
        <v>693.94648228517303</v>
      </c>
      <c r="H123" s="94"/>
      <c r="I123" s="94">
        <f t="shared" si="2"/>
        <v>41061</v>
      </c>
      <c r="J123" s="15">
        <v>336</v>
      </c>
      <c r="K123" s="94" t="e">
        <f>'[29]Data Input'!N130</f>
        <v>#REF!</v>
      </c>
      <c r="L123" s="104">
        <v>145.38</v>
      </c>
      <c r="M123" s="94">
        <f t="shared" si="3"/>
        <v>237514.03106437286</v>
      </c>
      <c r="N123" s="94"/>
      <c r="O123" s="94"/>
      <c r="P123" s="94"/>
      <c r="Q123" s="96"/>
      <c r="R123" s="38"/>
    </row>
    <row r="124" spans="1:18" x14ac:dyDescent="0.2">
      <c r="A124" s="3">
        <v>41091</v>
      </c>
      <c r="C124" s="103"/>
      <c r="D124" s="103"/>
      <c r="E124" s="94"/>
      <c r="F124" s="94"/>
      <c r="G124" s="95">
        <f>[30]Residential!G124</f>
        <v>694.73857965753996</v>
      </c>
      <c r="H124" s="94"/>
      <c r="I124" s="94">
        <f t="shared" si="2"/>
        <v>41091</v>
      </c>
      <c r="J124" s="15">
        <v>336</v>
      </c>
      <c r="K124" s="94" t="e">
        <f>'[29]Data Input'!N131</f>
        <v>#REF!</v>
      </c>
      <c r="L124" s="104">
        <v>145.77000000000001</v>
      </c>
      <c r="M124" s="94">
        <f t="shared" si="3"/>
        <v>238353.24875061773</v>
      </c>
      <c r="N124" s="94"/>
      <c r="O124" s="94"/>
      <c r="P124" s="94"/>
      <c r="Q124" s="96"/>
      <c r="R124" s="38"/>
    </row>
    <row r="125" spans="1:18" x14ac:dyDescent="0.2">
      <c r="A125" s="3">
        <v>41122</v>
      </c>
      <c r="C125" s="103"/>
      <c r="D125" s="103"/>
      <c r="E125" s="94"/>
      <c r="F125" s="94"/>
      <c r="G125" s="95">
        <f>[30]Residential!G125</f>
        <v>695.53067702990597</v>
      </c>
      <c r="H125" s="94"/>
      <c r="I125" s="94">
        <f t="shared" si="2"/>
        <v>41122</v>
      </c>
      <c r="J125" s="15">
        <v>352</v>
      </c>
      <c r="K125" s="94" t="e">
        <f>'[29]Data Input'!N132</f>
        <v>#REF!</v>
      </c>
      <c r="L125" s="104">
        <v>146.15</v>
      </c>
      <c r="M125" s="94">
        <f t="shared" si="3"/>
        <v>239192.46643686155</v>
      </c>
      <c r="N125" s="94"/>
      <c r="O125" s="94"/>
      <c r="P125" s="94"/>
      <c r="Q125" s="96"/>
      <c r="R125" s="38"/>
    </row>
    <row r="126" spans="1:18" x14ac:dyDescent="0.2">
      <c r="A126" s="3">
        <v>41153</v>
      </c>
      <c r="C126" s="103"/>
      <c r="D126" s="103"/>
      <c r="E126" s="94"/>
      <c r="F126" s="94"/>
      <c r="G126" s="95">
        <f>[30]Residential!G126</f>
        <v>696.32277440227199</v>
      </c>
      <c r="H126" s="94"/>
      <c r="I126" s="94">
        <f t="shared" si="2"/>
        <v>41153</v>
      </c>
      <c r="J126" s="15">
        <v>304</v>
      </c>
      <c r="K126" s="94" t="e">
        <f>'[29]Data Input'!N133</f>
        <v>#REF!</v>
      </c>
      <c r="L126" s="104">
        <v>146.53</v>
      </c>
      <c r="M126" s="94">
        <f t="shared" si="3"/>
        <v>240031.68412310549</v>
      </c>
      <c r="N126" s="94"/>
      <c r="O126" s="94"/>
      <c r="P126" s="94"/>
      <c r="Q126" s="96"/>
      <c r="R126" s="38"/>
    </row>
    <row r="127" spans="1:18" x14ac:dyDescent="0.2">
      <c r="A127" s="3">
        <v>41183</v>
      </c>
      <c r="C127" s="103"/>
      <c r="D127" s="103"/>
      <c r="E127" s="94"/>
      <c r="F127" s="94"/>
      <c r="G127" s="95">
        <f>[30]Residential!G127</f>
        <v>697.11487177463903</v>
      </c>
      <c r="H127" s="94"/>
      <c r="I127" s="94">
        <f t="shared" si="2"/>
        <v>41183</v>
      </c>
      <c r="J127" s="15">
        <v>352</v>
      </c>
      <c r="K127" s="94" t="e">
        <f>'[29]Data Input'!N134</f>
        <v>#REF!</v>
      </c>
      <c r="L127" s="104">
        <v>146.91999999999999</v>
      </c>
      <c r="M127" s="94">
        <f t="shared" si="3"/>
        <v>240870.90180935035</v>
      </c>
      <c r="N127" s="94"/>
      <c r="O127" s="94"/>
      <c r="P127" s="94"/>
      <c r="Q127" s="96"/>
      <c r="R127" s="38"/>
    </row>
    <row r="128" spans="1:18" x14ac:dyDescent="0.2">
      <c r="A128" s="3">
        <v>41214</v>
      </c>
      <c r="C128" s="103"/>
      <c r="D128" s="103"/>
      <c r="E128" s="94"/>
      <c r="F128" s="94"/>
      <c r="G128" s="95">
        <f>[30]Residential!G128</f>
        <v>697.90696914700504</v>
      </c>
      <c r="H128" s="94"/>
      <c r="I128" s="94">
        <f t="shared" si="2"/>
        <v>41214</v>
      </c>
      <c r="J128" s="15">
        <v>352</v>
      </c>
      <c r="K128" s="94" t="e">
        <f>'[29]Data Input'!N135</f>
        <v>#REF!</v>
      </c>
      <c r="L128" s="104">
        <v>147.30000000000001</v>
      </c>
      <c r="M128" s="94">
        <f t="shared" si="3"/>
        <v>241710.11949559429</v>
      </c>
      <c r="N128" s="94"/>
      <c r="O128" s="94"/>
      <c r="P128" s="94"/>
      <c r="Q128" s="96"/>
      <c r="R128" s="38"/>
    </row>
    <row r="129" spans="1:18" x14ac:dyDescent="0.2">
      <c r="A129" s="3">
        <v>41244</v>
      </c>
      <c r="C129" s="103"/>
      <c r="D129" s="103"/>
      <c r="E129" s="94"/>
      <c r="F129" s="94"/>
      <c r="G129" s="95">
        <f>[30]Residential!G129</f>
        <v>698.69906651937197</v>
      </c>
      <c r="H129" s="94"/>
      <c r="I129" s="94">
        <f t="shared" si="2"/>
        <v>41244</v>
      </c>
      <c r="J129" s="15">
        <v>304</v>
      </c>
      <c r="K129" s="94" t="e">
        <f>'[29]Data Input'!N136</f>
        <v>#REF!</v>
      </c>
      <c r="L129" s="104">
        <v>147.69</v>
      </c>
      <c r="M129" s="94">
        <f t="shared" si="3"/>
        <v>242549.33718183916</v>
      </c>
      <c r="N129" s="94"/>
      <c r="O129" s="94"/>
      <c r="P129" s="94"/>
      <c r="Q129" s="96"/>
      <c r="R129" s="38"/>
    </row>
    <row r="130" spans="1:18" x14ac:dyDescent="0.2">
      <c r="A130" s="3">
        <v>41275</v>
      </c>
      <c r="C130" s="103"/>
      <c r="D130" s="103"/>
      <c r="E130" s="94"/>
      <c r="F130" s="94"/>
      <c r="G130" s="95">
        <f>[30]Residential!G130</f>
        <v>699.49116389173798</v>
      </c>
      <c r="H130" s="94"/>
      <c r="I130" s="94">
        <f t="shared" si="2"/>
        <v>41275</v>
      </c>
      <c r="J130" s="105">
        <f>22*16</f>
        <v>352</v>
      </c>
      <c r="K130" s="94" t="e">
        <f>'[29]Data Input'!N137</f>
        <v>#REF!</v>
      </c>
      <c r="L130" s="104">
        <v>147.88</v>
      </c>
      <c r="M130" s="94">
        <f t="shared" si="3"/>
        <v>243388.55486808298</v>
      </c>
      <c r="N130" s="94"/>
      <c r="O130" s="94"/>
      <c r="P130" s="94"/>
      <c r="Q130" s="96"/>
      <c r="R130" s="38"/>
    </row>
    <row r="131" spans="1:18" x14ac:dyDescent="0.2">
      <c r="A131" s="3">
        <v>41306</v>
      </c>
      <c r="C131" s="103"/>
      <c r="D131" s="103"/>
      <c r="E131" s="94"/>
      <c r="F131" s="94"/>
      <c r="G131" s="95">
        <f>[30]Residential!G131</f>
        <v>700.283261264104</v>
      </c>
      <c r="H131" s="94"/>
      <c r="I131" s="94">
        <f t="shared" si="2"/>
        <v>41306</v>
      </c>
      <c r="J131" s="105">
        <f>19*16</f>
        <v>304</v>
      </c>
      <c r="K131" s="94" t="e">
        <f>'[29]Data Input'!N138</f>
        <v>#REF!</v>
      </c>
      <c r="L131" s="104">
        <v>148.08000000000001</v>
      </c>
      <c r="M131" s="94">
        <f t="shared" si="3"/>
        <v>244227.7725543268</v>
      </c>
      <c r="N131" s="94"/>
      <c r="O131" s="94"/>
      <c r="P131" s="94"/>
      <c r="Q131" s="96"/>
      <c r="R131" s="38"/>
    </row>
    <row r="132" spans="1:18" x14ac:dyDescent="0.2">
      <c r="A132" s="3">
        <v>41334</v>
      </c>
      <c r="C132" s="103"/>
      <c r="D132" s="103"/>
      <c r="E132" s="94"/>
      <c r="F132" s="94"/>
      <c r="G132" s="95">
        <f>[30]Residential!G132</f>
        <v>701.07535863647104</v>
      </c>
      <c r="H132" s="94"/>
      <c r="I132" s="94">
        <f t="shared" ref="I132:I141" si="4">A132</f>
        <v>41334</v>
      </c>
      <c r="J132" s="105">
        <f>20*16</f>
        <v>320</v>
      </c>
      <c r="K132" s="94" t="e">
        <f>'[29]Data Input'!N139</f>
        <v>#REF!</v>
      </c>
      <c r="L132" s="104">
        <v>148.27000000000001</v>
      </c>
      <c r="M132" s="94">
        <f t="shared" ref="M132:M141" si="5">$P$18+$P$19*C132+$P$20*D132+$P$21*E132+$P$22*F132+$P$23*G132+$P$24*H132</f>
        <v>245066.99024057179</v>
      </c>
      <c r="N132" s="94"/>
      <c r="O132" s="94"/>
      <c r="P132" s="94"/>
      <c r="Q132" s="96"/>
      <c r="R132" s="38"/>
    </row>
    <row r="133" spans="1:18" x14ac:dyDescent="0.2">
      <c r="A133" s="3">
        <v>41365</v>
      </c>
      <c r="C133" s="103"/>
      <c r="D133" s="103"/>
      <c r="E133" s="94"/>
      <c r="F133" s="94"/>
      <c r="G133" s="95">
        <f>[30]Residential!G133</f>
        <v>701.86745600883705</v>
      </c>
      <c r="H133" s="94"/>
      <c r="I133" s="94">
        <f t="shared" si="4"/>
        <v>41365</v>
      </c>
      <c r="J133" s="105">
        <f>22*16</f>
        <v>352</v>
      </c>
      <c r="K133" s="94" t="e">
        <f>'[29]Data Input'!N140</f>
        <v>#REF!</v>
      </c>
      <c r="L133" s="104">
        <v>148.46</v>
      </c>
      <c r="M133" s="94">
        <f t="shared" si="5"/>
        <v>245906.20792681572</v>
      </c>
      <c r="N133" s="94"/>
      <c r="O133" s="94"/>
      <c r="P133" s="94"/>
      <c r="Q133" s="96"/>
      <c r="R133" s="38"/>
    </row>
    <row r="134" spans="1:18" x14ac:dyDescent="0.2">
      <c r="A134" s="3">
        <v>41395</v>
      </c>
      <c r="C134" s="103"/>
      <c r="D134" s="103"/>
      <c r="E134" s="94"/>
      <c r="F134" s="94"/>
      <c r="G134" s="95">
        <f>[30]Residential!G134</f>
        <v>702.65955338120398</v>
      </c>
      <c r="H134" s="94"/>
      <c r="I134" s="94">
        <f t="shared" si="4"/>
        <v>41395</v>
      </c>
      <c r="J134" s="105">
        <f>22*16</f>
        <v>352</v>
      </c>
      <c r="K134" s="94" t="e">
        <f>'[29]Data Input'!N141</f>
        <v>#REF!</v>
      </c>
      <c r="L134" s="104">
        <v>148.65</v>
      </c>
      <c r="M134" s="94">
        <f t="shared" si="5"/>
        <v>246745.42561306048</v>
      </c>
      <c r="N134" s="94"/>
      <c r="O134" s="94"/>
      <c r="P134" s="94"/>
      <c r="Q134" s="96"/>
      <c r="R134" s="38"/>
    </row>
    <row r="135" spans="1:18" x14ac:dyDescent="0.2">
      <c r="A135" s="3">
        <v>41426</v>
      </c>
      <c r="C135" s="103"/>
      <c r="D135" s="103"/>
      <c r="E135" s="94"/>
      <c r="F135" s="94"/>
      <c r="G135" s="95">
        <f>[30]Residential!G135</f>
        <v>703.45165075356999</v>
      </c>
      <c r="H135" s="94"/>
      <c r="I135" s="94">
        <f t="shared" si="4"/>
        <v>41426</v>
      </c>
      <c r="J135" s="105">
        <f>20*16</f>
        <v>320</v>
      </c>
      <c r="K135" s="94" t="e">
        <f>'[29]Data Input'!N142</f>
        <v>#REF!</v>
      </c>
      <c r="L135" s="104">
        <v>148.85</v>
      </c>
      <c r="M135" s="94">
        <f t="shared" si="5"/>
        <v>247584.64329930441</v>
      </c>
      <c r="N135" s="94"/>
      <c r="O135" s="94"/>
      <c r="P135" s="94"/>
      <c r="Q135" s="96"/>
      <c r="R135" s="38"/>
    </row>
    <row r="136" spans="1:18" x14ac:dyDescent="0.2">
      <c r="A136" s="3">
        <v>41456</v>
      </c>
      <c r="C136" s="103"/>
      <c r="D136" s="103"/>
      <c r="E136" s="94"/>
      <c r="F136" s="94"/>
      <c r="G136" s="95">
        <f>[30]Residential!G136</f>
        <v>704.24374812593703</v>
      </c>
      <c r="H136" s="94"/>
      <c r="I136" s="94">
        <f t="shared" si="4"/>
        <v>41456</v>
      </c>
      <c r="J136" s="105">
        <f>22*16</f>
        <v>352</v>
      </c>
      <c r="K136" s="94" t="e">
        <f>'[29]Data Input'!N143</f>
        <v>#REF!</v>
      </c>
      <c r="L136" s="104">
        <v>149.04</v>
      </c>
      <c r="M136" s="94">
        <f t="shared" si="5"/>
        <v>248423.8609855494</v>
      </c>
      <c r="N136" s="94"/>
      <c r="O136" s="94"/>
      <c r="P136" s="94"/>
      <c r="Q136" s="96"/>
      <c r="R136" s="38"/>
    </row>
    <row r="137" spans="1:18" x14ac:dyDescent="0.2">
      <c r="A137" s="3">
        <v>41487</v>
      </c>
      <c r="C137" s="103"/>
      <c r="D137" s="103"/>
      <c r="E137" s="94"/>
      <c r="F137" s="94"/>
      <c r="G137" s="95">
        <f>[30]Residential!G137</f>
        <v>705.03584549830305</v>
      </c>
      <c r="H137" s="94"/>
      <c r="I137" s="94">
        <f t="shared" si="4"/>
        <v>41487</v>
      </c>
      <c r="J137" s="105">
        <f>21*16</f>
        <v>336</v>
      </c>
      <c r="K137" s="94" t="e">
        <f>'[29]Data Input'!N144</f>
        <v>#REF!</v>
      </c>
      <c r="L137" s="104">
        <v>149.22999999999999</v>
      </c>
      <c r="M137" s="94">
        <f t="shared" si="5"/>
        <v>249263.07867179322</v>
      </c>
      <c r="N137" s="94"/>
      <c r="O137" s="94"/>
      <c r="P137" s="94"/>
      <c r="Q137" s="96"/>
      <c r="R137" s="38"/>
    </row>
    <row r="138" spans="1:18" x14ac:dyDescent="0.2">
      <c r="A138" s="3">
        <v>41518</v>
      </c>
      <c r="C138" s="103"/>
      <c r="D138" s="103"/>
      <c r="E138" s="94"/>
      <c r="F138" s="94"/>
      <c r="G138" s="95">
        <f>[30]Residential!G138</f>
        <v>705.82794287066895</v>
      </c>
      <c r="H138" s="94"/>
      <c r="I138" s="94">
        <f t="shared" si="4"/>
        <v>41518</v>
      </c>
      <c r="J138" s="105">
        <f>20*16</f>
        <v>320</v>
      </c>
      <c r="K138" s="94" t="e">
        <f>'[29]Data Input'!N145</f>
        <v>#REF!</v>
      </c>
      <c r="L138" s="104">
        <v>149.41999999999999</v>
      </c>
      <c r="M138" s="94">
        <f t="shared" si="5"/>
        <v>250102.29635803693</v>
      </c>
      <c r="N138" s="94"/>
      <c r="O138" s="94"/>
      <c r="P138" s="94"/>
      <c r="Q138" s="96"/>
      <c r="R138" s="38"/>
    </row>
    <row r="139" spans="1:18" x14ac:dyDescent="0.2">
      <c r="A139" s="3">
        <v>41548</v>
      </c>
      <c r="C139" s="103"/>
      <c r="D139" s="103"/>
      <c r="E139" s="94"/>
      <c r="F139" s="94"/>
      <c r="G139" s="95">
        <f>[30]Residential!G139</f>
        <v>706.62004024303599</v>
      </c>
      <c r="H139" s="94"/>
      <c r="I139" s="94">
        <f t="shared" si="4"/>
        <v>41548</v>
      </c>
      <c r="J139" s="105">
        <f>22*16</f>
        <v>352</v>
      </c>
      <c r="K139" s="94" t="e">
        <f>'[29]Data Input'!N146</f>
        <v>#REF!</v>
      </c>
      <c r="L139" s="104">
        <v>149.62</v>
      </c>
      <c r="M139" s="94">
        <f t="shared" si="5"/>
        <v>250941.51404428191</v>
      </c>
      <c r="N139" s="94"/>
      <c r="O139" s="94"/>
      <c r="P139" s="94"/>
      <c r="Q139" s="96"/>
      <c r="R139" s="38"/>
    </row>
    <row r="140" spans="1:18" x14ac:dyDescent="0.2">
      <c r="A140" s="3">
        <v>41579</v>
      </c>
      <c r="C140" s="103"/>
      <c r="D140" s="103"/>
      <c r="E140" s="94"/>
      <c r="F140" s="94"/>
      <c r="G140" s="95">
        <f>[30]Residential!G140</f>
        <v>707.412137615402</v>
      </c>
      <c r="H140" s="94"/>
      <c r="I140" s="94">
        <f t="shared" si="4"/>
        <v>41579</v>
      </c>
      <c r="J140" s="105">
        <f>21*16</f>
        <v>336</v>
      </c>
      <c r="K140" s="94" t="e">
        <f>'[29]Data Input'!N147</f>
        <v>#REF!</v>
      </c>
      <c r="L140" s="104">
        <v>149.81</v>
      </c>
      <c r="M140" s="94">
        <f t="shared" si="5"/>
        <v>251780.73173052585</v>
      </c>
      <c r="N140" s="94"/>
      <c r="O140" s="94"/>
      <c r="P140" s="94"/>
      <c r="Q140" s="96"/>
      <c r="R140" s="38"/>
    </row>
    <row r="141" spans="1:18" x14ac:dyDescent="0.2">
      <c r="A141" s="3">
        <v>41609</v>
      </c>
      <c r="C141" s="103"/>
      <c r="D141" s="103"/>
      <c r="E141" s="94"/>
      <c r="F141" s="94"/>
      <c r="G141" s="95">
        <f>[30]Residential!G141</f>
        <v>708.20423498776904</v>
      </c>
      <c r="H141" s="94"/>
      <c r="I141" s="94">
        <f t="shared" si="4"/>
        <v>41609</v>
      </c>
      <c r="J141" s="105">
        <f>20*16</f>
        <v>320</v>
      </c>
      <c r="K141" s="94" t="e">
        <f>'[29]Data Input'!N148</f>
        <v>#REF!</v>
      </c>
      <c r="L141" s="104">
        <v>150</v>
      </c>
      <c r="M141" s="94">
        <f t="shared" si="5"/>
        <v>252619.94941677072</v>
      </c>
      <c r="N141" s="94"/>
      <c r="O141" s="94"/>
      <c r="P141" s="94"/>
      <c r="Q141" s="96"/>
      <c r="R141" s="38"/>
    </row>
    <row r="142" spans="1:18" x14ac:dyDescent="0.2">
      <c r="A142" s="3"/>
      <c r="H142" s="94"/>
      <c r="I142" s="94"/>
      <c r="J142" s="94"/>
    </row>
    <row r="143" spans="1:18" x14ac:dyDescent="0.2">
      <c r="A143" s="3"/>
      <c r="D143" s="19" t="s">
        <v>216</v>
      </c>
      <c r="M143" s="102">
        <f>SUM(M3:M141)</f>
        <v>27065236.140161794</v>
      </c>
      <c r="Q143" s="38"/>
    </row>
    <row r="144" spans="1:18" x14ac:dyDescent="0.2">
      <c r="A144" s="3"/>
    </row>
    <row r="145" spans="1:15" x14ac:dyDescent="0.2">
      <c r="A145">
        <v>2002</v>
      </c>
      <c r="B145" s="22">
        <f>SUM(B3:B9)</f>
        <v>0</v>
      </c>
      <c r="I145" s="28"/>
      <c r="M145" s="22">
        <f>SUM(M3:M9)</f>
        <v>854076.01462528144</v>
      </c>
      <c r="N145" s="30">
        <f t="shared" ref="N145:N154" si="6">M145-B145</f>
        <v>854076.01462528144</v>
      </c>
      <c r="O145" s="63" t="e">
        <f>N145/B145</f>
        <v>#DIV/0!</v>
      </c>
    </row>
    <row r="146" spans="1:15" x14ac:dyDescent="0.2">
      <c r="A146" s="14">
        <v>2003</v>
      </c>
      <c r="B146" s="22">
        <f>SUM(B10:B21)</f>
        <v>0</v>
      </c>
      <c r="I146" s="28"/>
      <c r="M146" s="22">
        <f>SUM(M10:M21)</f>
        <v>1654368.9547132989</v>
      </c>
      <c r="N146" s="30">
        <f t="shared" si="6"/>
        <v>1654368.9547132989</v>
      </c>
      <c r="O146" s="63" t="e">
        <f t="shared" ref="O146:O154" si="7">N146/B146</f>
        <v>#DIV/0!</v>
      </c>
    </row>
    <row r="147" spans="1:15" x14ac:dyDescent="0.2">
      <c r="A147">
        <v>2004</v>
      </c>
      <c r="B147" s="22">
        <f>SUM(B22:B33)</f>
        <v>0</v>
      </c>
      <c r="I147" s="28"/>
      <c r="M147" s="22">
        <f>SUM(M22:M33)</f>
        <v>1839461.5139132782</v>
      </c>
      <c r="N147" s="30">
        <f t="shared" si="6"/>
        <v>1839461.5139132782</v>
      </c>
      <c r="O147" s="63" t="e">
        <f t="shared" si="7"/>
        <v>#DIV/0!</v>
      </c>
    </row>
    <row r="148" spans="1:15" x14ac:dyDescent="0.2">
      <c r="A148" s="14">
        <v>2005</v>
      </c>
      <c r="B148" s="22">
        <f>SUM(B34:B45)</f>
        <v>0</v>
      </c>
      <c r="I148" s="28"/>
      <c r="M148" s="22">
        <f>SUM(M34:M45)</f>
        <v>2191423.4381618933</v>
      </c>
      <c r="N148" s="30">
        <f t="shared" si="6"/>
        <v>2191423.4381618933</v>
      </c>
      <c r="O148" s="63" t="e">
        <f t="shared" si="7"/>
        <v>#DIV/0!</v>
      </c>
    </row>
    <row r="149" spans="1:15" x14ac:dyDescent="0.2">
      <c r="A149">
        <v>2006</v>
      </c>
      <c r="B149" s="22">
        <f>SUM(B46:B57)</f>
        <v>0</v>
      </c>
      <c r="I149" s="28"/>
      <c r="M149" s="22">
        <f>SUM(M46:M57)</f>
        <v>2377893.331803543</v>
      </c>
      <c r="N149" s="30">
        <f t="shared" si="6"/>
        <v>2377893.331803543</v>
      </c>
      <c r="O149" s="63" t="e">
        <f t="shared" si="7"/>
        <v>#DIV/0!</v>
      </c>
    </row>
    <row r="150" spans="1:15" x14ac:dyDescent="0.2">
      <c r="A150" s="14">
        <v>2007</v>
      </c>
      <c r="B150" s="22">
        <f>SUM(B58:B69)</f>
        <v>0</v>
      </c>
      <c r="I150" s="28"/>
      <c r="M150" s="22">
        <f>SUM(M58:M69)</f>
        <v>2395480.8331356533</v>
      </c>
      <c r="N150" s="30">
        <f t="shared" si="6"/>
        <v>2395480.8331356533</v>
      </c>
      <c r="O150" s="63" t="e">
        <f t="shared" si="7"/>
        <v>#DIV/0!</v>
      </c>
    </row>
    <row r="151" spans="1:15" x14ac:dyDescent="0.2">
      <c r="A151">
        <v>2008</v>
      </c>
      <c r="B151" s="22">
        <f>SUM(B70:B81)</f>
        <v>0</v>
      </c>
      <c r="I151" s="28"/>
      <c r="M151" s="22">
        <f>SUM(M70:M81)</f>
        <v>2440720.9721043943</v>
      </c>
      <c r="N151" s="30">
        <f t="shared" si="6"/>
        <v>2440720.9721043943</v>
      </c>
      <c r="O151" s="63" t="e">
        <f t="shared" si="7"/>
        <v>#DIV/0!</v>
      </c>
    </row>
    <row r="152" spans="1:15" x14ac:dyDescent="0.2">
      <c r="A152" s="14">
        <v>2009</v>
      </c>
      <c r="B152" s="22">
        <f>SUM(B82:B93)</f>
        <v>0</v>
      </c>
      <c r="I152" s="28"/>
      <c r="M152" s="22">
        <f>SUM(M82:M93)</f>
        <v>2268554.1668954846</v>
      </c>
      <c r="N152" s="30">
        <f t="shared" si="6"/>
        <v>2268554.1668954846</v>
      </c>
      <c r="O152" s="63" t="e">
        <f t="shared" si="7"/>
        <v>#DIV/0!</v>
      </c>
    </row>
    <row r="153" spans="1:15" x14ac:dyDescent="0.2">
      <c r="A153">
        <v>2010</v>
      </c>
      <c r="B153" s="22">
        <f>SUM(B94:B105)</f>
        <v>0</v>
      </c>
      <c r="I153" s="28"/>
      <c r="M153" s="22">
        <f>SUM(M94:M105)</f>
        <v>2438707.9448434906</v>
      </c>
      <c r="N153" s="30">
        <f t="shared" si="6"/>
        <v>2438707.9448434906</v>
      </c>
      <c r="O153" s="63" t="e">
        <f t="shared" si="7"/>
        <v>#DIV/0!</v>
      </c>
    </row>
    <row r="154" spans="1:15" x14ac:dyDescent="0.2">
      <c r="A154">
        <v>2011</v>
      </c>
      <c r="B154" s="22">
        <f>SUM(B106:B117)</f>
        <v>0</v>
      </c>
      <c r="I154" s="28"/>
      <c r="M154" s="22">
        <f>SUM(M106:M117)</f>
        <v>2773294.2653664062</v>
      </c>
      <c r="N154" s="30">
        <f t="shared" si="6"/>
        <v>2773294.2653664062</v>
      </c>
      <c r="O154" s="63" t="e">
        <f t="shared" si="7"/>
        <v>#DIV/0!</v>
      </c>
    </row>
    <row r="155" spans="1:15" x14ac:dyDescent="0.2">
      <c r="A155" s="14">
        <v>2012</v>
      </c>
      <c r="M155" s="6">
        <f>SUM(M118:M129)</f>
        <v>2855203.6788899419</v>
      </c>
      <c r="N155" s="89"/>
      <c r="O155" s="89"/>
    </row>
    <row r="156" spans="1:15" x14ac:dyDescent="0.2">
      <c r="A156" s="14">
        <v>2013</v>
      </c>
      <c r="M156" s="6">
        <f>SUM(M130:M141)</f>
        <v>2976051.0257091201</v>
      </c>
      <c r="N156" s="89"/>
      <c r="O156" s="89"/>
    </row>
    <row r="157" spans="1:15" x14ac:dyDescent="0.2">
      <c r="M157" s="6"/>
      <c r="N157" s="89"/>
      <c r="O157" s="89"/>
    </row>
    <row r="158" spans="1:15" x14ac:dyDescent="0.2">
      <c r="A158" t="s">
        <v>74</v>
      </c>
      <c r="B158" s="22">
        <f>SUM(B145:B154)</f>
        <v>0</v>
      </c>
      <c r="M158" s="22">
        <f>SUM(M145:M154)</f>
        <v>21233981.435562722</v>
      </c>
      <c r="N158" s="6">
        <f>M158-B158</f>
        <v>21233981.435562722</v>
      </c>
      <c r="O158" s="89"/>
    </row>
    <row r="159" spans="1:15" x14ac:dyDescent="0.2">
      <c r="M159" s="89"/>
      <c r="N159" s="89"/>
      <c r="O159" s="89"/>
    </row>
    <row r="160" spans="1:15" x14ac:dyDescent="0.2">
      <c r="M160" s="6">
        <f>SUM(M145:M156)</f>
        <v>27065236.140161783</v>
      </c>
      <c r="N160" s="38">
        <f>M160-M143</f>
        <v>0</v>
      </c>
      <c r="O160" s="89"/>
    </row>
    <row r="161" spans="1:15" x14ac:dyDescent="0.2">
      <c r="M161" s="15"/>
      <c r="N161" s="15" t="s">
        <v>63</v>
      </c>
      <c r="O161" s="15"/>
    </row>
    <row r="163" spans="1:15" x14ac:dyDescent="0.2">
      <c r="B163" s="22" t="s">
        <v>159</v>
      </c>
    </row>
    <row r="164" spans="1:15" x14ac:dyDescent="0.2">
      <c r="A164" s="3">
        <v>41275</v>
      </c>
      <c r="C164" s="103"/>
      <c r="D164" s="103"/>
      <c r="E164" s="94"/>
      <c r="F164" s="94"/>
      <c r="G164" s="95"/>
      <c r="H164" s="94"/>
      <c r="I164" s="94">
        <f t="shared" ref="I164:I175" si="8">A164</f>
        <v>41275</v>
      </c>
      <c r="J164" s="105">
        <f>22*16</f>
        <v>352</v>
      </c>
      <c r="K164" s="94" t="e">
        <f>'[29]Data Input'!N171</f>
        <v>#REF!</v>
      </c>
      <c r="L164" s="104">
        <v>147.88</v>
      </c>
      <c r="M164" s="94">
        <f t="shared" ref="M164:M175" si="9">$P$18+$P$19*C164+$P$20*D164+$P$21*E164+$P$22*F164+$P$23*G164+$P$24*H164</f>
        <v>-497713.96180331754</v>
      </c>
    </row>
    <row r="165" spans="1:15" x14ac:dyDescent="0.2">
      <c r="A165" s="3">
        <v>41306</v>
      </c>
      <c r="C165" s="103"/>
      <c r="D165" s="103"/>
      <c r="E165" s="94"/>
      <c r="F165" s="94"/>
      <c r="G165" s="95"/>
      <c r="H165" s="94"/>
      <c r="I165" s="94">
        <f t="shared" si="8"/>
        <v>41306</v>
      </c>
      <c r="J165" s="105">
        <f>19*16</f>
        <v>304</v>
      </c>
      <c r="K165" s="94" t="e">
        <f>'[29]Data Input'!N172</f>
        <v>#REF!</v>
      </c>
      <c r="L165" s="104">
        <v>148.08000000000001</v>
      </c>
      <c r="M165" s="94">
        <f t="shared" si="9"/>
        <v>-497713.96180331754</v>
      </c>
    </row>
    <row r="166" spans="1:15" x14ac:dyDescent="0.2">
      <c r="A166" s="3">
        <v>41334</v>
      </c>
      <c r="C166" s="103"/>
      <c r="D166" s="103"/>
      <c r="E166" s="94"/>
      <c r="F166" s="94"/>
      <c r="G166" s="95"/>
      <c r="H166" s="94"/>
      <c r="I166" s="94">
        <f t="shared" si="8"/>
        <v>41334</v>
      </c>
      <c r="J166" s="105">
        <f>20*16</f>
        <v>320</v>
      </c>
      <c r="K166" s="94" t="e">
        <f>'[29]Data Input'!N173</f>
        <v>#REF!</v>
      </c>
      <c r="L166" s="104">
        <v>148.27000000000001</v>
      </c>
      <c r="M166" s="94">
        <f t="shared" si="9"/>
        <v>-497713.96180331754</v>
      </c>
    </row>
    <row r="167" spans="1:15" x14ac:dyDescent="0.2">
      <c r="A167" s="3">
        <v>41365</v>
      </c>
      <c r="C167" s="103"/>
      <c r="D167" s="103"/>
      <c r="E167" s="94"/>
      <c r="F167" s="94"/>
      <c r="G167" s="95"/>
      <c r="H167" s="94"/>
      <c r="I167" s="94">
        <f t="shared" si="8"/>
        <v>41365</v>
      </c>
      <c r="J167" s="105">
        <f>22*16</f>
        <v>352</v>
      </c>
      <c r="K167" s="94" t="e">
        <f>'[29]Data Input'!N174</f>
        <v>#REF!</v>
      </c>
      <c r="L167" s="104">
        <v>148.46</v>
      </c>
      <c r="M167" s="94">
        <f t="shared" si="9"/>
        <v>-497713.96180331754</v>
      </c>
    </row>
    <row r="168" spans="1:15" x14ac:dyDescent="0.2">
      <c r="A168" s="3">
        <v>41395</v>
      </c>
      <c r="C168" s="103"/>
      <c r="D168" s="103"/>
      <c r="E168" s="94"/>
      <c r="F168" s="94"/>
      <c r="G168" s="95"/>
      <c r="H168" s="94"/>
      <c r="I168" s="94">
        <f t="shared" si="8"/>
        <v>41395</v>
      </c>
      <c r="J168" s="105">
        <f>22*16</f>
        <v>352</v>
      </c>
      <c r="K168" s="94" t="e">
        <f>'[29]Data Input'!N175</f>
        <v>#REF!</v>
      </c>
      <c r="L168" s="104">
        <v>148.65</v>
      </c>
      <c r="M168" s="94">
        <f t="shared" si="9"/>
        <v>-497713.96180331754</v>
      </c>
    </row>
    <row r="169" spans="1:15" x14ac:dyDescent="0.2">
      <c r="A169" s="3">
        <v>41426</v>
      </c>
      <c r="C169" s="103"/>
      <c r="D169" s="103"/>
      <c r="E169" s="94"/>
      <c r="F169" s="94"/>
      <c r="G169" s="95"/>
      <c r="H169" s="94"/>
      <c r="I169" s="94">
        <f t="shared" si="8"/>
        <v>41426</v>
      </c>
      <c r="J169" s="105">
        <f>20*16</f>
        <v>320</v>
      </c>
      <c r="K169" s="94" t="e">
        <f>'[29]Data Input'!N176</f>
        <v>#REF!</v>
      </c>
      <c r="L169" s="104">
        <v>148.85</v>
      </c>
      <c r="M169" s="94">
        <f t="shared" si="9"/>
        <v>-497713.96180331754</v>
      </c>
    </row>
    <row r="170" spans="1:15" x14ac:dyDescent="0.2">
      <c r="A170" s="3">
        <v>41456</v>
      </c>
      <c r="C170" s="103"/>
      <c r="D170" s="103"/>
      <c r="E170" s="94"/>
      <c r="F170" s="94"/>
      <c r="G170" s="95"/>
      <c r="H170" s="94"/>
      <c r="I170" s="94">
        <f t="shared" si="8"/>
        <v>41456</v>
      </c>
      <c r="J170" s="105">
        <f>22*16</f>
        <v>352</v>
      </c>
      <c r="K170" s="94" t="e">
        <f>'[29]Data Input'!N177</f>
        <v>#REF!</v>
      </c>
      <c r="L170" s="104">
        <v>149.04</v>
      </c>
      <c r="M170" s="94">
        <f t="shared" si="9"/>
        <v>-497713.96180331754</v>
      </c>
    </row>
    <row r="171" spans="1:15" x14ac:dyDescent="0.2">
      <c r="A171" s="3">
        <v>41487</v>
      </c>
      <c r="C171" s="103"/>
      <c r="D171" s="103"/>
      <c r="E171" s="94"/>
      <c r="F171" s="94"/>
      <c r="G171" s="95"/>
      <c r="H171" s="94"/>
      <c r="I171" s="94">
        <f t="shared" si="8"/>
        <v>41487</v>
      </c>
      <c r="J171" s="105">
        <f>21*16</f>
        <v>336</v>
      </c>
      <c r="K171" s="94" t="e">
        <f>'[29]Data Input'!N178</f>
        <v>#REF!</v>
      </c>
      <c r="L171" s="104">
        <v>149.22999999999999</v>
      </c>
      <c r="M171" s="94">
        <f t="shared" si="9"/>
        <v>-497713.96180331754</v>
      </c>
    </row>
    <row r="172" spans="1:15" x14ac:dyDescent="0.2">
      <c r="A172" s="3">
        <v>41518</v>
      </c>
      <c r="C172" s="103"/>
      <c r="D172" s="103"/>
      <c r="E172" s="94"/>
      <c r="F172" s="94"/>
      <c r="G172" s="95"/>
      <c r="H172" s="94"/>
      <c r="I172" s="94">
        <f t="shared" si="8"/>
        <v>41518</v>
      </c>
      <c r="J172" s="105">
        <f>20*16</f>
        <v>320</v>
      </c>
      <c r="K172" s="94" t="e">
        <f>'[29]Data Input'!N179</f>
        <v>#REF!</v>
      </c>
      <c r="L172" s="104">
        <v>149.41999999999999</v>
      </c>
      <c r="M172" s="94">
        <f t="shared" si="9"/>
        <v>-497713.96180331754</v>
      </c>
    </row>
    <row r="173" spans="1:15" x14ac:dyDescent="0.2">
      <c r="A173" s="3">
        <v>41548</v>
      </c>
      <c r="C173" s="103"/>
      <c r="D173" s="103"/>
      <c r="E173" s="94"/>
      <c r="F173" s="94"/>
      <c r="G173" s="95"/>
      <c r="H173" s="94"/>
      <c r="I173" s="94">
        <f t="shared" si="8"/>
        <v>41548</v>
      </c>
      <c r="J173" s="105">
        <f>22*16</f>
        <v>352</v>
      </c>
      <c r="K173" s="94" t="e">
        <f>'[29]Data Input'!N180</f>
        <v>#REF!</v>
      </c>
      <c r="L173" s="104">
        <v>149.62</v>
      </c>
      <c r="M173" s="94">
        <f t="shared" si="9"/>
        <v>-497713.96180331754</v>
      </c>
    </row>
    <row r="174" spans="1:15" x14ac:dyDescent="0.2">
      <c r="A174" s="3">
        <v>41579</v>
      </c>
      <c r="C174" s="103"/>
      <c r="D174" s="103"/>
      <c r="E174" s="94"/>
      <c r="F174" s="94"/>
      <c r="G174" s="95"/>
      <c r="H174" s="94"/>
      <c r="I174" s="94">
        <f t="shared" si="8"/>
        <v>41579</v>
      </c>
      <c r="J174" s="105">
        <f>21*16</f>
        <v>336</v>
      </c>
      <c r="K174" s="94" t="e">
        <f>'[29]Data Input'!N181</f>
        <v>#REF!</v>
      </c>
      <c r="L174" s="104">
        <v>149.81</v>
      </c>
      <c r="M174" s="94">
        <f t="shared" si="9"/>
        <v>-497713.96180331754</v>
      </c>
    </row>
    <row r="175" spans="1:15" x14ac:dyDescent="0.2">
      <c r="A175" s="3">
        <v>41609</v>
      </c>
      <c r="C175" s="103"/>
      <c r="D175" s="103"/>
      <c r="E175" s="94"/>
      <c r="F175" s="94"/>
      <c r="G175" s="95"/>
      <c r="H175" s="94"/>
      <c r="I175" s="94">
        <f t="shared" si="8"/>
        <v>41609</v>
      </c>
      <c r="J175" s="105">
        <f>20*16</f>
        <v>320</v>
      </c>
      <c r="K175" s="94" t="e">
        <f>'[29]Data Input'!N182</f>
        <v>#REF!</v>
      </c>
      <c r="L175" s="104">
        <v>150</v>
      </c>
      <c r="M175" s="94">
        <f t="shared" si="9"/>
        <v>-497713.96180331754</v>
      </c>
      <c r="N175" s="102">
        <f>SUM(M164:M175)</f>
        <v>-5972567.5416398086</v>
      </c>
    </row>
    <row r="176" spans="1:15" x14ac:dyDescent="0.2">
      <c r="E176" s="22"/>
      <c r="F176" s="22"/>
    </row>
    <row r="177" spans="1:14" x14ac:dyDescent="0.2">
      <c r="B177" s="22" t="s">
        <v>160</v>
      </c>
    </row>
    <row r="178" spans="1:14" x14ac:dyDescent="0.2">
      <c r="A178" s="3">
        <v>41275</v>
      </c>
      <c r="C178" s="103"/>
      <c r="D178" s="103"/>
      <c r="E178" s="94"/>
      <c r="F178" s="94"/>
      <c r="G178" s="95"/>
      <c r="H178" s="94"/>
      <c r="I178" s="94">
        <f t="shared" ref="I178:I189" si="10">A178</f>
        <v>41275</v>
      </c>
      <c r="J178" s="105">
        <f>22*16</f>
        <v>352</v>
      </c>
      <c r="K178" s="94" t="e">
        <f>'[29]Data Input'!N185</f>
        <v>#REF!</v>
      </c>
      <c r="L178" s="104">
        <v>147.88</v>
      </c>
      <c r="M178" s="94">
        <f t="shared" ref="M178:M189" si="11">$P$18+$P$19*C178+$P$20*D178+$P$21*E178+$P$22*F178+$P$23*G178+$P$24*H178</f>
        <v>-497713.96180331754</v>
      </c>
    </row>
    <row r="179" spans="1:14" x14ac:dyDescent="0.2">
      <c r="A179" s="3">
        <v>41306</v>
      </c>
      <c r="C179" s="103"/>
      <c r="D179" s="103"/>
      <c r="E179" s="94"/>
      <c r="F179" s="94"/>
      <c r="G179" s="95"/>
      <c r="H179" s="94"/>
      <c r="I179" s="94">
        <f t="shared" si="10"/>
        <v>41306</v>
      </c>
      <c r="J179" s="105">
        <f>19*16</f>
        <v>304</v>
      </c>
      <c r="K179" s="94" t="e">
        <f>'[29]Data Input'!N186</f>
        <v>#REF!</v>
      </c>
      <c r="L179" s="104">
        <v>148.08000000000001</v>
      </c>
      <c r="M179" s="94">
        <f t="shared" si="11"/>
        <v>-497713.96180331754</v>
      </c>
    </row>
    <row r="180" spans="1:14" x14ac:dyDescent="0.2">
      <c r="A180" s="3">
        <v>41334</v>
      </c>
      <c r="C180" s="103"/>
      <c r="D180" s="103"/>
      <c r="E180" s="94"/>
      <c r="F180" s="94"/>
      <c r="G180" s="95"/>
      <c r="H180" s="94"/>
      <c r="I180" s="94">
        <f t="shared" si="10"/>
        <v>41334</v>
      </c>
      <c r="J180" s="105">
        <f>20*16</f>
        <v>320</v>
      </c>
      <c r="K180" s="94" t="e">
        <f>'[29]Data Input'!N187</f>
        <v>#REF!</v>
      </c>
      <c r="L180" s="104">
        <v>148.27000000000001</v>
      </c>
      <c r="M180" s="94">
        <f t="shared" si="11"/>
        <v>-497713.96180331754</v>
      </c>
    </row>
    <row r="181" spans="1:14" x14ac:dyDescent="0.2">
      <c r="A181" s="3">
        <v>41365</v>
      </c>
      <c r="C181" s="103"/>
      <c r="D181" s="103"/>
      <c r="E181" s="94"/>
      <c r="F181" s="94"/>
      <c r="G181" s="95"/>
      <c r="H181" s="94"/>
      <c r="I181" s="94">
        <f t="shared" si="10"/>
        <v>41365</v>
      </c>
      <c r="J181" s="105">
        <f>22*16</f>
        <v>352</v>
      </c>
      <c r="K181" s="94" t="e">
        <f>'[29]Data Input'!N188</f>
        <v>#REF!</v>
      </c>
      <c r="L181" s="104">
        <v>148.46</v>
      </c>
      <c r="M181" s="94">
        <f t="shared" si="11"/>
        <v>-497713.96180331754</v>
      </c>
    </row>
    <row r="182" spans="1:14" x14ac:dyDescent="0.2">
      <c r="A182" s="3">
        <v>41395</v>
      </c>
      <c r="C182" s="103"/>
      <c r="D182" s="103"/>
      <c r="E182" s="94"/>
      <c r="F182" s="94"/>
      <c r="G182" s="95"/>
      <c r="H182" s="94"/>
      <c r="I182" s="94">
        <f t="shared" si="10"/>
        <v>41395</v>
      </c>
      <c r="J182" s="105">
        <f>22*16</f>
        <v>352</v>
      </c>
      <c r="K182" s="94" t="e">
        <f>'[29]Data Input'!N189</f>
        <v>#REF!</v>
      </c>
      <c r="L182" s="104">
        <v>148.65</v>
      </c>
      <c r="M182" s="94">
        <f t="shared" si="11"/>
        <v>-497713.96180331754</v>
      </c>
    </row>
    <row r="183" spans="1:14" x14ac:dyDescent="0.2">
      <c r="A183" s="3">
        <v>41426</v>
      </c>
      <c r="C183" s="103"/>
      <c r="D183" s="103"/>
      <c r="E183" s="94"/>
      <c r="F183" s="94"/>
      <c r="G183" s="95"/>
      <c r="H183" s="94"/>
      <c r="I183" s="94">
        <f t="shared" si="10"/>
        <v>41426</v>
      </c>
      <c r="J183" s="105">
        <f>20*16</f>
        <v>320</v>
      </c>
      <c r="K183" s="94" t="e">
        <f>'[29]Data Input'!N190</f>
        <v>#REF!</v>
      </c>
      <c r="L183" s="104">
        <v>148.85</v>
      </c>
      <c r="M183" s="94">
        <f t="shared" si="11"/>
        <v>-497713.96180331754</v>
      </c>
    </row>
    <row r="184" spans="1:14" x14ac:dyDescent="0.2">
      <c r="A184" s="3">
        <v>41456</v>
      </c>
      <c r="C184" s="103"/>
      <c r="D184" s="103"/>
      <c r="E184" s="94"/>
      <c r="F184" s="94"/>
      <c r="G184" s="95"/>
      <c r="H184" s="94"/>
      <c r="I184" s="94">
        <f t="shared" si="10"/>
        <v>41456</v>
      </c>
      <c r="J184" s="105">
        <f>22*16</f>
        <v>352</v>
      </c>
      <c r="K184" s="94" t="e">
        <f>'[29]Data Input'!N191</f>
        <v>#REF!</v>
      </c>
      <c r="L184" s="104">
        <v>149.04</v>
      </c>
      <c r="M184" s="94">
        <f t="shared" si="11"/>
        <v>-497713.96180331754</v>
      </c>
    </row>
    <row r="185" spans="1:14" x14ac:dyDescent="0.2">
      <c r="A185" s="3">
        <v>41487</v>
      </c>
      <c r="C185" s="103"/>
      <c r="D185" s="103"/>
      <c r="E185" s="94"/>
      <c r="F185" s="94"/>
      <c r="G185" s="95"/>
      <c r="H185" s="94"/>
      <c r="I185" s="94">
        <f t="shared" si="10"/>
        <v>41487</v>
      </c>
      <c r="J185" s="105">
        <f>21*16</f>
        <v>336</v>
      </c>
      <c r="K185" s="94" t="e">
        <f>'[29]Data Input'!N192</f>
        <v>#REF!</v>
      </c>
      <c r="L185" s="104">
        <v>149.22999999999999</v>
      </c>
      <c r="M185" s="94">
        <f t="shared" si="11"/>
        <v>-497713.96180331754</v>
      </c>
    </row>
    <row r="186" spans="1:14" x14ac:dyDescent="0.2">
      <c r="A186" s="3">
        <v>41518</v>
      </c>
      <c r="C186" s="103"/>
      <c r="D186" s="103"/>
      <c r="E186" s="94"/>
      <c r="F186" s="94"/>
      <c r="G186" s="95"/>
      <c r="H186" s="94"/>
      <c r="I186" s="94">
        <f t="shared" si="10"/>
        <v>41518</v>
      </c>
      <c r="J186" s="105">
        <f>20*16</f>
        <v>320</v>
      </c>
      <c r="K186" s="94" t="e">
        <f>'[29]Data Input'!N193</f>
        <v>#REF!</v>
      </c>
      <c r="L186" s="104">
        <v>149.41999999999999</v>
      </c>
      <c r="M186" s="94">
        <f t="shared" si="11"/>
        <v>-497713.96180331754</v>
      </c>
    </row>
    <row r="187" spans="1:14" x14ac:dyDescent="0.2">
      <c r="A187" s="3">
        <v>41548</v>
      </c>
      <c r="C187" s="103"/>
      <c r="D187" s="103"/>
      <c r="E187" s="94"/>
      <c r="F187" s="94"/>
      <c r="G187" s="95"/>
      <c r="H187" s="94"/>
      <c r="I187" s="94">
        <f t="shared" si="10"/>
        <v>41548</v>
      </c>
      <c r="J187" s="105">
        <f>22*16</f>
        <v>352</v>
      </c>
      <c r="K187" s="94" t="e">
        <f>'[29]Data Input'!N194</f>
        <v>#REF!</v>
      </c>
      <c r="L187" s="104">
        <v>149.62</v>
      </c>
      <c r="M187" s="94">
        <f t="shared" si="11"/>
        <v>-497713.96180331754</v>
      </c>
    </row>
    <row r="188" spans="1:14" x14ac:dyDescent="0.2">
      <c r="A188" s="3">
        <v>41579</v>
      </c>
      <c r="C188" s="103"/>
      <c r="D188" s="103"/>
      <c r="E188" s="94"/>
      <c r="F188" s="94"/>
      <c r="G188" s="95"/>
      <c r="H188" s="94"/>
      <c r="I188" s="94">
        <f t="shared" si="10"/>
        <v>41579</v>
      </c>
      <c r="J188" s="105">
        <f>21*16</f>
        <v>336</v>
      </c>
      <c r="K188" s="94" t="e">
        <f>'[29]Data Input'!N195</f>
        <v>#REF!</v>
      </c>
      <c r="L188" s="104">
        <v>149.81</v>
      </c>
      <c r="M188" s="94">
        <f t="shared" si="11"/>
        <v>-497713.96180331754</v>
      </c>
    </row>
    <row r="189" spans="1:14" x14ac:dyDescent="0.2">
      <c r="A189" s="3">
        <v>41609</v>
      </c>
      <c r="C189" s="103"/>
      <c r="D189" s="103"/>
      <c r="E189" s="94"/>
      <c r="F189" s="94"/>
      <c r="G189" s="95"/>
      <c r="H189" s="94"/>
      <c r="I189" s="94">
        <f t="shared" si="10"/>
        <v>41609</v>
      </c>
      <c r="J189" s="105">
        <f>20*16</f>
        <v>320</v>
      </c>
      <c r="K189" s="94" t="e">
        <f>'[29]Data Input'!N196</f>
        <v>#REF!</v>
      </c>
      <c r="L189" s="104">
        <v>150</v>
      </c>
      <c r="M189" s="94">
        <f t="shared" si="11"/>
        <v>-497713.96180331754</v>
      </c>
      <c r="N189" s="102">
        <f>SUM(M178:M189)</f>
        <v>-5972567.5416398086</v>
      </c>
    </row>
  </sheetData>
  <mergeCells count="1">
    <mergeCell ref="I1:L1"/>
  </mergeCells>
  <pageMargins left="0.38" right="0.75" top="0.73" bottom="0.74" header="0.5" footer="0.5"/>
  <pageSetup orientation="landscape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AL17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M125" sqref="M125"/>
    </sheetView>
  </sheetViews>
  <sheetFormatPr defaultRowHeight="12.75" x14ac:dyDescent="0.2"/>
  <cols>
    <col min="1" max="1" width="11.85546875" customWidth="1"/>
    <col min="2" max="2" width="18" style="22" customWidth="1"/>
    <col min="3" max="3" width="11.7109375" style="19" customWidth="1"/>
    <col min="4" max="4" width="13.42578125" style="19" customWidth="1"/>
    <col min="5" max="7" width="12.42578125" style="19" customWidth="1"/>
    <col min="8" max="8" width="10.140625" style="19" customWidth="1"/>
    <col min="9" max="10" width="12.42578125" style="19" customWidth="1"/>
    <col min="11" max="11" width="12.42578125" style="19" hidden="1" customWidth="1"/>
    <col min="12" max="12" width="14.42578125" style="28" hidden="1" customWidth="1"/>
    <col min="13" max="13" width="12.42578125" style="19" customWidth="1"/>
    <col min="14" max="14" width="29" style="19" bestFit="1" customWidth="1"/>
    <col min="15" max="15" width="26.42578125" style="19" customWidth="1"/>
    <col min="16" max="16" width="22.7109375" style="19" customWidth="1"/>
    <col min="17" max="17" width="15.7109375" style="89" customWidth="1"/>
    <col min="18" max="18" width="17" style="89" customWidth="1"/>
    <col min="19" max="19" width="12.42578125" style="89" customWidth="1"/>
    <col min="20" max="20" width="25.85546875" bestFit="1" customWidth="1"/>
    <col min="21" max="21" width="18" customWidth="1"/>
    <col min="22" max="22" width="17.140625" customWidth="1"/>
    <col min="23" max="23" width="25.85546875" bestFit="1" customWidth="1"/>
    <col min="24" max="24" width="12.5703125" style="106" bestFit="1" customWidth="1"/>
    <col min="25" max="25" width="19.28515625" style="106" bestFit="1" customWidth="1"/>
    <col min="26" max="26" width="21" style="106" bestFit="1" customWidth="1"/>
    <col min="27" max="27" width="19.140625" style="106" bestFit="1" customWidth="1"/>
    <col min="28" max="29" width="23" style="106" bestFit="1" customWidth="1"/>
    <col min="30" max="30" width="12.5703125" style="106" customWidth="1"/>
    <col min="31" max="31" width="21" style="106" bestFit="1" customWidth="1"/>
    <col min="32" max="32" width="20.140625" style="106" bestFit="1" customWidth="1"/>
    <col min="33" max="33" width="26.140625" style="106" bestFit="1" customWidth="1"/>
    <col min="35" max="35" width="11.7109375" bestFit="1" customWidth="1"/>
    <col min="36" max="36" width="10.7109375" bestFit="1" customWidth="1"/>
    <col min="38" max="38" width="9.140625" style="6"/>
  </cols>
  <sheetData>
    <row r="1" spans="1:33" x14ac:dyDescent="0.2">
      <c r="C1" s="832" t="s">
        <v>208</v>
      </c>
      <c r="D1" s="832"/>
      <c r="E1" s="832"/>
      <c r="F1" s="832"/>
      <c r="G1" s="832"/>
      <c r="H1" s="832"/>
      <c r="I1" s="832"/>
      <c r="J1" s="832"/>
      <c r="K1" s="832"/>
      <c r="L1" s="832"/>
      <c r="M1" s="90"/>
    </row>
    <row r="2" spans="1:33" ht="42" customHeight="1" x14ac:dyDescent="0.2">
      <c r="B2" s="91" t="s">
        <v>210</v>
      </c>
      <c r="C2" s="62" t="s">
        <v>2</v>
      </c>
      <c r="D2" s="62" t="s">
        <v>3</v>
      </c>
      <c r="E2" s="11" t="s">
        <v>77</v>
      </c>
      <c r="F2" s="62" t="s">
        <v>18</v>
      </c>
      <c r="G2" s="62" t="s">
        <v>212</v>
      </c>
      <c r="H2" s="62" t="s">
        <v>4</v>
      </c>
      <c r="I2" s="62" t="s">
        <v>211</v>
      </c>
      <c r="J2" s="62" t="s">
        <v>65</v>
      </c>
      <c r="K2" s="62" t="s">
        <v>73</v>
      </c>
      <c r="L2" s="92" t="s">
        <v>5</v>
      </c>
      <c r="M2" s="93" t="s">
        <v>213</v>
      </c>
      <c r="O2" t="s">
        <v>19</v>
      </c>
      <c r="P2"/>
      <c r="Q2"/>
      <c r="R2"/>
      <c r="S2"/>
      <c r="X2"/>
      <c r="Y2"/>
      <c r="Z2"/>
      <c r="AA2"/>
      <c r="AB2"/>
      <c r="AC2"/>
      <c r="AD2"/>
      <c r="AE2"/>
      <c r="AF2"/>
      <c r="AG2"/>
    </row>
    <row r="3" spans="1:33" ht="13.5" thickBot="1" x14ac:dyDescent="0.25">
      <c r="A3" s="3">
        <v>37408</v>
      </c>
      <c r="B3" s="22">
        <f>+'[29]Data Input'!$CT10</f>
        <v>4843401.3999999994</v>
      </c>
      <c r="C3" s="19">
        <f>'[30]Purchased Power Model '!C5</f>
        <v>36.200000000000003</v>
      </c>
      <c r="D3" s="19">
        <f>'[30]Purchased Power Model '!D5</f>
        <v>70</v>
      </c>
      <c r="E3" s="96">
        <f>'[30]Purchased Power Model '!F5</f>
        <v>319.68</v>
      </c>
      <c r="F3" s="94">
        <f>'[30]Purchased Power Model '!L5</f>
        <v>0</v>
      </c>
      <c r="G3" s="94">
        <f t="shared" ref="G3:G34" si="0">A3</f>
        <v>37408</v>
      </c>
      <c r="H3" s="94">
        <f>'[30]Purchased Power Model '!E5</f>
        <v>30</v>
      </c>
      <c r="I3" s="95">
        <f>'[30]Purchased Power Model '!K5</f>
        <v>581.79999999999995</v>
      </c>
      <c r="J3" s="94">
        <f>+'[29]Data Input'!$CR10</f>
        <v>48</v>
      </c>
      <c r="K3" s="94">
        <f>'[30]Purchased Power Model '!G5</f>
        <v>0</v>
      </c>
      <c r="L3" s="28">
        <f>'[30]Purchased Power Model '!I5</f>
        <v>123.31120824213403</v>
      </c>
      <c r="M3" s="94"/>
      <c r="O3"/>
      <c r="P3"/>
      <c r="Q3"/>
      <c r="R3"/>
      <c r="S3"/>
      <c r="X3"/>
      <c r="Y3"/>
      <c r="Z3"/>
      <c r="AA3"/>
      <c r="AB3"/>
      <c r="AC3"/>
      <c r="AD3"/>
      <c r="AE3"/>
      <c r="AF3"/>
      <c r="AG3"/>
    </row>
    <row r="4" spans="1:33" x14ac:dyDescent="0.2">
      <c r="A4" s="3">
        <v>37438</v>
      </c>
      <c r="B4" s="22">
        <f>+'[29]Data Input'!$CT11</f>
        <v>4964308.5199999996</v>
      </c>
      <c r="C4" s="19">
        <f>'[30]Purchased Power Model '!C6</f>
        <v>0</v>
      </c>
      <c r="D4" s="19">
        <f>'[30]Purchased Power Model '!D6</f>
        <v>192.4</v>
      </c>
      <c r="E4" s="96">
        <f>'[30]Purchased Power Model '!F6</f>
        <v>351.91199999999998</v>
      </c>
      <c r="F4" s="94">
        <f>'[30]Purchased Power Model '!L6</f>
        <v>0</v>
      </c>
      <c r="G4" s="94">
        <f t="shared" si="0"/>
        <v>37438</v>
      </c>
      <c r="H4" s="94">
        <f>'[30]Purchased Power Model '!E6</f>
        <v>31</v>
      </c>
      <c r="I4" s="95">
        <f>'[30]Purchased Power Model '!K6</f>
        <v>584.70000000000005</v>
      </c>
      <c r="J4" s="94">
        <f>+'[29]Data Input'!$CR11</f>
        <v>51</v>
      </c>
      <c r="K4" s="94">
        <f>'[30]Purchased Power Model '!G6</f>
        <v>0</v>
      </c>
      <c r="L4" s="28">
        <f>'[30]Purchased Power Model '!I6</f>
        <v>123.67575966778612</v>
      </c>
      <c r="M4" s="94"/>
      <c r="O4" s="97" t="s">
        <v>20</v>
      </c>
      <c r="P4" s="97"/>
      <c r="Q4"/>
      <c r="R4"/>
      <c r="S4"/>
      <c r="X4"/>
      <c r="Y4"/>
      <c r="Z4"/>
      <c r="AA4"/>
      <c r="AB4"/>
      <c r="AC4"/>
      <c r="AD4"/>
      <c r="AE4"/>
      <c r="AF4"/>
      <c r="AG4"/>
    </row>
    <row r="5" spans="1:33" x14ac:dyDescent="0.2">
      <c r="A5" s="3">
        <v>37469</v>
      </c>
      <c r="B5" s="22">
        <f>+'[29]Data Input'!$CT12</f>
        <v>5208532.4800000004</v>
      </c>
      <c r="C5" s="19">
        <f>'[30]Purchased Power Model '!C7</f>
        <v>0.2</v>
      </c>
      <c r="D5" s="19">
        <f>'[30]Purchased Power Model '!D7</f>
        <v>142.69999999999999</v>
      </c>
      <c r="E5" s="96">
        <f>'[30]Purchased Power Model '!F7</f>
        <v>336.28800000000001</v>
      </c>
      <c r="F5" s="94">
        <f>'[30]Purchased Power Model '!L7</f>
        <v>0</v>
      </c>
      <c r="G5" s="94">
        <f t="shared" si="0"/>
        <v>37469</v>
      </c>
      <c r="H5" s="94">
        <f>'[30]Purchased Power Model '!E7</f>
        <v>31</v>
      </c>
      <c r="I5" s="95">
        <f>'[30]Purchased Power Model '!K7</f>
        <v>586.6</v>
      </c>
      <c r="J5" s="94">
        <f>+'[29]Data Input'!$CR12</f>
        <v>51</v>
      </c>
      <c r="K5" s="94">
        <f>'[30]Purchased Power Model '!G7</f>
        <v>0</v>
      </c>
      <c r="L5" s="28">
        <f>'[30]Purchased Power Model '!I7</f>
        <v>124.04138883603632</v>
      </c>
      <c r="M5" s="94"/>
      <c r="O5" s="29" t="s">
        <v>21</v>
      </c>
      <c r="P5" s="45">
        <v>0.38838627014943455</v>
      </c>
      <c r="Q5"/>
      <c r="R5"/>
      <c r="S5"/>
      <c r="X5"/>
      <c r="Y5"/>
      <c r="Z5"/>
      <c r="AA5"/>
      <c r="AB5"/>
      <c r="AC5"/>
      <c r="AD5"/>
      <c r="AE5"/>
      <c r="AF5"/>
      <c r="AG5"/>
    </row>
    <row r="6" spans="1:33" x14ac:dyDescent="0.2">
      <c r="A6" s="3">
        <v>37500</v>
      </c>
      <c r="B6" s="22">
        <f>+'[29]Data Input'!$CT13</f>
        <v>4736911.07</v>
      </c>
      <c r="C6" s="19">
        <f>'[30]Purchased Power Model '!C8</f>
        <v>21.8</v>
      </c>
      <c r="D6" s="19">
        <f>'[30]Purchased Power Model '!D8</f>
        <v>87.6</v>
      </c>
      <c r="E6" s="96">
        <f>'[30]Purchased Power Model '!F8</f>
        <v>319.68</v>
      </c>
      <c r="F6" s="94">
        <f>'[30]Purchased Power Model '!L8</f>
        <v>1</v>
      </c>
      <c r="G6" s="94">
        <f t="shared" si="0"/>
        <v>37500</v>
      </c>
      <c r="H6" s="94">
        <f>'[30]Purchased Power Model '!E8</f>
        <v>30</v>
      </c>
      <c r="I6" s="95">
        <f>'[30]Purchased Power Model '!K8</f>
        <v>583.20000000000005</v>
      </c>
      <c r="J6" s="94">
        <f>+'[29]Data Input'!$CR13</f>
        <v>51</v>
      </c>
      <c r="K6" s="94">
        <f>'[30]Purchased Power Model '!G8</f>
        <v>0</v>
      </c>
      <c r="L6" s="28">
        <f>'[30]Purchased Power Model '!I8</f>
        <v>124.40809893307186</v>
      </c>
      <c r="M6" s="94"/>
      <c r="O6" s="29" t="s">
        <v>22</v>
      </c>
      <c r="P6" s="45">
        <v>0.15084389484058955</v>
      </c>
      <c r="Q6"/>
      <c r="R6"/>
      <c r="S6"/>
      <c r="X6"/>
      <c r="Y6"/>
      <c r="Z6"/>
      <c r="AA6"/>
      <c r="AB6"/>
      <c r="AC6"/>
      <c r="AD6"/>
      <c r="AE6"/>
      <c r="AF6"/>
      <c r="AG6"/>
    </row>
    <row r="7" spans="1:33" x14ac:dyDescent="0.2">
      <c r="A7" s="3">
        <v>37530</v>
      </c>
      <c r="B7" s="22">
        <f>+'[29]Data Input'!$CT14</f>
        <v>4652837.08</v>
      </c>
      <c r="C7" s="19">
        <f>'[30]Purchased Power Model '!C9</f>
        <v>292.2</v>
      </c>
      <c r="D7" s="19">
        <f>'[30]Purchased Power Model '!D9</f>
        <v>10</v>
      </c>
      <c r="E7" s="96">
        <f>'[30]Purchased Power Model '!F9</f>
        <v>351.91199999999998</v>
      </c>
      <c r="F7" s="94">
        <f>'[30]Purchased Power Model '!L9</f>
        <v>1</v>
      </c>
      <c r="G7" s="94">
        <f t="shared" si="0"/>
        <v>37530</v>
      </c>
      <c r="H7" s="94">
        <f>'[30]Purchased Power Model '!E9</f>
        <v>31</v>
      </c>
      <c r="I7" s="95">
        <f>'[30]Purchased Power Model '!K9</f>
        <v>582.9</v>
      </c>
      <c r="J7" s="94">
        <f>+'[29]Data Input'!$CR14</f>
        <v>51</v>
      </c>
      <c r="K7" s="94">
        <f>'[30]Purchased Power Model '!G9</f>
        <v>0</v>
      </c>
      <c r="L7" s="28">
        <f>'[30]Purchased Power Model '!I9</f>
        <v>124.7758931544995</v>
      </c>
      <c r="M7" s="94"/>
      <c r="O7" s="29" t="s">
        <v>23</v>
      </c>
      <c r="P7" s="45">
        <v>0.10366855566506675</v>
      </c>
      <c r="Q7"/>
      <c r="R7"/>
      <c r="S7"/>
      <c r="X7"/>
      <c r="Y7"/>
      <c r="Z7"/>
      <c r="AA7"/>
      <c r="AB7"/>
      <c r="AC7"/>
      <c r="AD7"/>
      <c r="AE7"/>
      <c r="AF7"/>
      <c r="AG7"/>
    </row>
    <row r="8" spans="1:33" x14ac:dyDescent="0.2">
      <c r="A8" s="3">
        <v>37561</v>
      </c>
      <c r="B8" s="22">
        <f>+'[29]Data Input'!$CT15</f>
        <v>4554846.22</v>
      </c>
      <c r="C8" s="19">
        <f>'[30]Purchased Power Model '!C10</f>
        <v>445</v>
      </c>
      <c r="D8" s="19">
        <f>'[30]Purchased Power Model '!D10</f>
        <v>0</v>
      </c>
      <c r="E8" s="96">
        <f>'[30]Purchased Power Model '!F10</f>
        <v>336.24</v>
      </c>
      <c r="F8" s="94">
        <f>'[30]Purchased Power Model '!L10</f>
        <v>1</v>
      </c>
      <c r="G8" s="94">
        <f t="shared" si="0"/>
        <v>37561</v>
      </c>
      <c r="H8" s="94">
        <f>'[30]Purchased Power Model '!E10</f>
        <v>30</v>
      </c>
      <c r="I8" s="95">
        <f>'[30]Purchased Power Model '!K10</f>
        <v>583.5</v>
      </c>
      <c r="J8" s="94">
        <f>+'[29]Data Input'!$CR15</f>
        <v>51</v>
      </c>
      <c r="K8" s="94">
        <f>'[30]Purchased Power Model '!G10</f>
        <v>0</v>
      </c>
      <c r="L8" s="28">
        <f>'[30]Purchased Power Model '!I10</f>
        <v>125.14477470537335</v>
      </c>
      <c r="M8" s="94"/>
      <c r="O8" s="29" t="s">
        <v>24</v>
      </c>
      <c r="P8" s="29">
        <v>346919.71356028848</v>
      </c>
      <c r="Q8"/>
      <c r="R8"/>
      <c r="S8"/>
      <c r="X8"/>
      <c r="Y8"/>
      <c r="Z8"/>
      <c r="AA8"/>
      <c r="AB8"/>
      <c r="AC8"/>
      <c r="AD8"/>
      <c r="AE8"/>
      <c r="AF8"/>
      <c r="AG8"/>
    </row>
    <row r="9" spans="1:33" ht="13.5" thickBot="1" x14ac:dyDescent="0.25">
      <c r="A9" s="3">
        <v>37591</v>
      </c>
      <c r="B9" s="22">
        <f>+'[29]Data Input'!$CT16</f>
        <v>4634143.49</v>
      </c>
      <c r="C9" s="19">
        <f>'[30]Purchased Power Model '!C11</f>
        <v>619.4</v>
      </c>
      <c r="D9" s="19">
        <f>'[30]Purchased Power Model '!D11</f>
        <v>0</v>
      </c>
      <c r="E9" s="96">
        <f>'[30]Purchased Power Model '!F11</f>
        <v>319.92</v>
      </c>
      <c r="F9" s="94">
        <f>'[30]Purchased Power Model '!L11</f>
        <v>0</v>
      </c>
      <c r="G9" s="94">
        <f t="shared" si="0"/>
        <v>37591</v>
      </c>
      <c r="H9" s="94">
        <f>'[30]Purchased Power Model '!E11</f>
        <v>31</v>
      </c>
      <c r="I9" s="95">
        <f>'[30]Purchased Power Model '!K11</f>
        <v>591.79999999999995</v>
      </c>
      <c r="J9" s="94">
        <f>+'[29]Data Input'!$CR16</f>
        <v>51</v>
      </c>
      <c r="K9" s="94">
        <f>'[30]Purchased Power Model '!G11</f>
        <v>0</v>
      </c>
      <c r="L9" s="28">
        <f>'[30]Purchased Power Model '!I11</f>
        <v>125.51474680022261</v>
      </c>
      <c r="M9" s="94"/>
      <c r="O9" s="41" t="s">
        <v>25</v>
      </c>
      <c r="P9" s="41">
        <v>115</v>
      </c>
      <c r="Q9"/>
      <c r="R9"/>
      <c r="S9"/>
      <c r="X9"/>
      <c r="Y9"/>
      <c r="Z9"/>
      <c r="AA9"/>
      <c r="AB9"/>
      <c r="AC9"/>
      <c r="AD9"/>
      <c r="AE9"/>
      <c r="AF9"/>
      <c r="AG9"/>
    </row>
    <row r="10" spans="1:33" x14ac:dyDescent="0.2">
      <c r="A10" s="3">
        <v>37622</v>
      </c>
      <c r="B10" s="22">
        <f>+'[29]Data Input'!$CT17</f>
        <v>5831902.4199999999</v>
      </c>
      <c r="C10" s="19">
        <f>'[30]Purchased Power Model '!C12</f>
        <v>814.5</v>
      </c>
      <c r="D10" s="19">
        <f>'[30]Purchased Power Model '!D12</f>
        <v>0</v>
      </c>
      <c r="E10" s="96">
        <v>351.91199999999998</v>
      </c>
      <c r="F10" s="94">
        <f>'[30]Purchased Power Model '!L12</f>
        <v>0</v>
      </c>
      <c r="G10" s="94">
        <f t="shared" si="0"/>
        <v>37622</v>
      </c>
      <c r="H10" s="94">
        <v>31</v>
      </c>
      <c r="I10" s="95">
        <f>'[30]Purchased Power Model '!K12</f>
        <v>591.29999999999995</v>
      </c>
      <c r="J10" s="94">
        <f>+'[29]Data Input'!$CR17</f>
        <v>51</v>
      </c>
      <c r="K10" s="94">
        <f>'[30]Purchased Power Model '!G12</f>
        <v>0</v>
      </c>
      <c r="L10" s="28">
        <f>'[30]Purchased Power Model '!I12</f>
        <v>125.66024937363977</v>
      </c>
      <c r="M10" s="94"/>
      <c r="O10"/>
      <c r="P10"/>
      <c r="Q10"/>
      <c r="R10"/>
      <c r="S10"/>
      <c r="X10"/>
      <c r="Y10"/>
      <c r="Z10"/>
      <c r="AA10"/>
      <c r="AB10"/>
      <c r="AC10"/>
      <c r="AD10"/>
      <c r="AE10"/>
      <c r="AF10"/>
      <c r="AG10"/>
    </row>
    <row r="11" spans="1:33" ht="13.5" thickBot="1" x14ac:dyDescent="0.25">
      <c r="A11" s="3">
        <v>37653</v>
      </c>
      <c r="B11" s="22">
        <f>+'[29]Data Input'!$CT18</f>
        <v>5311144.13</v>
      </c>
      <c r="C11" s="19">
        <f>'[30]Purchased Power Model '!C13</f>
        <v>699</v>
      </c>
      <c r="D11" s="19">
        <f>'[30]Purchased Power Model '!D13</f>
        <v>0</v>
      </c>
      <c r="E11" s="96">
        <v>319.87200000000001</v>
      </c>
      <c r="F11" s="94">
        <v>0</v>
      </c>
      <c r="G11" s="94">
        <f t="shared" si="0"/>
        <v>37653</v>
      </c>
      <c r="H11" s="94">
        <v>28</v>
      </c>
      <c r="I11" s="95">
        <f>'[30]Purchased Power Model '!K13</f>
        <v>588.4</v>
      </c>
      <c r="J11" s="94">
        <f>+'[29]Data Input'!$CR18</f>
        <v>51</v>
      </c>
      <c r="K11" s="94">
        <f>'[30]Purchased Power Model '!G13</f>
        <v>0</v>
      </c>
      <c r="L11" s="28">
        <v>125.80592062045517</v>
      </c>
      <c r="M11" s="94"/>
      <c r="O11" t="s">
        <v>26</v>
      </c>
      <c r="P11"/>
      <c r="Q11"/>
      <c r="R11"/>
      <c r="S11"/>
      <c r="X11"/>
      <c r="Y11"/>
      <c r="Z11"/>
      <c r="AA11"/>
      <c r="AB11"/>
      <c r="AC11"/>
      <c r="AD11"/>
      <c r="AE11"/>
      <c r="AF11"/>
      <c r="AG11"/>
    </row>
    <row r="12" spans="1:33" x14ac:dyDescent="0.2">
      <c r="A12" s="3">
        <v>37681</v>
      </c>
      <c r="B12" s="22">
        <f>+'[29]Data Input'!$CT19</f>
        <v>4970084.38</v>
      </c>
      <c r="C12" s="19">
        <f>'[30]Purchased Power Model '!C14</f>
        <v>581.1</v>
      </c>
      <c r="D12" s="19">
        <f>'[30]Purchased Power Model '!D14</f>
        <v>0</v>
      </c>
      <c r="E12" s="96">
        <v>336.28800000000001</v>
      </c>
      <c r="F12" s="94">
        <v>1</v>
      </c>
      <c r="G12" s="94">
        <f t="shared" si="0"/>
        <v>37681</v>
      </c>
      <c r="H12" s="94">
        <v>31</v>
      </c>
      <c r="I12" s="95">
        <f>'[30]Purchased Power Model '!K14</f>
        <v>584.5</v>
      </c>
      <c r="J12" s="94">
        <f>+'[29]Data Input'!$CR19</f>
        <v>51</v>
      </c>
      <c r="K12" s="94">
        <f>'[30]Purchased Power Model '!G14</f>
        <v>0</v>
      </c>
      <c r="L12" s="28">
        <v>125.9517607362029</v>
      </c>
      <c r="M12" s="94"/>
      <c r="O12" s="99"/>
      <c r="P12" s="99" t="s">
        <v>30</v>
      </c>
      <c r="Q12" s="99" t="s">
        <v>31</v>
      </c>
      <c r="R12" s="99" t="s">
        <v>32</v>
      </c>
      <c r="S12" s="99" t="s">
        <v>33</v>
      </c>
      <c r="T12" s="99" t="s">
        <v>34</v>
      </c>
      <c r="X12"/>
      <c r="Y12"/>
      <c r="Z12"/>
      <c r="AA12"/>
      <c r="AB12"/>
      <c r="AC12"/>
      <c r="AD12"/>
      <c r="AE12"/>
      <c r="AF12"/>
      <c r="AG12"/>
    </row>
    <row r="13" spans="1:33" x14ac:dyDescent="0.2">
      <c r="A13" s="3">
        <v>37712</v>
      </c>
      <c r="B13" s="22">
        <f>+'[29]Data Input'!$CT20</f>
        <v>5512684.1400000006</v>
      </c>
      <c r="C13" s="19">
        <f>'[30]Purchased Power Model '!C15</f>
        <v>372.5</v>
      </c>
      <c r="D13" s="19">
        <f>'[30]Purchased Power Model '!D15</f>
        <v>2.4</v>
      </c>
      <c r="E13" s="96">
        <v>336.24</v>
      </c>
      <c r="F13" s="94">
        <v>1</v>
      </c>
      <c r="G13" s="94">
        <f t="shared" si="0"/>
        <v>37712</v>
      </c>
      <c r="H13" s="94">
        <v>30</v>
      </c>
      <c r="I13" s="95">
        <f>'[30]Purchased Power Model '!K15</f>
        <v>587.79999999999995</v>
      </c>
      <c r="J13" s="94">
        <f>+'[29]Data Input'!$CR20</f>
        <v>51</v>
      </c>
      <c r="K13" s="94">
        <f>'[30]Purchased Power Model '!G15</f>
        <v>0</v>
      </c>
      <c r="L13" s="28">
        <v>126.09776991664374</v>
      </c>
      <c r="M13" s="94"/>
      <c r="O13" s="29" t="s">
        <v>27</v>
      </c>
      <c r="P13" s="29">
        <v>6</v>
      </c>
      <c r="Q13" s="29">
        <v>2308989270788.4141</v>
      </c>
      <c r="R13" s="29">
        <v>384831545131.40234</v>
      </c>
      <c r="S13" s="29">
        <v>3.1975158520716214</v>
      </c>
      <c r="T13" s="29">
        <v>6.2825980061875439E-3</v>
      </c>
      <c r="X13"/>
      <c r="Y13"/>
      <c r="Z13"/>
      <c r="AA13"/>
      <c r="AB13"/>
      <c r="AC13"/>
      <c r="AD13"/>
      <c r="AE13"/>
      <c r="AF13"/>
      <c r="AG13"/>
    </row>
    <row r="14" spans="1:33" x14ac:dyDescent="0.2">
      <c r="A14" s="3">
        <v>37742</v>
      </c>
      <c r="B14" s="22">
        <f>+'[29]Data Input'!$CT21</f>
        <v>5380352.0099999998</v>
      </c>
      <c r="C14" s="19">
        <f>'[30]Purchased Power Model '!C16</f>
        <v>177.9</v>
      </c>
      <c r="D14" s="19">
        <f>'[30]Purchased Power Model '!D16</f>
        <v>0</v>
      </c>
      <c r="E14" s="96">
        <v>336.28800000000001</v>
      </c>
      <c r="F14" s="94">
        <v>1</v>
      </c>
      <c r="G14" s="94">
        <f t="shared" si="0"/>
        <v>37742</v>
      </c>
      <c r="H14" s="94">
        <v>31</v>
      </c>
      <c r="I14" s="95">
        <f>'[30]Purchased Power Model '!K16</f>
        <v>596.4</v>
      </c>
      <c r="J14" s="94">
        <f>+'[29]Data Input'!$CR21</f>
        <v>51</v>
      </c>
      <c r="K14" s="94">
        <f>'[30]Purchased Power Model '!G16</f>
        <v>0</v>
      </c>
      <c r="L14" s="28">
        <v>126.2439483577654</v>
      </c>
      <c r="M14" s="94"/>
      <c r="O14" s="29" t="s">
        <v>28</v>
      </c>
      <c r="P14" s="29">
        <v>108</v>
      </c>
      <c r="Q14" s="29">
        <v>12998155066929.283</v>
      </c>
      <c r="R14" s="29">
        <v>120353287656.75262</v>
      </c>
      <c r="S14" s="29"/>
      <c r="T14" s="29"/>
      <c r="X14"/>
      <c r="Y14"/>
      <c r="Z14"/>
      <c r="AA14"/>
      <c r="AB14"/>
      <c r="AC14"/>
      <c r="AD14"/>
      <c r="AE14"/>
      <c r="AF14"/>
      <c r="AG14"/>
    </row>
    <row r="15" spans="1:33" ht="13.5" thickBot="1" x14ac:dyDescent="0.25">
      <c r="A15" s="3">
        <v>37773</v>
      </c>
      <c r="B15" s="22">
        <f>+'[29]Data Input'!$CT22</f>
        <v>5217936.76</v>
      </c>
      <c r="C15" s="19">
        <f>'[30]Purchased Power Model '!C17</f>
        <v>43.4</v>
      </c>
      <c r="D15" s="19">
        <f>'[30]Purchased Power Model '!D17</f>
        <v>52.9</v>
      </c>
      <c r="E15" s="96">
        <v>336.24</v>
      </c>
      <c r="F15" s="94">
        <v>0</v>
      </c>
      <c r="G15" s="94">
        <f t="shared" si="0"/>
        <v>37773</v>
      </c>
      <c r="H15" s="94">
        <v>30</v>
      </c>
      <c r="I15" s="95">
        <f>'[30]Purchased Power Model '!K17</f>
        <v>601.70000000000005</v>
      </c>
      <c r="J15" s="94">
        <f>+'[29]Data Input'!$CR22</f>
        <v>51</v>
      </c>
      <c r="K15" s="94">
        <f>'[30]Purchased Power Model '!G17</f>
        <v>0</v>
      </c>
      <c r="L15" s="28">
        <v>126.3902962557828</v>
      </c>
      <c r="M15" s="94"/>
      <c r="O15" s="41" t="s">
        <v>9</v>
      </c>
      <c r="P15" s="41">
        <v>114</v>
      </c>
      <c r="Q15" s="41">
        <v>15307144337717.697</v>
      </c>
      <c r="R15" s="41"/>
      <c r="S15" s="41"/>
      <c r="T15" s="41"/>
      <c r="X15"/>
      <c r="Y15"/>
      <c r="Z15"/>
      <c r="AA15"/>
      <c r="AB15"/>
      <c r="AC15"/>
      <c r="AD15"/>
      <c r="AE15"/>
      <c r="AF15"/>
      <c r="AG15"/>
    </row>
    <row r="16" spans="1:33" ht="13.5" thickBot="1" x14ac:dyDescent="0.25">
      <c r="A16" s="3">
        <v>37803</v>
      </c>
      <c r="B16" s="22">
        <f>+'[29]Data Input'!$CT23</f>
        <v>5439350.3499999996</v>
      </c>
      <c r="C16" s="19">
        <f>'[30]Purchased Power Model '!C18</f>
        <v>0.2</v>
      </c>
      <c r="D16" s="19">
        <f>'[30]Purchased Power Model '!D18</f>
        <v>118.3</v>
      </c>
      <c r="E16" s="96">
        <v>351.91199999999998</v>
      </c>
      <c r="F16" s="94">
        <v>0</v>
      </c>
      <c r="G16" s="94">
        <f t="shared" si="0"/>
        <v>37803</v>
      </c>
      <c r="H16" s="94">
        <v>31</v>
      </c>
      <c r="I16" s="95">
        <f>'[30]Purchased Power Model '!K18</f>
        <v>605.70000000000005</v>
      </c>
      <c r="J16" s="94">
        <f>+'[29]Data Input'!$CR23</f>
        <v>51</v>
      </c>
      <c r="K16" s="94">
        <f>'[30]Purchased Power Model '!G18</f>
        <v>0</v>
      </c>
      <c r="L16" s="28">
        <v>126.5368138071383</v>
      </c>
      <c r="M16" s="94"/>
      <c r="O16"/>
      <c r="P16"/>
      <c r="Q16"/>
      <c r="R16"/>
      <c r="S16"/>
      <c r="X16"/>
      <c r="Y16"/>
      <c r="Z16"/>
      <c r="AA16"/>
      <c r="AB16"/>
      <c r="AC16"/>
      <c r="AD16"/>
      <c r="AE16"/>
      <c r="AF16"/>
      <c r="AG16"/>
    </row>
    <row r="17" spans="1:34" x14ac:dyDescent="0.2">
      <c r="A17" s="3">
        <v>37834</v>
      </c>
      <c r="B17" s="22">
        <f>+'[29]Data Input'!$CT24</f>
        <v>5138932.1399999997</v>
      </c>
      <c r="C17" s="19">
        <f>'[30]Purchased Power Model '!C19</f>
        <v>2</v>
      </c>
      <c r="D17" s="19">
        <f>'[30]Purchased Power Model '!D19</f>
        <v>128</v>
      </c>
      <c r="E17" s="96">
        <v>319.92</v>
      </c>
      <c r="F17" s="94">
        <v>0</v>
      </c>
      <c r="G17" s="94">
        <f t="shared" si="0"/>
        <v>37834</v>
      </c>
      <c r="H17" s="94">
        <v>31</v>
      </c>
      <c r="I17" s="95">
        <f>'[30]Purchased Power Model '!K19</f>
        <v>607.6</v>
      </c>
      <c r="J17" s="94">
        <f>+'[29]Data Input'!$CR24</f>
        <v>51</v>
      </c>
      <c r="K17" s="94">
        <f>'[30]Purchased Power Model '!G19</f>
        <v>0</v>
      </c>
      <c r="L17" s="28">
        <v>126.68350120850199</v>
      </c>
      <c r="M17" s="94"/>
      <c r="O17" s="99"/>
      <c r="P17" s="99" t="s">
        <v>35</v>
      </c>
      <c r="Q17" s="99" t="s">
        <v>24</v>
      </c>
      <c r="R17" s="99" t="s">
        <v>36</v>
      </c>
      <c r="S17" s="99" t="s">
        <v>37</v>
      </c>
      <c r="T17" s="99" t="s">
        <v>38</v>
      </c>
      <c r="U17" s="99" t="s">
        <v>39</v>
      </c>
      <c r="V17" s="99" t="s">
        <v>214</v>
      </c>
      <c r="W17" s="99" t="s">
        <v>215</v>
      </c>
      <c r="X17" s="109" t="s">
        <v>210</v>
      </c>
      <c r="Y17" s="109" t="s">
        <v>2</v>
      </c>
      <c r="Z17" s="109" t="s">
        <v>77</v>
      </c>
      <c r="AA17" s="109" t="s">
        <v>3</v>
      </c>
      <c r="AB17" s="109" t="s">
        <v>18</v>
      </c>
      <c r="AC17" s="109" t="s">
        <v>4</v>
      </c>
      <c r="AD17" s="109" t="s">
        <v>211</v>
      </c>
      <c r="AE17" s="109" t="s">
        <v>73</v>
      </c>
      <c r="AF17" s="109" t="s">
        <v>212</v>
      </c>
      <c r="AG17" s="109" t="s">
        <v>65</v>
      </c>
      <c r="AH17" s="109" t="s">
        <v>5</v>
      </c>
    </row>
    <row r="18" spans="1:34" x14ac:dyDescent="0.2">
      <c r="A18" s="3">
        <v>37865</v>
      </c>
      <c r="B18" s="22">
        <f>+'[29]Data Input'!$CT25</f>
        <v>4419434</v>
      </c>
      <c r="C18" s="19">
        <f>'[30]Purchased Power Model '!C20</f>
        <v>54.9</v>
      </c>
      <c r="D18" s="19">
        <f>'[30]Purchased Power Model '!D20</f>
        <v>24</v>
      </c>
      <c r="E18" s="96">
        <v>336.24</v>
      </c>
      <c r="F18" s="94">
        <v>1</v>
      </c>
      <c r="G18" s="94">
        <f t="shared" si="0"/>
        <v>37865</v>
      </c>
      <c r="H18" s="94">
        <v>30</v>
      </c>
      <c r="I18" s="95">
        <f>'[30]Purchased Power Model '!K20</f>
        <v>607.6</v>
      </c>
      <c r="J18" s="94">
        <f>+'[29]Data Input'!$CR25</f>
        <v>51</v>
      </c>
      <c r="K18" s="94">
        <f>'[30]Purchased Power Model '!G20</f>
        <v>0</v>
      </c>
      <c r="L18" s="28">
        <v>126.83035865677196</v>
      </c>
      <c r="M18" s="94"/>
      <c r="O18" s="29" t="s">
        <v>29</v>
      </c>
      <c r="P18" s="64">
        <v>-325056.93767303368</v>
      </c>
      <c r="Q18" s="29">
        <v>1797566.9886977649</v>
      </c>
      <c r="R18" s="64">
        <v>-0.18083161279486945</v>
      </c>
      <c r="S18" s="29">
        <v>0.8568386582178058</v>
      </c>
      <c r="T18" s="29">
        <v>-3888146.4509435273</v>
      </c>
      <c r="U18" s="29">
        <v>3238032.5755974599</v>
      </c>
      <c r="V18" s="29">
        <v>-3888146.4509435273</v>
      </c>
      <c r="W18" s="29">
        <v>3238032.5755974599</v>
      </c>
      <c r="X18" s="45">
        <v>1</v>
      </c>
      <c r="Y18" s="45"/>
      <c r="Z18" s="45"/>
      <c r="AA18" s="45"/>
      <c r="AB18" s="45"/>
      <c r="AC18" s="45"/>
      <c r="AD18" s="45"/>
      <c r="AE18" s="45"/>
      <c r="AF18" s="45"/>
      <c r="AG18" s="45"/>
      <c r="AH18" s="45"/>
    </row>
    <row r="19" spans="1:34" x14ac:dyDescent="0.2">
      <c r="A19" s="3">
        <v>37895</v>
      </c>
      <c r="B19" s="22">
        <f>+'[29]Data Input'!$CT26</f>
        <v>5248324.68</v>
      </c>
      <c r="C19" s="19">
        <f>'[30]Purchased Power Model '!C21</f>
        <v>276</v>
      </c>
      <c r="D19" s="19">
        <f>'[30]Purchased Power Model '!D21</f>
        <v>0</v>
      </c>
      <c r="E19" s="96">
        <v>351.91199999999998</v>
      </c>
      <c r="F19" s="94">
        <v>1</v>
      </c>
      <c r="G19" s="94">
        <f t="shared" si="0"/>
        <v>37895</v>
      </c>
      <c r="H19" s="94">
        <v>31</v>
      </c>
      <c r="I19" s="95">
        <f>'[30]Purchased Power Model '!K21</f>
        <v>609.5</v>
      </c>
      <c r="J19" s="94">
        <f>+'[29]Data Input'!$CR26</f>
        <v>51</v>
      </c>
      <c r="K19" s="94">
        <f>'[30]Purchased Power Model '!G21</f>
        <v>0</v>
      </c>
      <c r="L19" s="28">
        <v>126.97738634907456</v>
      </c>
      <c r="M19" s="94"/>
      <c r="O19" s="29" t="s">
        <v>2</v>
      </c>
      <c r="P19" s="64">
        <v>208.04264820652867</v>
      </c>
      <c r="Q19" s="29">
        <v>210.57952109084221</v>
      </c>
      <c r="R19" s="64">
        <v>0.98795289840544775</v>
      </c>
      <c r="S19" s="29">
        <v>0.32538394542747717</v>
      </c>
      <c r="T19" s="29">
        <v>-209.36248218689394</v>
      </c>
      <c r="U19" s="29">
        <v>625.44777859995133</v>
      </c>
      <c r="V19" s="29">
        <v>-209.36248218689394</v>
      </c>
      <c r="W19" s="29">
        <v>625.44777859995133</v>
      </c>
      <c r="X19" s="45">
        <v>0.16422900878344035</v>
      </c>
      <c r="Y19" s="45">
        <v>1</v>
      </c>
      <c r="Z19" s="45"/>
      <c r="AA19" s="45"/>
      <c r="AB19" s="45"/>
      <c r="AC19" s="45"/>
      <c r="AD19" s="45"/>
      <c r="AE19" s="45"/>
      <c r="AF19" s="45"/>
      <c r="AG19" s="45"/>
      <c r="AH19" s="45"/>
    </row>
    <row r="20" spans="1:34" x14ac:dyDescent="0.2">
      <c r="A20" s="3">
        <v>37926</v>
      </c>
      <c r="B20" s="22">
        <f>+'[29]Data Input'!$CT27</f>
        <v>5261860.37</v>
      </c>
      <c r="C20" s="19">
        <f>'[30]Purchased Power Model '!C22</f>
        <v>398.5</v>
      </c>
      <c r="D20" s="19">
        <f>'[30]Purchased Power Model '!D22</f>
        <v>0</v>
      </c>
      <c r="E20" s="96">
        <v>319.68</v>
      </c>
      <c r="F20" s="94">
        <v>1</v>
      </c>
      <c r="G20" s="94">
        <f t="shared" si="0"/>
        <v>37926</v>
      </c>
      <c r="H20" s="94">
        <v>30</v>
      </c>
      <c r="I20" s="95">
        <f>'[30]Purchased Power Model '!K22</f>
        <v>609</v>
      </c>
      <c r="J20" s="94">
        <f>+'[29]Data Input'!$CR27</f>
        <v>51</v>
      </c>
      <c r="K20" s="94">
        <f>'[30]Purchased Power Model '!G22</f>
        <v>0</v>
      </c>
      <c r="L20" s="28">
        <v>127.12458448276465</v>
      </c>
      <c r="M20" s="94"/>
      <c r="O20" s="29" t="s">
        <v>3</v>
      </c>
      <c r="P20" s="64">
        <v>-355.26867185584911</v>
      </c>
      <c r="Q20" s="29">
        <v>1207.3409767089531</v>
      </c>
      <c r="R20" s="64">
        <v>-0.29425711436073598</v>
      </c>
      <c r="S20" s="29">
        <v>0.76912625100280041</v>
      </c>
      <c r="T20" s="29">
        <v>-2748.4278698726539</v>
      </c>
      <c r="U20" s="29">
        <v>2037.8905261609559</v>
      </c>
      <c r="V20" s="29">
        <v>-2748.4278698726539</v>
      </c>
      <c r="W20" s="29">
        <v>2037.8905261609559</v>
      </c>
      <c r="X20" s="45">
        <v>0.18967056804729751</v>
      </c>
      <c r="Y20" s="45">
        <v>-0.111569303311444</v>
      </c>
      <c r="Z20" s="45">
        <v>1</v>
      </c>
      <c r="AA20" s="45"/>
      <c r="AB20" s="45"/>
      <c r="AC20" s="45"/>
      <c r="AD20" s="45"/>
      <c r="AE20" s="45"/>
      <c r="AF20" s="45"/>
      <c r="AG20" s="45"/>
      <c r="AH20" s="45"/>
    </row>
    <row r="21" spans="1:34" x14ac:dyDescent="0.2">
      <c r="A21" s="3">
        <v>37956</v>
      </c>
      <c r="B21" s="22">
        <f>+'[29]Data Input'!$CT28</f>
        <v>5282926.21</v>
      </c>
      <c r="C21" s="19">
        <f>'[30]Purchased Power Model '!C23</f>
        <v>561.5</v>
      </c>
      <c r="D21" s="19">
        <f>'[30]Purchased Power Model '!D23</f>
        <v>0</v>
      </c>
      <c r="E21" s="96">
        <v>336.28800000000001</v>
      </c>
      <c r="F21" s="94">
        <v>0</v>
      </c>
      <c r="G21" s="94">
        <f t="shared" si="0"/>
        <v>37956</v>
      </c>
      <c r="H21" s="94">
        <v>31</v>
      </c>
      <c r="I21" s="95">
        <f>'[30]Purchased Power Model '!K23</f>
        <v>609.20000000000005</v>
      </c>
      <c r="J21" s="94">
        <f>+'[29]Data Input'!$CR28</f>
        <v>51</v>
      </c>
      <c r="K21" s="94">
        <f>'[30]Purchased Power Model '!G23</f>
        <v>0</v>
      </c>
      <c r="L21" s="28">
        <v>127.27195325542573</v>
      </c>
      <c r="M21" s="94"/>
      <c r="O21" s="29" t="s">
        <v>77</v>
      </c>
      <c r="P21" s="64">
        <v>5046.4872378310229</v>
      </c>
      <c r="Q21" s="29">
        <v>2110.6215202363387</v>
      </c>
      <c r="R21" s="64">
        <v>2.3909958225319041</v>
      </c>
      <c r="S21" s="29">
        <v>1.8532816011945778E-2</v>
      </c>
      <c r="T21" s="29">
        <v>862.8693518098853</v>
      </c>
      <c r="U21" s="29">
        <v>9230.1051238521613</v>
      </c>
      <c r="V21" s="29">
        <v>862.8693518098853</v>
      </c>
      <c r="W21" s="29">
        <v>9230.1051238521613</v>
      </c>
      <c r="X21" s="45">
        <v>-6.6744698903917349E-2</v>
      </c>
      <c r="Y21" s="45">
        <v>-0.6865295342863782</v>
      </c>
      <c r="Z21" s="45">
        <v>8.0571185603477577E-2</v>
      </c>
      <c r="AA21" s="45">
        <v>1</v>
      </c>
      <c r="AB21" s="45"/>
      <c r="AC21" s="45"/>
      <c r="AD21" s="45"/>
      <c r="AE21" s="45"/>
      <c r="AF21" s="45"/>
      <c r="AG21" s="45"/>
      <c r="AH21" s="45"/>
    </row>
    <row r="22" spans="1:34" x14ac:dyDescent="0.2">
      <c r="A22" s="3">
        <v>37987</v>
      </c>
      <c r="B22" s="22">
        <f>+'[29]Data Input'!$CT29</f>
        <v>5646726.4700000007</v>
      </c>
      <c r="C22" s="19">
        <f>'[30]Purchased Power Model '!C24</f>
        <v>849.1</v>
      </c>
      <c r="D22" s="19">
        <f>'[30]Purchased Power Model '!D24</f>
        <v>0</v>
      </c>
      <c r="E22" s="96">
        <v>336.28800000000001</v>
      </c>
      <c r="F22" s="94">
        <v>0</v>
      </c>
      <c r="G22" s="94">
        <f t="shared" si="0"/>
        <v>37987</v>
      </c>
      <c r="H22" s="94">
        <v>31</v>
      </c>
      <c r="I22" s="95">
        <f>'[30]Purchased Power Model '!K24</f>
        <v>605</v>
      </c>
      <c r="J22" s="94">
        <f>+'[29]Data Input'!$CR29</f>
        <v>52</v>
      </c>
      <c r="K22" s="94">
        <f>'[30]Purchased Power Model '!G24</f>
        <v>0</v>
      </c>
      <c r="L22" s="28">
        <v>127.53411264087498</v>
      </c>
      <c r="M22" s="94"/>
      <c r="O22" s="29" t="s">
        <v>18</v>
      </c>
      <c r="P22" s="64">
        <v>-118828.11040203528</v>
      </c>
      <c r="Q22" s="29">
        <v>90442.713763171982</v>
      </c>
      <c r="R22" s="64">
        <v>-1.3138494573835062</v>
      </c>
      <c r="S22" s="29">
        <v>0.19168086610251989</v>
      </c>
      <c r="T22" s="29">
        <v>-298101.2540386676</v>
      </c>
      <c r="U22" s="29">
        <v>60445.033234597053</v>
      </c>
      <c r="V22" s="29">
        <v>-298101.2540386676</v>
      </c>
      <c r="W22" s="29">
        <v>60445.033234597053</v>
      </c>
      <c r="X22" s="45">
        <v>-0.10967457571622159</v>
      </c>
      <c r="Y22" s="45">
        <v>-8.3652756394069452E-2</v>
      </c>
      <c r="Z22" s="45">
        <v>5.8545044623141564E-2</v>
      </c>
      <c r="AA22" s="45">
        <v>-0.43739091490155468</v>
      </c>
      <c r="AB22" s="45">
        <v>1</v>
      </c>
      <c r="AC22" s="45"/>
      <c r="AD22" s="45"/>
      <c r="AE22" s="45"/>
      <c r="AF22" s="45"/>
      <c r="AG22" s="45"/>
      <c r="AH22" s="45"/>
    </row>
    <row r="23" spans="1:34" x14ac:dyDescent="0.2">
      <c r="A23" s="3">
        <v>38018</v>
      </c>
      <c r="B23" s="22">
        <f>+'[29]Data Input'!$CT30</f>
        <v>5176038.71</v>
      </c>
      <c r="C23" s="19">
        <f>'[30]Purchased Power Model '!C25</f>
        <v>631.70000000000005</v>
      </c>
      <c r="D23" s="19">
        <f>'[30]Purchased Power Model '!D25</f>
        <v>0</v>
      </c>
      <c r="E23" s="96">
        <v>320.16000000000003</v>
      </c>
      <c r="F23" s="94">
        <v>0</v>
      </c>
      <c r="G23" s="94">
        <f t="shared" si="0"/>
        <v>38018</v>
      </c>
      <c r="H23" s="94">
        <v>29</v>
      </c>
      <c r="I23" s="95">
        <f>'[30]Purchased Power Model '!K25</f>
        <v>599.4</v>
      </c>
      <c r="J23" s="94">
        <f>+'[29]Data Input'!$CR30</f>
        <v>51</v>
      </c>
      <c r="K23" s="94">
        <f>'[30]Purchased Power Model '!G25</f>
        <v>0</v>
      </c>
      <c r="L23" s="28">
        <v>127.79681203173486</v>
      </c>
      <c r="M23" s="94"/>
      <c r="O23" s="29" t="s">
        <v>212</v>
      </c>
      <c r="P23" s="64">
        <v>33.327523508892646</v>
      </c>
      <c r="Q23" s="29">
        <v>32.176561615801262</v>
      </c>
      <c r="R23" s="64">
        <v>1.0357701953003633</v>
      </c>
      <c r="S23" s="29">
        <v>0.30262297964689322</v>
      </c>
      <c r="T23" s="29">
        <v>-30.452001809059098</v>
      </c>
      <c r="U23" s="29">
        <v>97.107048826844391</v>
      </c>
      <c r="V23" s="29">
        <v>-30.452001809059098</v>
      </c>
      <c r="W23" s="29">
        <v>97.107048826844391</v>
      </c>
      <c r="X23" s="45">
        <v>0.15299861134686762</v>
      </c>
      <c r="Y23" s="45">
        <v>-0.17710192341177458</v>
      </c>
      <c r="Z23" s="45">
        <v>0.35045851536519235</v>
      </c>
      <c r="AA23" s="45">
        <v>0.2107361480114433</v>
      </c>
      <c r="AB23" s="45">
        <v>5.8858378025159738E-2</v>
      </c>
      <c r="AC23" s="45">
        <v>1</v>
      </c>
      <c r="AD23" s="45"/>
      <c r="AE23" s="45"/>
      <c r="AF23" s="45"/>
      <c r="AG23" s="45"/>
      <c r="AH23" s="45"/>
    </row>
    <row r="24" spans="1:34" ht="13.5" thickBot="1" x14ac:dyDescent="0.25">
      <c r="A24" s="3">
        <v>38047</v>
      </c>
      <c r="B24" s="22">
        <f>+'[29]Data Input'!$CT31</f>
        <v>4877727.29</v>
      </c>
      <c r="C24" s="19">
        <f>'[30]Purchased Power Model '!C26</f>
        <v>487.3</v>
      </c>
      <c r="D24" s="19">
        <f>'[30]Purchased Power Model '!D26</f>
        <v>0</v>
      </c>
      <c r="E24" s="96">
        <v>368.28</v>
      </c>
      <c r="F24" s="94">
        <v>1</v>
      </c>
      <c r="G24" s="94">
        <f t="shared" si="0"/>
        <v>38047</v>
      </c>
      <c r="H24" s="94">
        <v>31</v>
      </c>
      <c r="I24" s="95">
        <f>'[30]Purchased Power Model '!K26</f>
        <v>595.4</v>
      </c>
      <c r="J24" s="94">
        <f>+'[29]Data Input'!$CR31</f>
        <v>51</v>
      </c>
      <c r="K24" s="94">
        <f>'[30]Purchased Power Model '!G26</f>
        <v>0</v>
      </c>
      <c r="L24" s="28">
        <v>128.06005254032812</v>
      </c>
      <c r="M24" s="94"/>
      <c r="O24" s="41" t="s">
        <v>4</v>
      </c>
      <c r="P24" s="65">
        <v>84774.870775326504</v>
      </c>
      <c r="Q24" s="41">
        <v>44421.336034864406</v>
      </c>
      <c r="R24" s="65">
        <v>1.9084268584085435</v>
      </c>
      <c r="S24" s="41">
        <v>5.8990924384440646E-2</v>
      </c>
      <c r="T24" s="41">
        <v>-3275.9209817878727</v>
      </c>
      <c r="U24" s="41">
        <v>172825.66253244088</v>
      </c>
      <c r="V24" s="41">
        <v>-3275.9209817878727</v>
      </c>
      <c r="W24" s="41">
        <v>172825.66253244088</v>
      </c>
      <c r="X24" s="45">
        <v>0.45348314568530901</v>
      </c>
      <c r="Y24" s="45">
        <v>-0.11912712626915278</v>
      </c>
      <c r="Z24" s="45">
        <v>-3.4408689995377471E-4</v>
      </c>
      <c r="AA24" s="45">
        <v>9.9118346492402865E-2</v>
      </c>
      <c r="AB24" s="45">
        <v>-4.1343738532606804E-2</v>
      </c>
      <c r="AC24" s="45">
        <v>5.6643832813141504E-2</v>
      </c>
      <c r="AD24" s="45">
        <v>1</v>
      </c>
      <c r="AE24" s="45"/>
      <c r="AF24" s="45"/>
      <c r="AG24" s="45"/>
      <c r="AH24" s="45"/>
    </row>
    <row r="25" spans="1:34" x14ac:dyDescent="0.2">
      <c r="A25" s="3">
        <v>38078</v>
      </c>
      <c r="B25" s="22">
        <f>+'[29]Data Input'!$CT32</f>
        <v>5052723.45</v>
      </c>
      <c r="C25" s="19">
        <f>'[30]Purchased Power Model '!C27</f>
        <v>331.5</v>
      </c>
      <c r="D25" s="19">
        <f>'[30]Purchased Power Model '!D27</f>
        <v>0</v>
      </c>
      <c r="E25" s="96">
        <v>336.24</v>
      </c>
      <c r="F25" s="94">
        <v>1</v>
      </c>
      <c r="G25" s="94">
        <f t="shared" si="0"/>
        <v>38078</v>
      </c>
      <c r="H25" s="94">
        <v>30</v>
      </c>
      <c r="I25" s="95">
        <f>'[30]Purchased Power Model '!K27</f>
        <v>597.70000000000005</v>
      </c>
      <c r="J25" s="94">
        <f>+'[29]Data Input'!$CR32</f>
        <v>50</v>
      </c>
      <c r="K25" s="94">
        <f>'[30]Purchased Power Model '!G27</f>
        <v>0</v>
      </c>
      <c r="L25" s="28">
        <v>128.32383528126866</v>
      </c>
      <c r="M25" s="94"/>
      <c r="O25"/>
      <c r="P25"/>
      <c r="Q25"/>
      <c r="R25"/>
      <c r="S25"/>
      <c r="X25" s="45">
        <v>0.35394935697642577</v>
      </c>
      <c r="Y25" s="45">
        <v>-1.9723457935790858E-2</v>
      </c>
      <c r="Z25" s="45">
        <v>-3.9623515522834073E-2</v>
      </c>
      <c r="AA25" s="45">
        <v>-4.8474135805496116E-2</v>
      </c>
      <c r="AB25" s="45">
        <v>2.0324801267590342E-2</v>
      </c>
      <c r="AC25" s="45">
        <v>1.0089986980193838E-2</v>
      </c>
      <c r="AD25" s="45">
        <v>0.69098838889775471</v>
      </c>
      <c r="AE25" s="45">
        <v>1</v>
      </c>
      <c r="AF25" s="45"/>
      <c r="AG25" s="45"/>
      <c r="AH25" s="45"/>
    </row>
    <row r="26" spans="1:34" x14ac:dyDescent="0.2">
      <c r="A26" s="3">
        <v>38108</v>
      </c>
      <c r="B26" s="22">
        <f>+'[29]Data Input'!$CT33</f>
        <v>5338005.51</v>
      </c>
      <c r="C26" s="19">
        <f>'[30]Purchased Power Model '!C28</f>
        <v>158.9</v>
      </c>
      <c r="D26" s="19">
        <f>'[30]Purchased Power Model '!D28</f>
        <v>8.6</v>
      </c>
      <c r="E26" s="96">
        <v>319.92</v>
      </c>
      <c r="F26" s="94">
        <v>1</v>
      </c>
      <c r="G26" s="94">
        <f t="shared" si="0"/>
        <v>38108</v>
      </c>
      <c r="H26" s="94">
        <v>31</v>
      </c>
      <c r="I26" s="95">
        <f>'[30]Purchased Power Model '!K28</f>
        <v>605.6</v>
      </c>
      <c r="J26" s="94">
        <f>+'[29]Data Input'!$CR33</f>
        <v>50</v>
      </c>
      <c r="K26" s="94">
        <f>'[30]Purchased Power Model '!G28</f>
        <v>0</v>
      </c>
      <c r="L26" s="28">
        <v>128.58816137146633</v>
      </c>
      <c r="M26" s="94"/>
      <c r="N26"/>
      <c r="O26"/>
      <c r="P26"/>
      <c r="Q26"/>
      <c r="R26"/>
      <c r="S26"/>
      <c r="X26" s="45">
        <v>0.40015424509715464</v>
      </c>
      <c r="Y26" s="45">
        <v>-9.6401501007240143E-3</v>
      </c>
      <c r="Z26" s="45">
        <v>-1.8001367118930186E-2</v>
      </c>
      <c r="AA26" s="45">
        <v>-5.5671127536414788E-2</v>
      </c>
      <c r="AB26" s="45">
        <v>2.9711879206251856E-2</v>
      </c>
      <c r="AC26" s="45">
        <v>2.5356655990180238E-4</v>
      </c>
      <c r="AD26" s="45">
        <v>0.86185203843329106</v>
      </c>
      <c r="AE26" s="45">
        <v>0.90762666314027651</v>
      </c>
      <c r="AF26" s="45">
        <v>1</v>
      </c>
      <c r="AG26" s="45"/>
      <c r="AH26" s="45"/>
    </row>
    <row r="27" spans="1:34" x14ac:dyDescent="0.2">
      <c r="A27" s="3">
        <v>38139</v>
      </c>
      <c r="B27" s="22">
        <f>+'[29]Data Input'!$CT34</f>
        <v>5320615.6999999993</v>
      </c>
      <c r="C27" s="19">
        <f>'[30]Purchased Power Model '!C29</f>
        <v>44.2</v>
      </c>
      <c r="D27" s="19">
        <f>'[30]Purchased Power Model '!D29</f>
        <v>31.6</v>
      </c>
      <c r="E27" s="96">
        <v>352.08</v>
      </c>
      <c r="F27" s="94">
        <v>0</v>
      </c>
      <c r="G27" s="94">
        <f t="shared" si="0"/>
        <v>38139</v>
      </c>
      <c r="H27" s="94">
        <v>30</v>
      </c>
      <c r="I27" s="95">
        <f>'[30]Purchased Power Model '!K29</f>
        <v>615.4</v>
      </c>
      <c r="J27" s="94">
        <f>+'[29]Data Input'!$CR34</f>
        <v>50</v>
      </c>
      <c r="K27" s="94">
        <f>'[30]Purchased Power Model '!G29</f>
        <v>0</v>
      </c>
      <c r="L27" s="28">
        <v>128.85303193013166</v>
      </c>
      <c r="M27" s="94"/>
      <c r="N27"/>
      <c r="O27"/>
      <c r="P27"/>
      <c r="Q27"/>
      <c r="R27"/>
      <c r="S27"/>
      <c r="X27" s="45">
        <v>0.41583763115762951</v>
      </c>
      <c r="Y27" s="45">
        <v>-1.1845730196356957E-2</v>
      </c>
      <c r="Z27" s="45">
        <v>-2.4867719764619753E-2</v>
      </c>
      <c r="AA27" s="45">
        <v>-6.2474727565505983E-2</v>
      </c>
      <c r="AB27" s="45">
        <v>2.76755693048161E-2</v>
      </c>
      <c r="AC27" s="45">
        <v>1.0830455705109453E-2</v>
      </c>
      <c r="AD27" s="45">
        <v>0.83283600670072133</v>
      </c>
      <c r="AE27" s="45">
        <v>0.92460899780469408</v>
      </c>
      <c r="AF27" s="45">
        <v>0.98590983800136145</v>
      </c>
      <c r="AG27" s="45">
        <v>1</v>
      </c>
      <c r="AH27" s="45"/>
    </row>
    <row r="28" spans="1:34" ht="13.5" thickBot="1" x14ac:dyDescent="0.25">
      <c r="A28" s="3">
        <v>38169</v>
      </c>
      <c r="B28" s="22">
        <f>+'[29]Data Input'!$CT35</f>
        <v>5334938.8</v>
      </c>
      <c r="C28" s="19">
        <f>'[30]Purchased Power Model '!C30</f>
        <v>3.6</v>
      </c>
      <c r="D28" s="19">
        <f>'[30]Purchased Power Model '!D30</f>
        <v>86.4</v>
      </c>
      <c r="E28" s="96">
        <v>336.28800000000001</v>
      </c>
      <c r="F28" s="94">
        <v>0</v>
      </c>
      <c r="G28" s="94">
        <f t="shared" si="0"/>
        <v>38169</v>
      </c>
      <c r="H28" s="94">
        <v>31</v>
      </c>
      <c r="I28" s="95">
        <f>'[30]Purchased Power Model '!K30</f>
        <v>623.79999999999995</v>
      </c>
      <c r="J28" s="94">
        <f>+'[29]Data Input'!$CR35</f>
        <v>44</v>
      </c>
      <c r="K28" s="94">
        <f>'[30]Purchased Power Model '!G30</f>
        <v>0</v>
      </c>
      <c r="L28" s="28">
        <v>129.11844807878055</v>
      </c>
      <c r="M28" s="94"/>
      <c r="N28"/>
      <c r="O28"/>
      <c r="P28"/>
      <c r="Q28"/>
      <c r="R28"/>
      <c r="S28"/>
      <c r="X28" s="108">
        <v>0.45521494491439385</v>
      </c>
      <c r="Y28" s="108">
        <v>1.0098543819386414E-3</v>
      </c>
      <c r="Z28" s="108">
        <v>-2.1868581948757255E-2</v>
      </c>
      <c r="AA28" s="108">
        <v>-6.4138082867213675E-2</v>
      </c>
      <c r="AB28" s="108">
        <v>3.4254316300666443E-2</v>
      </c>
      <c r="AC28" s="108">
        <v>4.0485709093008469E-3</v>
      </c>
      <c r="AD28" s="108">
        <v>0.91935383467225806</v>
      </c>
      <c r="AE28" s="108">
        <v>0.79832783713707234</v>
      </c>
      <c r="AF28" s="108">
        <v>0.88733662807798352</v>
      </c>
      <c r="AG28" s="108">
        <v>0.87920021649116442</v>
      </c>
      <c r="AH28" s="108">
        <v>1</v>
      </c>
    </row>
    <row r="29" spans="1:34" x14ac:dyDescent="0.2">
      <c r="A29" s="3">
        <v>38200</v>
      </c>
      <c r="B29" s="22">
        <f>+'[29]Data Input'!$CT36</f>
        <v>5639271.0700000003</v>
      </c>
      <c r="C29" s="19">
        <f>'[30]Purchased Power Model '!C31</f>
        <v>12.8</v>
      </c>
      <c r="D29" s="19">
        <f>'[30]Purchased Power Model '!D31</f>
        <v>59.6</v>
      </c>
      <c r="E29" s="96">
        <v>336.28800000000001</v>
      </c>
      <c r="F29" s="94">
        <v>0</v>
      </c>
      <c r="G29" s="94">
        <f t="shared" si="0"/>
        <v>38200</v>
      </c>
      <c r="H29" s="94">
        <v>31</v>
      </c>
      <c r="I29" s="95">
        <f>'[30]Purchased Power Model '!K31</f>
        <v>625.70000000000005</v>
      </c>
      <c r="J29" s="94">
        <f>+'[29]Data Input'!$CR36</f>
        <v>50</v>
      </c>
      <c r="K29" s="94">
        <f>'[30]Purchased Power Model '!G31</f>
        <v>0</v>
      </c>
      <c r="L29" s="28">
        <v>129.38441094123903</v>
      </c>
      <c r="M29" s="94"/>
      <c r="N29"/>
      <c r="O29"/>
      <c r="P29"/>
      <c r="Q29"/>
      <c r="R29"/>
      <c r="S29"/>
      <c r="X29"/>
      <c r="Y29"/>
      <c r="Z29"/>
      <c r="AA29"/>
      <c r="AB29"/>
      <c r="AC29"/>
      <c r="AD29"/>
      <c r="AE29"/>
      <c r="AF29"/>
      <c r="AG29"/>
    </row>
    <row r="30" spans="1:34" x14ac:dyDescent="0.2">
      <c r="A30" s="3">
        <v>38231</v>
      </c>
      <c r="B30" s="22">
        <f>+'[29]Data Input'!$CT37</f>
        <v>5627647.21</v>
      </c>
      <c r="C30" s="19">
        <f>'[30]Purchased Power Model '!C32</f>
        <v>30</v>
      </c>
      <c r="D30" s="19">
        <f>'[30]Purchased Power Model '!D32</f>
        <v>41.2</v>
      </c>
      <c r="E30" s="96">
        <v>336.24</v>
      </c>
      <c r="F30" s="94">
        <v>1</v>
      </c>
      <c r="G30" s="94">
        <f t="shared" si="0"/>
        <v>38231</v>
      </c>
      <c r="H30" s="94">
        <v>30</v>
      </c>
      <c r="I30" s="95">
        <f>'[30]Purchased Power Model '!K32</f>
        <v>626.70000000000005</v>
      </c>
      <c r="J30" s="94">
        <f>+'[29]Data Input'!$CR37</f>
        <v>50</v>
      </c>
      <c r="K30" s="94">
        <f>'[30]Purchased Power Model '!G32</f>
        <v>0</v>
      </c>
      <c r="L30" s="28">
        <v>129.65092164364802</v>
      </c>
      <c r="M30" s="94"/>
      <c r="N30"/>
      <c r="O30"/>
      <c r="P30"/>
      <c r="Q30"/>
      <c r="R30"/>
      <c r="S30"/>
      <c r="X30"/>
      <c r="Y30"/>
      <c r="Z30"/>
      <c r="AA30"/>
      <c r="AB30"/>
      <c r="AC30"/>
      <c r="AD30"/>
      <c r="AE30"/>
      <c r="AF30"/>
      <c r="AG30"/>
    </row>
    <row r="31" spans="1:34" x14ac:dyDescent="0.2">
      <c r="A31" s="3">
        <v>38261</v>
      </c>
      <c r="B31" s="22">
        <f>+'[29]Data Input'!$CT38</f>
        <v>5291026.09</v>
      </c>
      <c r="C31" s="19">
        <f>'[30]Purchased Power Model '!C33</f>
        <v>226.3</v>
      </c>
      <c r="D31" s="19">
        <f>'[30]Purchased Power Model '!D33</f>
        <v>1.5</v>
      </c>
      <c r="E31" s="96">
        <v>319.92</v>
      </c>
      <c r="F31" s="94">
        <v>1</v>
      </c>
      <c r="G31" s="94">
        <f t="shared" si="0"/>
        <v>38261</v>
      </c>
      <c r="H31" s="94">
        <v>31</v>
      </c>
      <c r="I31" s="95">
        <f>'[30]Purchased Power Model '!K33</f>
        <v>625.1</v>
      </c>
      <c r="J31" s="94">
        <f>+'[29]Data Input'!$CR38</f>
        <v>51</v>
      </c>
      <c r="K31" s="94">
        <f>'[30]Purchased Power Model '!G33</f>
        <v>0</v>
      </c>
      <c r="L31" s="28">
        <v>129.91798131446814</v>
      </c>
      <c r="M31" s="94"/>
      <c r="N31" s="94"/>
      <c r="O31"/>
      <c r="P31"/>
      <c r="Q31"/>
      <c r="R31"/>
      <c r="S31"/>
      <c r="X31"/>
      <c r="Y31"/>
      <c r="Z31"/>
      <c r="AA31"/>
      <c r="AB31"/>
      <c r="AC31"/>
      <c r="AD31"/>
      <c r="AE31"/>
      <c r="AF31"/>
      <c r="AG31"/>
    </row>
    <row r="32" spans="1:34" x14ac:dyDescent="0.2">
      <c r="A32" s="3">
        <v>38292</v>
      </c>
      <c r="B32" s="22">
        <f>+'[29]Data Input'!$CT39</f>
        <v>5523064.0999999996</v>
      </c>
      <c r="C32" s="19">
        <f>'[30]Purchased Power Model '!C34</f>
        <v>379.1</v>
      </c>
      <c r="D32" s="19">
        <f>'[30]Purchased Power Model '!D34</f>
        <v>0</v>
      </c>
      <c r="E32" s="96">
        <v>352.08</v>
      </c>
      <c r="F32" s="94">
        <v>1</v>
      </c>
      <c r="G32" s="94">
        <f t="shared" si="0"/>
        <v>38292</v>
      </c>
      <c r="H32" s="94">
        <v>30</v>
      </c>
      <c r="I32" s="95">
        <f>'[30]Purchased Power Model '!K34</f>
        <v>625.20000000000005</v>
      </c>
      <c r="J32" s="94">
        <f>+'[29]Data Input'!$CR39</f>
        <v>52</v>
      </c>
      <c r="K32" s="94">
        <f>'[30]Purchased Power Model '!G34</f>
        <v>0</v>
      </c>
      <c r="L32" s="28">
        <v>130.18559108448443</v>
      </c>
      <c r="M32" s="94"/>
      <c r="N32" s="94"/>
      <c r="O32"/>
      <c r="P32"/>
      <c r="Q32"/>
      <c r="R32"/>
      <c r="S32"/>
      <c r="X32"/>
      <c r="Y32"/>
      <c r="Z32"/>
      <c r="AA32"/>
      <c r="AB32"/>
      <c r="AC32"/>
      <c r="AD32"/>
      <c r="AE32"/>
      <c r="AF32"/>
      <c r="AG32"/>
    </row>
    <row r="33" spans="1:33" x14ac:dyDescent="0.2">
      <c r="A33" s="3">
        <v>38322</v>
      </c>
      <c r="B33" s="22">
        <f>+'[29]Data Input'!$CT40</f>
        <v>5882976.4600000009</v>
      </c>
      <c r="C33" s="19">
        <f>'[30]Purchased Power Model '!C35</f>
        <v>643.4</v>
      </c>
      <c r="D33" s="19">
        <f>'[30]Purchased Power Model '!D35</f>
        <v>0</v>
      </c>
      <c r="E33" s="96">
        <v>336.28800000000001</v>
      </c>
      <c r="F33" s="94">
        <v>0</v>
      </c>
      <c r="G33" s="94">
        <f t="shared" si="0"/>
        <v>38322</v>
      </c>
      <c r="H33" s="94">
        <v>31</v>
      </c>
      <c r="I33" s="95">
        <f>'[30]Purchased Power Model '!K35</f>
        <v>628.4</v>
      </c>
      <c r="J33" s="94">
        <f>+'[29]Data Input'!$CR40</f>
        <v>54</v>
      </c>
      <c r="K33" s="94">
        <f>'[30]Purchased Power Model '!G35</f>
        <v>0</v>
      </c>
      <c r="L33" s="28">
        <v>130.45375208681136</v>
      </c>
      <c r="M33" s="94"/>
      <c r="N33" s="94"/>
      <c r="O33"/>
      <c r="P33"/>
      <c r="Q33"/>
      <c r="R33"/>
      <c r="S33"/>
      <c r="X33"/>
      <c r="Y33"/>
      <c r="Z33"/>
      <c r="AA33"/>
      <c r="AB33"/>
      <c r="AC33"/>
      <c r="AD33"/>
      <c r="AE33"/>
      <c r="AF33"/>
      <c r="AG33"/>
    </row>
    <row r="34" spans="1:33" x14ac:dyDescent="0.2">
      <c r="A34" s="3">
        <v>38353</v>
      </c>
      <c r="B34" s="22">
        <f>+'[29]Data Input'!$CT41</f>
        <v>5416459.29</v>
      </c>
      <c r="C34" s="19">
        <f>'[30]Purchased Power Model '!C36</f>
        <v>770</v>
      </c>
      <c r="D34" s="19">
        <f>'[30]Purchased Power Model '!D36</f>
        <v>0</v>
      </c>
      <c r="E34" s="96">
        <v>319.92</v>
      </c>
      <c r="F34" s="94">
        <v>0</v>
      </c>
      <c r="G34" s="94">
        <f t="shared" si="0"/>
        <v>38353</v>
      </c>
      <c r="H34" s="94">
        <v>31</v>
      </c>
      <c r="I34" s="95">
        <f>'[30]Purchased Power Model '!K36</f>
        <v>629.5</v>
      </c>
      <c r="J34" s="94">
        <f>+'[29]Data Input'!$CR41</f>
        <v>54</v>
      </c>
      <c r="K34" s="94">
        <f>'[30]Purchased Power Model '!G36</f>
        <v>0</v>
      </c>
      <c r="L34" s="28">
        <v>130.74370215685079</v>
      </c>
      <c r="M34" s="94"/>
      <c r="N34" s="94"/>
      <c r="O34"/>
      <c r="P34"/>
      <c r="Q34"/>
      <c r="R34"/>
      <c r="S34"/>
      <c r="X34"/>
      <c r="Y34"/>
      <c r="Z34"/>
      <c r="AA34"/>
      <c r="AB34"/>
      <c r="AC34"/>
      <c r="AD34"/>
      <c r="AE34"/>
      <c r="AF34"/>
      <c r="AG34"/>
    </row>
    <row r="35" spans="1:33" x14ac:dyDescent="0.2">
      <c r="A35" s="3">
        <v>38384</v>
      </c>
      <c r="B35" s="22">
        <f>+'[29]Data Input'!$CT42</f>
        <v>5733803.1699999999</v>
      </c>
      <c r="C35" s="19">
        <f>'[30]Purchased Power Model '!C37</f>
        <v>616.4</v>
      </c>
      <c r="D35" s="19">
        <f>'[30]Purchased Power Model '!D37</f>
        <v>0</v>
      </c>
      <c r="E35" s="96">
        <v>319.87200000000001</v>
      </c>
      <c r="F35" s="94">
        <v>0</v>
      </c>
      <c r="G35" s="94">
        <f t="shared" ref="G35:G66" si="1">A35</f>
        <v>38384</v>
      </c>
      <c r="H35" s="94">
        <v>28</v>
      </c>
      <c r="I35" s="95">
        <f>'[30]Purchased Power Model '!K37</f>
        <v>630.9</v>
      </c>
      <c r="J35" s="94">
        <f>+'[29]Data Input'!$CR42</f>
        <v>53</v>
      </c>
      <c r="K35" s="94">
        <f>'[30]Purchased Power Model '!G37</f>
        <v>0</v>
      </c>
      <c r="L35" s="28">
        <v>131.0342966778299</v>
      </c>
      <c r="M35" s="94"/>
      <c r="N35" s="94"/>
      <c r="O35"/>
      <c r="P35"/>
      <c r="Q35"/>
      <c r="R35"/>
      <c r="S35"/>
      <c r="X35"/>
      <c r="Y35"/>
      <c r="Z35"/>
      <c r="AA35"/>
      <c r="AB35"/>
      <c r="AC35"/>
      <c r="AD35"/>
      <c r="AE35"/>
      <c r="AF35"/>
      <c r="AG35"/>
    </row>
    <row r="36" spans="1:33" x14ac:dyDescent="0.2">
      <c r="A36" s="3">
        <v>38412</v>
      </c>
      <c r="B36" s="22">
        <f>+'[29]Data Input'!$CT43</f>
        <v>5188433.16</v>
      </c>
      <c r="C36" s="19">
        <f>'[30]Purchased Power Model '!C38</f>
        <v>608.6</v>
      </c>
      <c r="D36" s="19">
        <f>'[30]Purchased Power Model '!D38</f>
        <v>0</v>
      </c>
      <c r="E36" s="96">
        <v>351.91199999999998</v>
      </c>
      <c r="F36" s="94">
        <v>1</v>
      </c>
      <c r="G36" s="94">
        <f t="shared" si="1"/>
        <v>38412</v>
      </c>
      <c r="H36" s="94">
        <v>31</v>
      </c>
      <c r="I36" s="95">
        <f>'[30]Purchased Power Model '!K38</f>
        <v>628.1</v>
      </c>
      <c r="J36" s="94">
        <f>+'[29]Data Input'!$CR43</f>
        <v>53</v>
      </c>
      <c r="K36" s="94">
        <f>'[30]Purchased Power Model '!G38</f>
        <v>0</v>
      </c>
      <c r="L36" s="28">
        <v>131.32553708212293</v>
      </c>
      <c r="M36" s="94"/>
      <c r="N36" s="94"/>
      <c r="O36"/>
      <c r="P36"/>
      <c r="Q36"/>
      <c r="R36"/>
      <c r="S36"/>
      <c r="X36"/>
      <c r="Y36"/>
      <c r="Z36"/>
      <c r="AA36"/>
      <c r="AB36"/>
      <c r="AC36"/>
      <c r="AD36"/>
      <c r="AE36"/>
      <c r="AF36"/>
      <c r="AG36"/>
    </row>
    <row r="37" spans="1:33" x14ac:dyDescent="0.2">
      <c r="A37" s="3">
        <v>38443</v>
      </c>
      <c r="B37" s="22">
        <f>+'[29]Data Input'!$CT44</f>
        <v>4911190.78</v>
      </c>
      <c r="C37" s="19">
        <f>'[30]Purchased Power Model '!C39</f>
        <v>306.8</v>
      </c>
      <c r="D37" s="19">
        <f>'[30]Purchased Power Model '!D39</f>
        <v>0</v>
      </c>
      <c r="E37" s="96">
        <v>336.24</v>
      </c>
      <c r="F37" s="94">
        <v>1</v>
      </c>
      <c r="G37" s="94">
        <f t="shared" si="1"/>
        <v>38443</v>
      </c>
      <c r="H37" s="94">
        <v>30</v>
      </c>
      <c r="I37" s="95">
        <f>'[30]Purchased Power Model '!K39</f>
        <v>631.29999999999995</v>
      </c>
      <c r="J37" s="94">
        <f>+'[29]Data Input'!$CR44</f>
        <v>51</v>
      </c>
      <c r="K37" s="94">
        <f>'[30]Purchased Power Model '!G39</f>
        <v>0</v>
      </c>
      <c r="L37" s="28">
        <v>131.61742480528775</v>
      </c>
      <c r="M37" s="94"/>
      <c r="N37" s="94"/>
      <c r="O37"/>
      <c r="P37"/>
      <c r="Q37"/>
      <c r="R37"/>
      <c r="S37"/>
      <c r="X37"/>
      <c r="Y37"/>
      <c r="Z37"/>
      <c r="AA37"/>
      <c r="AB37"/>
      <c r="AC37"/>
      <c r="AD37"/>
      <c r="AE37"/>
      <c r="AF37"/>
      <c r="AG37"/>
    </row>
    <row r="38" spans="1:33" x14ac:dyDescent="0.2">
      <c r="A38" s="3">
        <v>38473</v>
      </c>
      <c r="B38" s="22">
        <f>+'[29]Data Input'!$CT45</f>
        <v>4916161.99</v>
      </c>
      <c r="C38" s="19">
        <f>'[30]Purchased Power Model '!C40</f>
        <v>189.4</v>
      </c>
      <c r="D38" s="19">
        <f>'[30]Purchased Power Model '!D40</f>
        <v>0.8</v>
      </c>
      <c r="E38" s="96">
        <v>336.28800000000001</v>
      </c>
      <c r="F38" s="94">
        <v>1</v>
      </c>
      <c r="G38" s="94">
        <f t="shared" si="1"/>
        <v>38473</v>
      </c>
      <c r="H38" s="94">
        <v>31</v>
      </c>
      <c r="I38" s="95">
        <f>'[30]Purchased Power Model '!K40</f>
        <v>638.6</v>
      </c>
      <c r="J38" s="94">
        <f>+'[29]Data Input'!$CR45</f>
        <v>52</v>
      </c>
      <c r="K38" s="94">
        <f>'[30]Purchased Power Model '!G40</f>
        <v>0</v>
      </c>
      <c r="L38" s="28">
        <v>131.90996128607298</v>
      </c>
      <c r="M38" s="94"/>
      <c r="N38" s="94"/>
      <c r="O38"/>
      <c r="P38"/>
      <c r="Q38"/>
      <c r="R38"/>
      <c r="S38"/>
      <c r="X38"/>
      <c r="Y38"/>
      <c r="Z38"/>
      <c r="AA38"/>
      <c r="AB38"/>
      <c r="AC38"/>
      <c r="AD38"/>
      <c r="AE38"/>
      <c r="AF38"/>
      <c r="AG38"/>
    </row>
    <row r="39" spans="1:33" x14ac:dyDescent="0.2">
      <c r="A39" s="3">
        <v>38504</v>
      </c>
      <c r="B39" s="22">
        <f>+'[29]Data Input'!$CT46</f>
        <v>5204983.3499999996</v>
      </c>
      <c r="C39" s="19">
        <f>'[30]Purchased Power Model '!C41</f>
        <v>8.9</v>
      </c>
      <c r="D39" s="19">
        <f>'[30]Purchased Power Model '!D41</f>
        <v>146.30000000000001</v>
      </c>
      <c r="E39" s="96">
        <v>352.08</v>
      </c>
      <c r="F39" s="94">
        <v>0</v>
      </c>
      <c r="G39" s="94">
        <f t="shared" si="1"/>
        <v>38504</v>
      </c>
      <c r="H39" s="94">
        <v>30</v>
      </c>
      <c r="I39" s="95">
        <f>'[30]Purchased Power Model '!K41</f>
        <v>648.1</v>
      </c>
      <c r="J39" s="94">
        <f>+'[29]Data Input'!$CR46</f>
        <v>51</v>
      </c>
      <c r="K39" s="94">
        <f>'[30]Purchased Power Model '!G41</f>
        <v>0</v>
      </c>
      <c r="L39" s="28">
        <v>132.20314796642501</v>
      </c>
      <c r="M39" s="94"/>
      <c r="N39" s="94"/>
      <c r="O39"/>
      <c r="P39"/>
      <c r="Q39"/>
      <c r="R39"/>
      <c r="S39"/>
      <c r="X39"/>
      <c r="Y39"/>
      <c r="Z39"/>
      <c r="AA39"/>
      <c r="AB39"/>
      <c r="AC39"/>
      <c r="AD39"/>
      <c r="AE39"/>
      <c r="AF39"/>
      <c r="AG39"/>
    </row>
    <row r="40" spans="1:33" x14ac:dyDescent="0.2">
      <c r="A40" s="3">
        <v>38534</v>
      </c>
      <c r="B40" s="22">
        <f>+'[29]Data Input'!$CT47</f>
        <v>5071710.47</v>
      </c>
      <c r="C40" s="19">
        <f>'[30]Purchased Power Model '!C42</f>
        <v>0</v>
      </c>
      <c r="D40" s="19">
        <f>'[30]Purchased Power Model '!D42</f>
        <v>188.7</v>
      </c>
      <c r="E40" s="96">
        <v>319.92</v>
      </c>
      <c r="F40" s="94">
        <v>0</v>
      </c>
      <c r="G40" s="94">
        <f t="shared" si="1"/>
        <v>38534</v>
      </c>
      <c r="H40" s="94">
        <v>31</v>
      </c>
      <c r="I40" s="95">
        <f>'[30]Purchased Power Model '!K42</f>
        <v>653.1</v>
      </c>
      <c r="J40" s="94">
        <f>+'[29]Data Input'!$CR47</f>
        <v>51</v>
      </c>
      <c r="K40" s="94">
        <f>'[30]Purchased Power Model '!G42</f>
        <v>0</v>
      </c>
      <c r="L40" s="28">
        <v>132.49698629149512</v>
      </c>
      <c r="M40" s="94"/>
      <c r="N40" s="94"/>
      <c r="O40"/>
      <c r="P40"/>
      <c r="Q40"/>
      <c r="R40"/>
      <c r="S40"/>
      <c r="X40"/>
      <c r="Y40"/>
      <c r="Z40"/>
      <c r="AA40"/>
      <c r="AB40"/>
      <c r="AC40"/>
      <c r="AD40"/>
      <c r="AE40"/>
      <c r="AF40"/>
      <c r="AG40"/>
    </row>
    <row r="41" spans="1:33" x14ac:dyDescent="0.2">
      <c r="A41" s="3">
        <v>38565</v>
      </c>
      <c r="B41" s="22">
        <f>+'[29]Data Input'!$CT48</f>
        <v>5408583.5099999998</v>
      </c>
      <c r="C41" s="19">
        <f>'[30]Purchased Power Model '!C43</f>
        <v>0.2</v>
      </c>
      <c r="D41" s="19">
        <f>'[30]Purchased Power Model '!D43</f>
        <v>140.69999999999999</v>
      </c>
      <c r="E41" s="96">
        <v>351.91199999999998</v>
      </c>
      <c r="F41" s="94">
        <v>0</v>
      </c>
      <c r="G41" s="94">
        <f t="shared" si="1"/>
        <v>38565</v>
      </c>
      <c r="H41" s="94">
        <v>31</v>
      </c>
      <c r="I41" s="95">
        <f>'[30]Purchased Power Model '!K43</f>
        <v>655.6</v>
      </c>
      <c r="J41" s="94">
        <f>+'[29]Data Input'!$CR48</f>
        <v>51</v>
      </c>
      <c r="K41" s="94">
        <f>'[30]Purchased Power Model '!G43</f>
        <v>0</v>
      </c>
      <c r="L41" s="28">
        <v>132.79147770964664</v>
      </c>
      <c r="M41" s="94"/>
      <c r="N41" s="94"/>
      <c r="O41"/>
      <c r="P41"/>
      <c r="Q41"/>
      <c r="R41"/>
      <c r="S41"/>
      <c r="X41"/>
      <c r="Y41"/>
      <c r="Z41"/>
      <c r="AA41"/>
      <c r="AB41"/>
      <c r="AC41"/>
      <c r="AD41"/>
      <c r="AE41"/>
      <c r="AF41"/>
      <c r="AG41"/>
    </row>
    <row r="42" spans="1:33" x14ac:dyDescent="0.2">
      <c r="A42" s="3">
        <v>38596</v>
      </c>
      <c r="B42" s="22">
        <f>+'[29]Data Input'!$CT49</f>
        <v>5473435.2999999998</v>
      </c>
      <c r="C42" s="19">
        <f>'[30]Purchased Power Model '!C44</f>
        <v>22.6</v>
      </c>
      <c r="D42" s="19">
        <f>'[30]Purchased Power Model '!D44</f>
        <v>52.1</v>
      </c>
      <c r="E42" s="96">
        <v>336.24</v>
      </c>
      <c r="F42" s="94">
        <v>1</v>
      </c>
      <c r="G42" s="94">
        <f t="shared" si="1"/>
        <v>38596</v>
      </c>
      <c r="H42" s="94">
        <v>30</v>
      </c>
      <c r="I42" s="95">
        <f>'[30]Purchased Power Model '!K44</f>
        <v>652.20000000000005</v>
      </c>
      <c r="J42" s="94">
        <f>+'[29]Data Input'!$CR49</f>
        <v>51</v>
      </c>
      <c r="K42" s="94">
        <f>'[30]Purchased Power Model '!G44</f>
        <v>0</v>
      </c>
      <c r="L42" s="28">
        <v>133.08662367246211</v>
      </c>
      <c r="M42" s="94"/>
      <c r="N42" s="94"/>
      <c r="O42"/>
      <c r="P42"/>
      <c r="Q42"/>
      <c r="R42"/>
      <c r="S42"/>
      <c r="X42"/>
      <c r="Y42"/>
      <c r="Z42"/>
      <c r="AA42"/>
      <c r="AB42"/>
      <c r="AC42"/>
      <c r="AD42"/>
      <c r="AE42"/>
      <c r="AF42"/>
      <c r="AG42"/>
    </row>
    <row r="43" spans="1:33" x14ac:dyDescent="0.2">
      <c r="A43" s="3">
        <v>38626</v>
      </c>
      <c r="B43" s="22">
        <f>+'[29]Data Input'!$CT50</f>
        <v>5173285.620000001</v>
      </c>
      <c r="C43" s="19">
        <f>'[30]Purchased Power Model '!C45</f>
        <v>220.2</v>
      </c>
      <c r="D43" s="19">
        <f>'[30]Purchased Power Model '!D45</f>
        <v>7.6</v>
      </c>
      <c r="E43" s="96">
        <v>319.92</v>
      </c>
      <c r="F43" s="94">
        <v>1</v>
      </c>
      <c r="G43" s="94">
        <f t="shared" si="1"/>
        <v>38626</v>
      </c>
      <c r="H43" s="94">
        <v>31</v>
      </c>
      <c r="I43" s="95">
        <f>'[30]Purchased Power Model '!K45</f>
        <v>649.79999999999995</v>
      </c>
      <c r="J43" s="94">
        <f>+'[29]Data Input'!$CR50</f>
        <v>51</v>
      </c>
      <c r="K43" s="94">
        <f>'[30]Purchased Power Model '!G45</f>
        <v>0</v>
      </c>
      <c r="L43" s="28">
        <v>133.38242563475035</v>
      </c>
      <c r="M43" s="94"/>
      <c r="N43" s="94"/>
      <c r="O43"/>
      <c r="P43"/>
      <c r="Q43"/>
      <c r="R43"/>
      <c r="S43"/>
      <c r="X43"/>
      <c r="Y43"/>
      <c r="Z43"/>
      <c r="AA43"/>
      <c r="AB43"/>
      <c r="AC43"/>
      <c r="AD43"/>
      <c r="AE43"/>
      <c r="AF43"/>
      <c r="AG43"/>
    </row>
    <row r="44" spans="1:33" x14ac:dyDescent="0.2">
      <c r="A44" s="3">
        <v>38657</v>
      </c>
      <c r="B44" s="22">
        <f>+'[29]Data Input'!$CT51</f>
        <v>5132287.2</v>
      </c>
      <c r="C44" s="19">
        <f>'[30]Purchased Power Model '!C46</f>
        <v>388.4</v>
      </c>
      <c r="D44" s="19">
        <f>'[30]Purchased Power Model '!D46</f>
        <v>0</v>
      </c>
      <c r="E44" s="96">
        <v>352.08</v>
      </c>
      <c r="F44" s="94">
        <v>1</v>
      </c>
      <c r="G44" s="94">
        <f t="shared" si="1"/>
        <v>38657</v>
      </c>
      <c r="H44" s="94">
        <v>30</v>
      </c>
      <c r="I44" s="95">
        <f>'[30]Purchased Power Model '!K46</f>
        <v>643.79999999999995</v>
      </c>
      <c r="J44" s="94">
        <f>+'[29]Data Input'!$CR51</f>
        <v>51</v>
      </c>
      <c r="K44" s="94">
        <f>'[30]Purchased Power Model '!G46</f>
        <v>0</v>
      </c>
      <c r="L44" s="28">
        <v>133.67888505455369</v>
      </c>
      <c r="M44" s="94"/>
      <c r="N44" s="94"/>
      <c r="O44"/>
      <c r="P44"/>
      <c r="Q44"/>
      <c r="R44"/>
      <c r="S44"/>
      <c r="X44"/>
      <c r="Y44"/>
      <c r="Z44"/>
      <c r="AA44"/>
      <c r="AB44"/>
      <c r="AC44"/>
      <c r="AD44"/>
      <c r="AE44"/>
      <c r="AF44"/>
      <c r="AG44"/>
    </row>
    <row r="45" spans="1:33" x14ac:dyDescent="0.2">
      <c r="A45" s="3">
        <v>38687</v>
      </c>
      <c r="B45" s="22">
        <f>+'[29]Data Input'!$CT52</f>
        <v>4749649.72</v>
      </c>
      <c r="C45" s="19">
        <f>'[30]Purchased Power Model '!C47</f>
        <v>665.3</v>
      </c>
      <c r="D45" s="19">
        <f>'[30]Purchased Power Model '!D47</f>
        <v>0</v>
      </c>
      <c r="E45" s="96">
        <v>319.92</v>
      </c>
      <c r="F45" s="94">
        <v>0</v>
      </c>
      <c r="G45" s="94">
        <f t="shared" si="1"/>
        <v>38687</v>
      </c>
      <c r="H45" s="94">
        <v>31</v>
      </c>
      <c r="I45" s="95">
        <f>'[30]Purchased Power Model '!K47</f>
        <v>644.6</v>
      </c>
      <c r="J45" s="94">
        <f>+'[29]Data Input'!$CR52</f>
        <v>51</v>
      </c>
      <c r="K45" s="94">
        <f>'[30]Purchased Power Model '!G47</f>
        <v>0</v>
      </c>
      <c r="L45" s="28">
        <v>133.97600339315525</v>
      </c>
      <c r="M45" s="94"/>
      <c r="N45" s="94"/>
      <c r="O45"/>
      <c r="P45"/>
      <c r="Q45"/>
      <c r="R45"/>
      <c r="S45"/>
      <c r="X45"/>
      <c r="Y45"/>
      <c r="Z45"/>
      <c r="AA45"/>
      <c r="AB45"/>
      <c r="AC45"/>
      <c r="AD45"/>
      <c r="AE45"/>
      <c r="AF45"/>
      <c r="AG45"/>
    </row>
    <row r="46" spans="1:33" x14ac:dyDescent="0.2">
      <c r="A46" s="3">
        <v>38718</v>
      </c>
      <c r="B46" s="22">
        <f>+'[29]Data Input'!$CT53</f>
        <v>5326921.01</v>
      </c>
      <c r="C46" s="19">
        <f>'[30]Purchased Power Model '!C48</f>
        <v>551.79999999999995</v>
      </c>
      <c r="D46" s="19">
        <f>'[30]Purchased Power Model '!D48</f>
        <v>0</v>
      </c>
      <c r="E46" s="96">
        <v>336.28800000000001</v>
      </c>
      <c r="F46" s="94">
        <v>0</v>
      </c>
      <c r="G46" s="94">
        <f t="shared" si="1"/>
        <v>38718</v>
      </c>
      <c r="H46" s="94">
        <v>31</v>
      </c>
      <c r="I46" s="95">
        <f>'[30]Purchased Power Model '!K48</f>
        <v>643.6</v>
      </c>
      <c r="J46" s="94">
        <f>+'[29]Data Input'!$CR53</f>
        <v>52</v>
      </c>
      <c r="K46" s="94">
        <f>'[30]Purchased Power Model '!G48</f>
        <v>5336.8962781528307</v>
      </c>
      <c r="L46" s="28">
        <v>134.25197202423305</v>
      </c>
      <c r="M46" s="94"/>
      <c r="N46" s="94"/>
      <c r="O46"/>
      <c r="P46"/>
      <c r="Q46"/>
      <c r="R46"/>
      <c r="S46"/>
      <c r="X46"/>
      <c r="Y46"/>
      <c r="Z46"/>
      <c r="AA46"/>
      <c r="AB46"/>
      <c r="AC46"/>
      <c r="AD46"/>
      <c r="AE46"/>
      <c r="AF46"/>
      <c r="AG46"/>
    </row>
    <row r="47" spans="1:33" x14ac:dyDescent="0.2">
      <c r="A47" s="3">
        <v>38749</v>
      </c>
      <c r="B47" s="22">
        <f>+'[29]Data Input'!$CT54</f>
        <v>4342101.26</v>
      </c>
      <c r="C47" s="19">
        <f>'[30]Purchased Power Model '!C49</f>
        <v>604.29999999999995</v>
      </c>
      <c r="D47" s="19">
        <f>'[30]Purchased Power Model '!D49</f>
        <v>0</v>
      </c>
      <c r="E47" s="96">
        <v>319.87200000000001</v>
      </c>
      <c r="F47" s="94">
        <v>0</v>
      </c>
      <c r="G47" s="94">
        <f t="shared" si="1"/>
        <v>38749</v>
      </c>
      <c r="H47" s="94">
        <v>28</v>
      </c>
      <c r="I47" s="95">
        <f>'[30]Purchased Power Model '!K49</f>
        <v>642.9</v>
      </c>
      <c r="J47" s="94">
        <f>+'[29]Data Input'!$CR54</f>
        <v>54</v>
      </c>
      <c r="K47" s="94">
        <f>'[30]Purchased Power Model '!G49</f>
        <v>10673.792556305661</v>
      </c>
      <c r="L47" s="28">
        <v>134.52850910550649</v>
      </c>
      <c r="M47" s="94"/>
      <c r="N47" s="94"/>
      <c r="O47"/>
      <c r="P47"/>
      <c r="Q47"/>
      <c r="R47"/>
      <c r="S47"/>
      <c r="X47"/>
      <c r="Y47"/>
      <c r="Z47"/>
      <c r="AA47"/>
      <c r="AB47"/>
      <c r="AC47"/>
      <c r="AD47"/>
      <c r="AE47"/>
      <c r="AF47"/>
      <c r="AG47"/>
    </row>
    <row r="48" spans="1:33" x14ac:dyDescent="0.2">
      <c r="A48" s="3">
        <v>38777</v>
      </c>
      <c r="B48" s="22">
        <f>+'[29]Data Input'!$CT55</f>
        <v>5578944.3499999996</v>
      </c>
      <c r="C48" s="19">
        <f>'[30]Purchased Power Model '!C50</f>
        <v>516.6</v>
      </c>
      <c r="D48" s="19">
        <f>'[30]Purchased Power Model '!D50</f>
        <v>0</v>
      </c>
      <c r="E48" s="96">
        <v>368.28</v>
      </c>
      <c r="F48" s="94">
        <v>1</v>
      </c>
      <c r="G48" s="94">
        <f t="shared" si="1"/>
        <v>38777</v>
      </c>
      <c r="H48" s="94">
        <v>31</v>
      </c>
      <c r="I48" s="95">
        <f>'[30]Purchased Power Model '!K50</f>
        <v>641</v>
      </c>
      <c r="J48" s="94">
        <f>+'[29]Data Input'!$CR55</f>
        <v>54</v>
      </c>
      <c r="K48" s="94">
        <f>'[30]Purchased Power Model '!G50</f>
        <v>16010.688834458491</v>
      </c>
      <c r="L48" s="28">
        <v>134.80561580788986</v>
      </c>
      <c r="M48" s="94"/>
      <c r="N48" s="94"/>
      <c r="O48"/>
      <c r="P48"/>
      <c r="Q48"/>
      <c r="R48"/>
      <c r="S48"/>
      <c r="X48"/>
      <c r="Y48"/>
      <c r="Z48"/>
      <c r="AA48"/>
      <c r="AB48"/>
      <c r="AC48"/>
      <c r="AD48"/>
      <c r="AE48"/>
      <c r="AF48"/>
      <c r="AG48"/>
    </row>
    <row r="49" spans="1:33" x14ac:dyDescent="0.2">
      <c r="A49" s="3">
        <v>38808</v>
      </c>
      <c r="B49" s="22">
        <f>+'[29]Data Input'!$CT56</f>
        <v>5076820.2</v>
      </c>
      <c r="C49" s="19">
        <f>'[30]Purchased Power Model '!C51</f>
        <v>293.3</v>
      </c>
      <c r="D49" s="19">
        <f>'[30]Purchased Power Model '!D51</f>
        <v>0</v>
      </c>
      <c r="E49" s="96">
        <v>303.83999999999997</v>
      </c>
      <c r="F49" s="94">
        <v>1</v>
      </c>
      <c r="G49" s="94">
        <f t="shared" si="1"/>
        <v>38808</v>
      </c>
      <c r="H49" s="94">
        <v>30</v>
      </c>
      <c r="I49" s="95">
        <f>'[30]Purchased Power Model '!K51</f>
        <v>643.6</v>
      </c>
      <c r="J49" s="94">
        <f>+'[29]Data Input'!$CR56</f>
        <v>54</v>
      </c>
      <c r="K49" s="94">
        <f>'[30]Purchased Power Model '!G51</f>
        <v>21347.585112611323</v>
      </c>
      <c r="L49" s="28">
        <v>135.08329330470943</v>
      </c>
      <c r="M49" s="94"/>
      <c r="N49" s="94"/>
      <c r="O49"/>
      <c r="P49"/>
      <c r="Q49"/>
      <c r="R49"/>
      <c r="S49"/>
      <c r="X49"/>
      <c r="Y49"/>
      <c r="Z49"/>
      <c r="AA49"/>
      <c r="AB49"/>
      <c r="AC49"/>
      <c r="AD49"/>
      <c r="AE49"/>
      <c r="AF49"/>
      <c r="AG49"/>
    </row>
    <row r="50" spans="1:33" x14ac:dyDescent="0.2">
      <c r="A50" s="3">
        <v>38838</v>
      </c>
      <c r="B50" s="22">
        <f>+'[29]Data Input'!$CT57</f>
        <v>5306762.93</v>
      </c>
      <c r="C50" s="19">
        <f>'[30]Purchased Power Model '!C52</f>
        <v>136.9</v>
      </c>
      <c r="D50" s="19">
        <f>'[30]Purchased Power Model '!D52</f>
        <v>26</v>
      </c>
      <c r="E50" s="96">
        <v>351.91199999999998</v>
      </c>
      <c r="F50" s="94">
        <v>1</v>
      </c>
      <c r="G50" s="94">
        <f t="shared" si="1"/>
        <v>38838</v>
      </c>
      <c r="H50" s="94">
        <v>31</v>
      </c>
      <c r="I50" s="95">
        <f>'[30]Purchased Power Model '!K52</f>
        <v>652.29999999999995</v>
      </c>
      <c r="J50" s="94">
        <f>+'[29]Data Input'!$CR57</f>
        <v>53</v>
      </c>
      <c r="K50" s="94">
        <f>'[30]Purchased Power Model '!G52</f>
        <v>26684.481390764155</v>
      </c>
      <c r="L50" s="28">
        <v>135.36154277170829</v>
      </c>
      <c r="M50" s="94"/>
      <c r="N50" s="94"/>
      <c r="O50"/>
      <c r="P50"/>
      <c r="Q50"/>
      <c r="R50"/>
      <c r="S50"/>
      <c r="X50"/>
      <c r="Y50"/>
      <c r="Z50"/>
      <c r="AA50"/>
      <c r="AB50"/>
      <c r="AC50"/>
      <c r="AD50"/>
      <c r="AE50"/>
      <c r="AF50"/>
      <c r="AG50"/>
    </row>
    <row r="51" spans="1:33" x14ac:dyDescent="0.2">
      <c r="A51" s="3">
        <v>38869</v>
      </c>
      <c r="B51" s="22">
        <f>+'[29]Data Input'!$CT58</f>
        <v>5358384.63</v>
      </c>
      <c r="C51" s="19">
        <f>'[30]Purchased Power Model '!C53</f>
        <v>19.5</v>
      </c>
      <c r="D51" s="19">
        <f>'[30]Purchased Power Model '!D53</f>
        <v>73.599999999999994</v>
      </c>
      <c r="E51" s="96">
        <v>352.08</v>
      </c>
      <c r="F51" s="94">
        <v>0</v>
      </c>
      <c r="G51" s="94">
        <f t="shared" si="1"/>
        <v>38869</v>
      </c>
      <c r="H51" s="94">
        <v>30</v>
      </c>
      <c r="I51" s="95">
        <f>'[30]Purchased Power Model '!K53</f>
        <v>660</v>
      </c>
      <c r="J51" s="94">
        <f>+'[29]Data Input'!$CR58</f>
        <v>53</v>
      </c>
      <c r="K51" s="94">
        <f>'[30]Purchased Power Model '!G53</f>
        <v>32021.377668916986</v>
      </c>
      <c r="L51" s="28">
        <v>135.64036538705133</v>
      </c>
      <c r="M51" s="94"/>
      <c r="N51" s="94"/>
      <c r="O51"/>
      <c r="P51"/>
      <c r="Q51"/>
      <c r="R51"/>
      <c r="S51"/>
      <c r="X51"/>
      <c r="Y51"/>
      <c r="Z51"/>
      <c r="AA51"/>
      <c r="AB51"/>
      <c r="AC51"/>
      <c r="AD51"/>
      <c r="AE51"/>
      <c r="AF51"/>
      <c r="AG51"/>
    </row>
    <row r="52" spans="1:33" x14ac:dyDescent="0.2">
      <c r="A52" s="3">
        <v>38899</v>
      </c>
      <c r="B52" s="22">
        <f>+'[29]Data Input'!$CT59</f>
        <v>5326927.4499999993</v>
      </c>
      <c r="C52" s="19">
        <f>'[30]Purchased Power Model '!C54</f>
        <v>0</v>
      </c>
      <c r="D52" s="19">
        <f>'[30]Purchased Power Model '!D54</f>
        <v>167.3</v>
      </c>
      <c r="E52" s="96">
        <v>319.92</v>
      </c>
      <c r="F52" s="94">
        <v>0</v>
      </c>
      <c r="G52" s="94">
        <f t="shared" si="1"/>
        <v>38899</v>
      </c>
      <c r="H52" s="94">
        <v>31</v>
      </c>
      <c r="I52" s="95">
        <f>'[30]Purchased Power Model '!K54</f>
        <v>665.1</v>
      </c>
      <c r="J52" s="94">
        <f>+'[29]Data Input'!$CR59</f>
        <v>53</v>
      </c>
      <c r="K52" s="94">
        <f>'[30]Purchased Power Model '!G54</f>
        <v>37358.273947069814</v>
      </c>
      <c r="L52" s="28">
        <v>135.9197623313303</v>
      </c>
      <c r="M52" s="94"/>
      <c r="N52" s="94"/>
      <c r="O52"/>
      <c r="P52"/>
      <c r="Q52"/>
      <c r="R52"/>
      <c r="S52"/>
      <c r="X52"/>
      <c r="Y52"/>
      <c r="Z52"/>
      <c r="AA52"/>
      <c r="AB52"/>
      <c r="AC52"/>
      <c r="AD52"/>
      <c r="AE52"/>
      <c r="AF52"/>
      <c r="AG52"/>
    </row>
    <row r="53" spans="1:33" x14ac:dyDescent="0.2">
      <c r="A53" s="3">
        <v>38930</v>
      </c>
      <c r="B53" s="22">
        <f>+'[29]Data Input'!$CT60</f>
        <v>5711093.0500000007</v>
      </c>
      <c r="C53" s="19">
        <f>'[30]Purchased Power Model '!C55</f>
        <v>4.2</v>
      </c>
      <c r="D53" s="19">
        <f>'[30]Purchased Power Model '!D55</f>
        <v>101.6</v>
      </c>
      <c r="E53" s="96">
        <v>351.91199999999998</v>
      </c>
      <c r="F53" s="94">
        <v>0</v>
      </c>
      <c r="G53" s="94">
        <f t="shared" si="1"/>
        <v>38930</v>
      </c>
      <c r="H53" s="94">
        <v>31</v>
      </c>
      <c r="I53" s="95">
        <f>'[30]Purchased Power Model '!K55</f>
        <v>667.3</v>
      </c>
      <c r="J53" s="94">
        <f>+'[29]Data Input'!$CR60</f>
        <v>53</v>
      </c>
      <c r="K53" s="94">
        <f>'[30]Purchased Power Model '!G55</f>
        <v>42695.170225222646</v>
      </c>
      <c r="L53" s="28">
        <v>136.19973478756879</v>
      </c>
      <c r="M53" s="94"/>
      <c r="N53" s="94"/>
      <c r="O53"/>
      <c r="P53"/>
      <c r="Q53"/>
      <c r="R53"/>
      <c r="S53"/>
      <c r="X53"/>
      <c r="Y53"/>
      <c r="Z53"/>
      <c r="AA53"/>
      <c r="AB53"/>
      <c r="AC53"/>
      <c r="AD53"/>
      <c r="AE53"/>
      <c r="AF53"/>
      <c r="AG53"/>
    </row>
    <row r="54" spans="1:33" x14ac:dyDescent="0.2">
      <c r="A54" s="3">
        <v>38961</v>
      </c>
      <c r="B54" s="22">
        <f>+'[29]Data Input'!$CT61</f>
        <v>5117143.32</v>
      </c>
      <c r="C54" s="19">
        <f>'[30]Purchased Power Model '!C56</f>
        <v>80.900000000000006</v>
      </c>
      <c r="D54" s="19">
        <f>'[30]Purchased Power Model '!D56</f>
        <v>12.9</v>
      </c>
      <c r="E54" s="96">
        <v>319.68</v>
      </c>
      <c r="F54" s="94">
        <v>1</v>
      </c>
      <c r="G54" s="94">
        <f t="shared" si="1"/>
        <v>38961</v>
      </c>
      <c r="H54" s="94">
        <v>30</v>
      </c>
      <c r="I54" s="95">
        <f>'[30]Purchased Power Model '!K56</f>
        <v>664.9</v>
      </c>
      <c r="J54" s="94">
        <f>+'[29]Data Input'!$CR61</f>
        <v>54</v>
      </c>
      <c r="K54" s="94">
        <f>'[30]Purchased Power Model '!G56</f>
        <v>48032.066503375478</v>
      </c>
      <c r="L54" s="28">
        <v>136.48028394122719</v>
      </c>
      <c r="M54" s="94"/>
      <c r="N54" s="94"/>
      <c r="O54"/>
      <c r="P54"/>
      <c r="Q54"/>
      <c r="R54"/>
      <c r="S54"/>
      <c r="X54"/>
      <c r="Y54"/>
      <c r="Z54"/>
      <c r="AA54"/>
      <c r="AB54"/>
      <c r="AC54"/>
      <c r="AD54"/>
      <c r="AE54"/>
      <c r="AF54"/>
      <c r="AG54"/>
    </row>
    <row r="55" spans="1:33" x14ac:dyDescent="0.2">
      <c r="A55" s="3">
        <v>38991</v>
      </c>
      <c r="B55" s="22">
        <f>+'[29]Data Input'!$CT62</f>
        <v>5315238.08</v>
      </c>
      <c r="C55" s="19">
        <f>'[30]Purchased Power Model '!C57</f>
        <v>288.3</v>
      </c>
      <c r="D55" s="19">
        <f>'[30]Purchased Power Model '!D57</f>
        <v>1.1000000000000001</v>
      </c>
      <c r="E55" s="96">
        <v>336.28800000000001</v>
      </c>
      <c r="F55" s="94">
        <v>1</v>
      </c>
      <c r="G55" s="94">
        <f t="shared" si="1"/>
        <v>38991</v>
      </c>
      <c r="H55" s="94">
        <v>31</v>
      </c>
      <c r="I55" s="95">
        <f>'[30]Purchased Power Model '!K57</f>
        <v>667</v>
      </c>
      <c r="J55" s="94">
        <f>+'[29]Data Input'!$CR62</f>
        <v>54</v>
      </c>
      <c r="K55" s="94">
        <f>'[30]Purchased Power Model '!G57</f>
        <v>53368.962781528309</v>
      </c>
      <c r="L55" s="28">
        <v>136.76141098020776</v>
      </c>
      <c r="M55" s="94"/>
      <c r="N55" s="94"/>
      <c r="O55"/>
      <c r="P55"/>
      <c r="Q55"/>
      <c r="R55"/>
      <c r="S55"/>
      <c r="X55"/>
      <c r="Y55"/>
      <c r="Z55"/>
      <c r="AA55"/>
      <c r="AB55"/>
      <c r="AC55"/>
      <c r="AD55"/>
      <c r="AE55"/>
      <c r="AF55"/>
      <c r="AG55"/>
    </row>
    <row r="56" spans="1:33" x14ac:dyDescent="0.2">
      <c r="A56" s="3">
        <v>39022</v>
      </c>
      <c r="B56" s="22">
        <f>+'[29]Data Input'!$CT63</f>
        <v>5350541.74</v>
      </c>
      <c r="C56" s="19">
        <f>'[30]Purchased Power Model '!C58</f>
        <v>382.2</v>
      </c>
      <c r="D56" s="19">
        <f>'[30]Purchased Power Model '!D58</f>
        <v>0</v>
      </c>
      <c r="E56" s="96">
        <v>352.08</v>
      </c>
      <c r="F56" s="94">
        <v>1</v>
      </c>
      <c r="G56" s="94">
        <f t="shared" si="1"/>
        <v>39022</v>
      </c>
      <c r="H56" s="94">
        <v>30</v>
      </c>
      <c r="I56" s="95">
        <f>'[30]Purchased Power Model '!K58</f>
        <v>666.2</v>
      </c>
      <c r="J56" s="94">
        <f>+'[29]Data Input'!$CR63</f>
        <v>54</v>
      </c>
      <c r="K56" s="94">
        <f>'[30]Purchased Power Model '!G58</f>
        <v>58705.859059681141</v>
      </c>
      <c r="L56" s="28">
        <v>137.04311709485967</v>
      </c>
      <c r="M56" s="94"/>
      <c r="N56" s="94"/>
      <c r="O56"/>
      <c r="P56"/>
      <c r="Q56"/>
      <c r="R56"/>
      <c r="S56"/>
      <c r="X56"/>
      <c r="Y56"/>
      <c r="Z56"/>
      <c r="AA56"/>
      <c r="AB56"/>
      <c r="AC56"/>
      <c r="AD56"/>
      <c r="AE56"/>
      <c r="AF56"/>
      <c r="AG56"/>
    </row>
    <row r="57" spans="1:33" x14ac:dyDescent="0.2">
      <c r="A57" s="3">
        <v>39052</v>
      </c>
      <c r="B57" s="22">
        <f>+'[29]Data Input'!$CT64</f>
        <v>5127576.12</v>
      </c>
      <c r="C57" s="19">
        <f>'[30]Purchased Power Model '!C59</f>
        <v>500.5</v>
      </c>
      <c r="D57" s="19">
        <f>'[30]Purchased Power Model '!D59</f>
        <v>0</v>
      </c>
      <c r="E57" s="96">
        <v>304.29599999999999</v>
      </c>
      <c r="F57" s="94">
        <v>0</v>
      </c>
      <c r="G57" s="94">
        <f t="shared" si="1"/>
        <v>39052</v>
      </c>
      <c r="H57" s="94">
        <v>31</v>
      </c>
      <c r="I57" s="95">
        <f>'[30]Purchased Power Model '!K59</f>
        <v>667.7</v>
      </c>
      <c r="J57" s="94">
        <f>+'[29]Data Input'!$CR64</f>
        <v>54</v>
      </c>
      <c r="K57" s="94">
        <f>'[30]Purchased Power Model '!G59</f>
        <v>64042.755337833973</v>
      </c>
      <c r="L57" s="28">
        <v>137.32540347798411</v>
      </c>
      <c r="M57" s="94"/>
      <c r="N57" s="94"/>
      <c r="O57"/>
      <c r="P57"/>
      <c r="Q57"/>
      <c r="R57"/>
      <c r="S57"/>
      <c r="X57"/>
      <c r="Y57"/>
      <c r="Z57"/>
      <c r="AA57"/>
      <c r="AB57"/>
      <c r="AC57"/>
      <c r="AD57"/>
      <c r="AE57"/>
      <c r="AF57"/>
      <c r="AG57"/>
    </row>
    <row r="58" spans="1:33" x14ac:dyDescent="0.2">
      <c r="A58" s="3">
        <v>39083</v>
      </c>
      <c r="B58" s="22">
        <f>+'[29]Data Input'!$CT65</f>
        <v>5730787.2400000002</v>
      </c>
      <c r="C58" s="19">
        <f>'[30]Purchased Power Model '!C60</f>
        <v>647.1</v>
      </c>
      <c r="D58" s="19">
        <f>'[30]Purchased Power Model '!D60</f>
        <v>0</v>
      </c>
      <c r="E58" s="96">
        <v>351.91199999999998</v>
      </c>
      <c r="F58" s="94">
        <v>0</v>
      </c>
      <c r="G58" s="94">
        <f t="shared" si="1"/>
        <v>39083</v>
      </c>
      <c r="H58" s="94">
        <v>31</v>
      </c>
      <c r="I58" s="95">
        <f>'[30]Purchased Power Model '!K60</f>
        <v>662.2</v>
      </c>
      <c r="J58" s="94">
        <f>+'[29]Data Input'!$CR65</f>
        <v>54</v>
      </c>
      <c r="K58" s="94">
        <f>'[30]Purchased Power Model '!G60</f>
        <v>78567.686312416365</v>
      </c>
      <c r="L58" s="28">
        <v>137.58587596073079</v>
      </c>
      <c r="M58" s="94"/>
      <c r="N58" s="94"/>
      <c r="O58"/>
      <c r="P58"/>
      <c r="Q58"/>
      <c r="R58"/>
      <c r="S58"/>
      <c r="X58"/>
      <c r="Y58"/>
      <c r="Z58"/>
      <c r="AA58"/>
      <c r="AB58"/>
      <c r="AC58"/>
      <c r="AD58"/>
      <c r="AE58"/>
      <c r="AF58"/>
      <c r="AG58"/>
    </row>
    <row r="59" spans="1:33" x14ac:dyDescent="0.2">
      <c r="A59" s="3">
        <v>39114</v>
      </c>
      <c r="B59" s="22">
        <f>+'[29]Data Input'!$CT66</f>
        <v>5204196.3100000005</v>
      </c>
      <c r="C59" s="19">
        <f>'[30]Purchased Power Model '!C61</f>
        <v>740.1</v>
      </c>
      <c r="D59" s="19">
        <f>'[30]Purchased Power Model '!D61</f>
        <v>0</v>
      </c>
      <c r="E59" s="96">
        <v>319.87200000000001</v>
      </c>
      <c r="F59" s="94">
        <v>0</v>
      </c>
      <c r="G59" s="94">
        <f t="shared" si="1"/>
        <v>39114</v>
      </c>
      <c r="H59" s="94">
        <v>28</v>
      </c>
      <c r="I59" s="95">
        <f>'[30]Purchased Power Model '!K61</f>
        <v>656.8</v>
      </c>
      <c r="J59" s="94">
        <f>+'[29]Data Input'!$CR66</f>
        <v>53</v>
      </c>
      <c r="K59" s="94">
        <f>'[30]Purchased Power Model '!G61</f>
        <v>93092.617286998749</v>
      </c>
      <c r="L59" s="28">
        <v>137.84684249565245</v>
      </c>
      <c r="M59" s="94"/>
      <c r="N59" s="94"/>
      <c r="O59"/>
      <c r="P59"/>
      <c r="Q59"/>
      <c r="R59"/>
      <c r="S59"/>
      <c r="X59"/>
      <c r="Y59"/>
      <c r="Z59"/>
      <c r="AA59"/>
      <c r="AB59"/>
      <c r="AC59"/>
      <c r="AD59"/>
      <c r="AE59"/>
      <c r="AF59"/>
      <c r="AG59"/>
    </row>
    <row r="60" spans="1:33" x14ac:dyDescent="0.2">
      <c r="A60" s="3">
        <v>39142</v>
      </c>
      <c r="B60" s="22">
        <f>+'[29]Data Input'!$CT67</f>
        <v>5478827.7400000002</v>
      </c>
      <c r="C60" s="19">
        <f>'[30]Purchased Power Model '!C62</f>
        <v>546.70000000000005</v>
      </c>
      <c r="D60" s="19">
        <f>'[30]Purchased Power Model '!D62</f>
        <v>0</v>
      </c>
      <c r="E60" s="96">
        <v>351.91199999999998</v>
      </c>
      <c r="F60" s="94">
        <v>1</v>
      </c>
      <c r="G60" s="94">
        <f t="shared" si="1"/>
        <v>39142</v>
      </c>
      <c r="H60" s="94">
        <v>31</v>
      </c>
      <c r="I60" s="95">
        <f>'[30]Purchased Power Model '!K62</f>
        <v>652.20000000000005</v>
      </c>
      <c r="J60" s="94">
        <f>+'[29]Data Input'!$CR67</f>
        <v>53</v>
      </c>
      <c r="K60" s="94">
        <f>'[30]Purchased Power Model '!G62</f>
        <v>107617.54826158113</v>
      </c>
      <c r="L60" s="28">
        <v>138.10830401984444</v>
      </c>
      <c r="M60" s="94"/>
      <c r="N60" s="94"/>
      <c r="O60"/>
      <c r="P60"/>
      <c r="Q60"/>
      <c r="R60"/>
      <c r="S60"/>
      <c r="X60"/>
      <c r="Y60"/>
      <c r="Z60"/>
      <c r="AA60"/>
      <c r="AB60"/>
      <c r="AC60"/>
      <c r="AD60"/>
      <c r="AE60"/>
      <c r="AF60"/>
      <c r="AG60"/>
    </row>
    <row r="61" spans="1:33" x14ac:dyDescent="0.2">
      <c r="A61" s="3">
        <v>39173</v>
      </c>
      <c r="B61" s="22">
        <f>+'[29]Data Input'!$CT68</f>
        <v>4925344.0200000005</v>
      </c>
      <c r="C61" s="19">
        <f>'[30]Purchased Power Model '!C63</f>
        <v>356.4</v>
      </c>
      <c r="D61" s="19">
        <f>'[30]Purchased Power Model '!D63</f>
        <v>0</v>
      </c>
      <c r="E61" s="96">
        <v>319.68</v>
      </c>
      <c r="F61" s="94">
        <v>1</v>
      </c>
      <c r="G61" s="94">
        <f t="shared" si="1"/>
        <v>39173</v>
      </c>
      <c r="H61" s="94">
        <v>30</v>
      </c>
      <c r="I61" s="95">
        <f>'[30]Purchased Power Model '!K63</f>
        <v>647.4</v>
      </c>
      <c r="J61" s="94">
        <f>+'[29]Data Input'!$CR68</f>
        <v>52</v>
      </c>
      <c r="K61" s="94">
        <f>'[30]Purchased Power Model '!G63</f>
        <v>122142.47923616352</v>
      </c>
      <c r="L61" s="28">
        <v>138.37026147217955</v>
      </c>
      <c r="M61" s="94"/>
      <c r="N61" s="94"/>
      <c r="O61"/>
      <c r="P61"/>
      <c r="Q61"/>
      <c r="R61"/>
      <c r="S61"/>
      <c r="X61"/>
      <c r="Y61"/>
      <c r="Z61"/>
      <c r="AA61"/>
      <c r="AB61"/>
      <c r="AC61"/>
      <c r="AD61"/>
      <c r="AE61"/>
      <c r="AF61"/>
      <c r="AG61"/>
    </row>
    <row r="62" spans="1:33" x14ac:dyDescent="0.2">
      <c r="A62" s="3">
        <v>39203</v>
      </c>
      <c r="B62" s="22">
        <f>+'[29]Data Input'!$CT69</f>
        <v>4950939.18</v>
      </c>
      <c r="C62" s="19">
        <f>'[30]Purchased Power Model '!C64</f>
        <v>136.4</v>
      </c>
      <c r="D62" s="19">
        <f>'[30]Purchased Power Model '!D64</f>
        <v>22.4</v>
      </c>
      <c r="E62" s="96">
        <v>351.91199999999998</v>
      </c>
      <c r="F62" s="94">
        <v>1</v>
      </c>
      <c r="G62" s="94">
        <f t="shared" si="1"/>
        <v>39203</v>
      </c>
      <c r="H62" s="94">
        <v>31</v>
      </c>
      <c r="I62" s="95">
        <f>'[30]Purchased Power Model '!K64</f>
        <v>646.9</v>
      </c>
      <c r="J62" s="94">
        <f>+'[29]Data Input'!$CR69</f>
        <v>52</v>
      </c>
      <c r="K62" s="94">
        <f>'[30]Purchased Power Model '!G64</f>
        <v>136667.4102107459</v>
      </c>
      <c r="L62" s="28">
        <v>138.63271579331135</v>
      </c>
      <c r="M62" s="94"/>
      <c r="N62" s="94"/>
      <c r="O62"/>
      <c r="P62"/>
      <c r="Q62"/>
      <c r="R62"/>
      <c r="S62"/>
      <c r="X62"/>
      <c r="Y62"/>
      <c r="Z62"/>
      <c r="AA62"/>
      <c r="AB62"/>
      <c r="AC62"/>
      <c r="AD62"/>
      <c r="AE62"/>
      <c r="AF62"/>
      <c r="AG62"/>
    </row>
    <row r="63" spans="1:33" x14ac:dyDescent="0.2">
      <c r="A63" s="3">
        <v>39234</v>
      </c>
      <c r="B63" s="22">
        <f>+'[29]Data Input'!$CT70</f>
        <v>5038152.8800000008</v>
      </c>
      <c r="C63" s="19">
        <f>'[30]Purchased Power Model '!C65</f>
        <v>16.5</v>
      </c>
      <c r="D63" s="19">
        <f>'[30]Purchased Power Model '!D65</f>
        <v>99.2</v>
      </c>
      <c r="E63" s="96">
        <v>336.24</v>
      </c>
      <c r="F63" s="94">
        <v>0</v>
      </c>
      <c r="G63" s="94">
        <f t="shared" si="1"/>
        <v>39234</v>
      </c>
      <c r="H63" s="94">
        <v>30</v>
      </c>
      <c r="I63" s="95">
        <f>'[30]Purchased Power Model '!K65</f>
        <v>652.29999999999995</v>
      </c>
      <c r="J63" s="94">
        <f>+'[29]Data Input'!$CR70</f>
        <v>53</v>
      </c>
      <c r="K63" s="94">
        <f>'[30]Purchased Power Model '!G65</f>
        <v>151192.34118532829</v>
      </c>
      <c r="L63" s="28">
        <v>138.89566792567766</v>
      </c>
      <c r="M63" s="94"/>
      <c r="N63" s="94"/>
      <c r="O63"/>
      <c r="P63"/>
      <c r="Q63"/>
      <c r="R63"/>
      <c r="S63"/>
      <c r="X63"/>
      <c r="Y63"/>
      <c r="Z63"/>
      <c r="AA63"/>
      <c r="AB63"/>
      <c r="AC63"/>
      <c r="AD63"/>
      <c r="AE63"/>
      <c r="AF63"/>
      <c r="AG63"/>
    </row>
    <row r="64" spans="1:33" x14ac:dyDescent="0.2">
      <c r="A64" s="3">
        <v>39264</v>
      </c>
      <c r="B64" s="22">
        <f>+'[29]Data Input'!$CT71</f>
        <v>4787520.46</v>
      </c>
      <c r="C64" s="19">
        <f>'[30]Purchased Power Model '!C66</f>
        <v>3.2</v>
      </c>
      <c r="D64" s="19">
        <f>'[30]Purchased Power Model '!D66</f>
        <v>106.1</v>
      </c>
      <c r="E64" s="96">
        <v>336.28800000000001</v>
      </c>
      <c r="F64" s="94">
        <v>0</v>
      </c>
      <c r="G64" s="94">
        <f t="shared" si="1"/>
        <v>39264</v>
      </c>
      <c r="H64" s="94">
        <v>31</v>
      </c>
      <c r="I64" s="95">
        <f>'[30]Purchased Power Model '!K66</f>
        <v>659.9</v>
      </c>
      <c r="J64" s="94">
        <f>+'[29]Data Input'!$CR71</f>
        <v>53</v>
      </c>
      <c r="K64" s="94">
        <f>'[30]Purchased Power Model '!G66</f>
        <v>165717.27215991067</v>
      </c>
      <c r="L64" s="28">
        <v>139.1591188135038</v>
      </c>
      <c r="M64" s="94"/>
      <c r="N64" s="94"/>
      <c r="O64"/>
      <c r="P64"/>
      <c r="Q64"/>
      <c r="R64"/>
      <c r="S64"/>
      <c r="X64"/>
      <c r="Y64"/>
      <c r="Z64"/>
      <c r="AA64"/>
      <c r="AB64"/>
      <c r="AC64"/>
      <c r="AD64"/>
      <c r="AE64"/>
      <c r="AF64"/>
      <c r="AG64"/>
    </row>
    <row r="65" spans="1:33" x14ac:dyDescent="0.2">
      <c r="A65" s="3">
        <v>39295</v>
      </c>
      <c r="B65" s="22">
        <f>+'[29]Data Input'!$CT72</f>
        <v>5008395.5599999996</v>
      </c>
      <c r="C65" s="19">
        <f>'[30]Purchased Power Model '!C67</f>
        <v>5.2</v>
      </c>
      <c r="D65" s="19">
        <f>'[30]Purchased Power Model '!D67</f>
        <v>141</v>
      </c>
      <c r="E65" s="96">
        <v>351.91199999999998</v>
      </c>
      <c r="F65" s="94">
        <v>0</v>
      </c>
      <c r="G65" s="94">
        <f t="shared" si="1"/>
        <v>39295</v>
      </c>
      <c r="H65" s="94">
        <v>31</v>
      </c>
      <c r="I65" s="95">
        <f>'[30]Purchased Power Model '!K67</f>
        <v>662.1</v>
      </c>
      <c r="J65" s="94">
        <f>+'[29]Data Input'!$CR72</f>
        <v>54</v>
      </c>
      <c r="K65" s="94">
        <f>'[30]Purchased Power Model '!G67</f>
        <v>180242.20313449306</v>
      </c>
      <c r="L65" s="28">
        <v>139.42306940280611</v>
      </c>
      <c r="M65" s="94"/>
      <c r="N65" s="94"/>
      <c r="O65"/>
      <c r="P65"/>
      <c r="Q65"/>
      <c r="R65"/>
      <c r="S65"/>
      <c r="X65"/>
      <c r="Y65"/>
      <c r="Z65"/>
      <c r="AA65"/>
      <c r="AB65"/>
      <c r="AC65"/>
      <c r="AD65"/>
      <c r="AE65"/>
      <c r="AF65"/>
      <c r="AG65"/>
    </row>
    <row r="66" spans="1:33" x14ac:dyDescent="0.2">
      <c r="A66" s="3">
        <v>39326</v>
      </c>
      <c r="B66" s="22">
        <f>+'[29]Data Input'!$CT73</f>
        <v>4905752.13</v>
      </c>
      <c r="C66" s="19">
        <f>'[30]Purchased Power Model '!C68</f>
        <v>36.9</v>
      </c>
      <c r="D66" s="19">
        <f>'[30]Purchased Power Model '!D68</f>
        <v>47.5</v>
      </c>
      <c r="E66" s="96">
        <v>303.83999999999997</v>
      </c>
      <c r="F66" s="94">
        <v>1</v>
      </c>
      <c r="G66" s="94">
        <f t="shared" si="1"/>
        <v>39326</v>
      </c>
      <c r="H66" s="94">
        <v>30</v>
      </c>
      <c r="I66" s="95">
        <f>'[30]Purchased Power Model '!K68</f>
        <v>660.7</v>
      </c>
      <c r="J66" s="94">
        <f>+'[29]Data Input'!$CR73</f>
        <v>54</v>
      </c>
      <c r="K66" s="94">
        <f>'[30]Purchased Power Model '!G68</f>
        <v>194767.13410907544</v>
      </c>
      <c r="L66" s="28">
        <v>139.68752064139528</v>
      </c>
      <c r="M66" s="94"/>
      <c r="N66" s="94"/>
      <c r="O66"/>
      <c r="P66"/>
      <c r="Q66"/>
      <c r="R66"/>
      <c r="S66"/>
      <c r="X66"/>
      <c r="Y66"/>
      <c r="Z66"/>
      <c r="AA66"/>
      <c r="AB66"/>
      <c r="AC66"/>
      <c r="AD66"/>
      <c r="AE66"/>
      <c r="AF66"/>
      <c r="AG66"/>
    </row>
    <row r="67" spans="1:33" x14ac:dyDescent="0.2">
      <c r="A67" s="3">
        <v>39356</v>
      </c>
      <c r="B67" s="22">
        <f>+'[29]Data Input'!$CT74</f>
        <v>5174567.12</v>
      </c>
      <c r="C67" s="19">
        <f>'[30]Purchased Power Model '!C69</f>
        <v>137.69999999999999</v>
      </c>
      <c r="D67" s="19">
        <f>'[30]Purchased Power Model '!D69</f>
        <v>19.8</v>
      </c>
      <c r="E67" s="96">
        <v>351.91199999999998</v>
      </c>
      <c r="F67" s="94">
        <v>1</v>
      </c>
      <c r="G67" s="94">
        <f t="shared" ref="G67:G98" si="2">A67</f>
        <v>39356</v>
      </c>
      <c r="H67" s="94">
        <v>31</v>
      </c>
      <c r="I67" s="95">
        <f>'[30]Purchased Power Model '!K69</f>
        <v>662.5</v>
      </c>
      <c r="J67" s="94">
        <f>+'[29]Data Input'!$CR74</f>
        <v>54</v>
      </c>
      <c r="K67" s="94">
        <f>'[30]Purchased Power Model '!G69</f>
        <v>209292.06508365783</v>
      </c>
      <c r="L67" s="28">
        <v>139.95247347887977</v>
      </c>
      <c r="M67" s="94"/>
      <c r="N67" s="94"/>
      <c r="O67"/>
      <c r="P67"/>
      <c r="Q67"/>
      <c r="R67"/>
      <c r="S67"/>
      <c r="X67"/>
      <c r="Y67"/>
      <c r="Z67"/>
      <c r="AA67"/>
      <c r="AB67"/>
      <c r="AC67"/>
      <c r="AD67"/>
      <c r="AE67"/>
      <c r="AF67"/>
      <c r="AG67"/>
    </row>
    <row r="68" spans="1:33" x14ac:dyDescent="0.2">
      <c r="A68" s="3">
        <v>39387</v>
      </c>
      <c r="B68" s="22">
        <f>+'[29]Data Input'!$CT75</f>
        <v>5124865.54</v>
      </c>
      <c r="C68" s="19">
        <f>'[30]Purchased Power Model '!C70</f>
        <v>462.5</v>
      </c>
      <c r="D68" s="19">
        <f>'[30]Purchased Power Model '!D70</f>
        <v>0</v>
      </c>
      <c r="E68" s="96">
        <v>352.08</v>
      </c>
      <c r="F68" s="94">
        <v>1</v>
      </c>
      <c r="G68" s="94">
        <f t="shared" si="2"/>
        <v>39387</v>
      </c>
      <c r="H68" s="94">
        <v>30</v>
      </c>
      <c r="I68" s="95">
        <f>'[30]Purchased Power Model '!K70</f>
        <v>666.7</v>
      </c>
      <c r="J68" s="94">
        <f>+'[29]Data Input'!$CR75</f>
        <v>54</v>
      </c>
      <c r="K68" s="94">
        <f>'[30]Purchased Power Model '!G70</f>
        <v>223816.99605824021</v>
      </c>
      <c r="L68" s="28">
        <v>140.21792886666915</v>
      </c>
      <c r="M68" s="94"/>
      <c r="N68" s="94"/>
      <c r="O68"/>
      <c r="P68"/>
      <c r="Q68"/>
      <c r="R68"/>
      <c r="S68"/>
      <c r="X68"/>
      <c r="Y68"/>
      <c r="Z68"/>
      <c r="AA68"/>
      <c r="AB68"/>
      <c r="AC68"/>
      <c r="AD68"/>
      <c r="AE68"/>
      <c r="AF68"/>
      <c r="AG68"/>
    </row>
    <row r="69" spans="1:33" x14ac:dyDescent="0.2">
      <c r="A69" s="3">
        <v>39417</v>
      </c>
      <c r="B69" s="22">
        <f>+'[29]Data Input'!$CT76</f>
        <v>4947199.49</v>
      </c>
      <c r="C69" s="19">
        <f>'[30]Purchased Power Model '!C71</f>
        <v>630.70000000000005</v>
      </c>
      <c r="D69" s="19">
        <f>'[30]Purchased Power Model '!D71</f>
        <v>0</v>
      </c>
      <c r="E69" s="96">
        <v>304.29599999999999</v>
      </c>
      <c r="F69" s="94">
        <v>0</v>
      </c>
      <c r="G69" s="94">
        <f t="shared" si="2"/>
        <v>39417</v>
      </c>
      <c r="H69" s="94">
        <v>31</v>
      </c>
      <c r="I69" s="95">
        <f>'[30]Purchased Power Model '!K71</f>
        <v>668.5</v>
      </c>
      <c r="J69" s="94">
        <f>+'[29]Data Input'!$CR76</f>
        <v>54</v>
      </c>
      <c r="K69" s="94">
        <f>'[30]Purchased Power Model '!G71</f>
        <v>238341.9270328226</v>
      </c>
      <c r="L69" s="28">
        <v>140.48388775797773</v>
      </c>
      <c r="M69" s="94"/>
      <c r="N69" s="94"/>
      <c r="O69"/>
      <c r="P69"/>
      <c r="Q69"/>
      <c r="R69"/>
      <c r="S69"/>
      <c r="X69"/>
      <c r="Y69"/>
      <c r="Z69"/>
      <c r="AA69"/>
      <c r="AB69"/>
      <c r="AC69"/>
      <c r="AD69"/>
      <c r="AE69"/>
      <c r="AF69"/>
      <c r="AG69"/>
    </row>
    <row r="70" spans="1:33" x14ac:dyDescent="0.2">
      <c r="A70" s="3">
        <v>39448</v>
      </c>
      <c r="B70" s="22">
        <f>+'[29]Data Input'!$CT77</f>
        <v>7516255.3200000003</v>
      </c>
      <c r="C70" s="19">
        <f>'[30]Purchased Power Model '!C72</f>
        <v>623.5</v>
      </c>
      <c r="D70" s="19">
        <f>'[30]Purchased Power Model '!D72</f>
        <v>0</v>
      </c>
      <c r="E70" s="89">
        <v>352</v>
      </c>
      <c r="F70" s="94">
        <v>0</v>
      </c>
      <c r="G70" s="94">
        <f t="shared" si="2"/>
        <v>39448</v>
      </c>
      <c r="H70" s="94">
        <v>31</v>
      </c>
      <c r="I70" s="95">
        <f>'[30]Purchased Power Model '!K72</f>
        <v>661.4</v>
      </c>
      <c r="J70" s="94">
        <f>+'[29]Data Input'!$CR77</f>
        <v>55</v>
      </c>
      <c r="K70" s="94">
        <f>'[30]Purchased Power Model '!G72</f>
        <v>229402.04229052924</v>
      </c>
      <c r="L70" s="100">
        <v>140.42521823206457</v>
      </c>
      <c r="M70" s="94"/>
      <c r="N70" s="94"/>
      <c r="O70"/>
      <c r="P70"/>
      <c r="Q70"/>
      <c r="R70"/>
      <c r="S70"/>
      <c r="X70"/>
      <c r="Y70"/>
      <c r="Z70"/>
      <c r="AA70"/>
      <c r="AB70"/>
      <c r="AC70"/>
      <c r="AD70"/>
      <c r="AE70"/>
      <c r="AF70"/>
      <c r="AG70"/>
    </row>
    <row r="71" spans="1:33" x14ac:dyDescent="0.2">
      <c r="A71" s="3">
        <v>39479</v>
      </c>
      <c r="B71" s="22">
        <f>+'[29]Data Input'!$CT78</f>
        <v>5022592.38</v>
      </c>
      <c r="C71" s="19">
        <f>'[30]Purchased Power Model '!C73</f>
        <v>674.7</v>
      </c>
      <c r="D71" s="19">
        <f>'[30]Purchased Power Model '!D73</f>
        <v>0</v>
      </c>
      <c r="E71" s="89">
        <v>320</v>
      </c>
      <c r="F71" s="94">
        <v>0</v>
      </c>
      <c r="G71" s="94">
        <f t="shared" si="2"/>
        <v>39479</v>
      </c>
      <c r="H71" s="94">
        <v>29</v>
      </c>
      <c r="I71" s="95">
        <f>'[30]Purchased Power Model '!K73</f>
        <v>656.3</v>
      </c>
      <c r="J71" s="94">
        <f>+'[29]Data Input'!$CR78</f>
        <v>55</v>
      </c>
      <c r="K71" s="94">
        <f>'[30]Purchased Power Model '!G73</f>
        <v>220462.15754823587</v>
      </c>
      <c r="L71" s="100">
        <v>140.36657320798807</v>
      </c>
      <c r="M71" s="94"/>
      <c r="N71" s="94"/>
      <c r="O71"/>
      <c r="P71"/>
      <c r="Q71"/>
      <c r="R71"/>
      <c r="S71"/>
      <c r="X71"/>
      <c r="Y71"/>
      <c r="Z71"/>
      <c r="AA71"/>
      <c r="AB71"/>
      <c r="AC71"/>
      <c r="AD71"/>
      <c r="AE71"/>
      <c r="AF71"/>
      <c r="AG71"/>
    </row>
    <row r="72" spans="1:33" x14ac:dyDescent="0.2">
      <c r="A72" s="3">
        <v>39508</v>
      </c>
      <c r="B72" s="22">
        <f>+'[29]Data Input'!$CT79</f>
        <v>5716428.3399999999</v>
      </c>
      <c r="C72" s="19">
        <f>'[30]Purchased Power Model '!C74</f>
        <v>610.20000000000005</v>
      </c>
      <c r="D72" s="19">
        <f>'[30]Purchased Power Model '!D74</f>
        <v>0</v>
      </c>
      <c r="E72" s="89">
        <v>304</v>
      </c>
      <c r="F72" s="94">
        <v>1</v>
      </c>
      <c r="G72" s="94">
        <f t="shared" si="2"/>
        <v>39508</v>
      </c>
      <c r="H72" s="94">
        <v>31</v>
      </c>
      <c r="I72" s="95">
        <f>'[30]Purchased Power Model '!K74</f>
        <v>647</v>
      </c>
      <c r="J72" s="94">
        <f>+'[29]Data Input'!$CR79</f>
        <v>54</v>
      </c>
      <c r="K72" s="94">
        <f>'[30]Purchased Power Model '!G74</f>
        <v>211522.27280594251</v>
      </c>
      <c r="L72" s="100">
        <v>140.30795267551565</v>
      </c>
      <c r="M72" s="94"/>
      <c r="N72" s="94"/>
      <c r="O72"/>
      <c r="P72"/>
      <c r="Q72"/>
      <c r="R72"/>
      <c r="S72"/>
      <c r="X72"/>
      <c r="Y72"/>
      <c r="Z72"/>
      <c r="AA72"/>
      <c r="AB72"/>
      <c r="AC72"/>
      <c r="AD72"/>
      <c r="AE72"/>
      <c r="AF72"/>
      <c r="AG72"/>
    </row>
    <row r="73" spans="1:33" x14ac:dyDescent="0.2">
      <c r="A73" s="3">
        <v>39539</v>
      </c>
      <c r="B73" s="22">
        <f>+'[29]Data Input'!$CT80</f>
        <v>5351170.6399999997</v>
      </c>
      <c r="C73" s="19">
        <f>'[30]Purchased Power Model '!C75</f>
        <v>253.9</v>
      </c>
      <c r="D73" s="19">
        <f>'[30]Purchased Power Model '!D75</f>
        <v>0</v>
      </c>
      <c r="E73" s="89">
        <v>352</v>
      </c>
      <c r="F73" s="94">
        <v>1</v>
      </c>
      <c r="G73" s="94">
        <f t="shared" si="2"/>
        <v>39539</v>
      </c>
      <c r="H73" s="94">
        <v>30</v>
      </c>
      <c r="I73" s="95">
        <f>'[30]Purchased Power Model '!K75</f>
        <v>647.20000000000005</v>
      </c>
      <c r="J73" s="94">
        <f>+'[29]Data Input'!$CR80</f>
        <v>58</v>
      </c>
      <c r="K73" s="94">
        <f>'[30]Purchased Power Model '!G75</f>
        <v>202582.38806364915</v>
      </c>
      <c r="L73" s="100">
        <v>140.24935662441902</v>
      </c>
      <c r="M73" s="94"/>
      <c r="N73" s="94"/>
      <c r="O73"/>
      <c r="P73"/>
      <c r="Q73"/>
      <c r="R73"/>
      <c r="S73"/>
      <c r="X73"/>
      <c r="Y73"/>
      <c r="Z73"/>
      <c r="AA73"/>
      <c r="AB73"/>
      <c r="AC73"/>
      <c r="AD73"/>
      <c r="AE73"/>
      <c r="AF73"/>
      <c r="AG73"/>
    </row>
    <row r="74" spans="1:33" x14ac:dyDescent="0.2">
      <c r="A74" s="3">
        <v>39569</v>
      </c>
      <c r="B74" s="22">
        <f>+'[29]Data Input'!$CT81</f>
        <v>5274780.21</v>
      </c>
      <c r="C74" s="19">
        <f>'[30]Purchased Power Model '!C76</f>
        <v>193.5</v>
      </c>
      <c r="D74" s="19">
        <f>'[30]Purchased Power Model '!D76</f>
        <v>2.5</v>
      </c>
      <c r="E74" s="89">
        <v>336</v>
      </c>
      <c r="F74" s="94">
        <v>1</v>
      </c>
      <c r="G74" s="94">
        <f t="shared" si="2"/>
        <v>39569</v>
      </c>
      <c r="H74" s="94">
        <v>31</v>
      </c>
      <c r="I74" s="95">
        <f>'[30]Purchased Power Model '!K76</f>
        <v>648.79999999999995</v>
      </c>
      <c r="J74" s="94">
        <f>+'[29]Data Input'!$CR81</f>
        <v>58</v>
      </c>
      <c r="K74" s="94">
        <f>'[30]Purchased Power Model '!G76</f>
        <v>193642.50332135579</v>
      </c>
      <c r="L74" s="100">
        <v>140.19078504447415</v>
      </c>
      <c r="M74" s="94"/>
      <c r="N74" s="94"/>
      <c r="O74"/>
      <c r="P74"/>
      <c r="Q74"/>
      <c r="R74"/>
      <c r="S74"/>
      <c r="X74"/>
      <c r="Y74"/>
      <c r="Z74"/>
      <c r="AA74"/>
      <c r="AB74"/>
      <c r="AC74"/>
      <c r="AD74"/>
      <c r="AE74"/>
      <c r="AF74"/>
      <c r="AG74"/>
    </row>
    <row r="75" spans="1:33" x14ac:dyDescent="0.2">
      <c r="A75" s="3">
        <v>39600</v>
      </c>
      <c r="B75" s="22">
        <f>+'[29]Data Input'!$CT82</f>
        <v>5489928.6099999994</v>
      </c>
      <c r="C75" s="19">
        <f>'[30]Purchased Power Model '!C77</f>
        <v>22.7</v>
      </c>
      <c r="D75" s="19">
        <f>'[30]Purchased Power Model '!D77</f>
        <v>71.5</v>
      </c>
      <c r="E75" s="89">
        <v>336</v>
      </c>
      <c r="F75" s="94">
        <v>0</v>
      </c>
      <c r="G75" s="94">
        <f t="shared" si="2"/>
        <v>39600</v>
      </c>
      <c r="H75" s="94">
        <v>30</v>
      </c>
      <c r="I75" s="95">
        <f>'[30]Purchased Power Model '!K77</f>
        <v>656.8</v>
      </c>
      <c r="J75" s="94">
        <f>+'[29]Data Input'!$CR82</f>
        <v>58</v>
      </c>
      <c r="K75" s="94">
        <f>'[30]Purchased Power Model '!G77</f>
        <v>184702.61857906243</v>
      </c>
      <c r="L75" s="100">
        <v>140.13223792546131</v>
      </c>
      <c r="M75" s="94"/>
      <c r="N75" s="94"/>
      <c r="O75"/>
      <c r="P75"/>
      <c r="Q75"/>
      <c r="R75"/>
      <c r="S75"/>
      <c r="X75"/>
      <c r="Y75"/>
      <c r="Z75"/>
      <c r="AA75"/>
      <c r="AB75"/>
      <c r="AC75"/>
      <c r="AD75"/>
      <c r="AE75"/>
      <c r="AF75"/>
      <c r="AG75"/>
    </row>
    <row r="76" spans="1:33" x14ac:dyDescent="0.2">
      <c r="A76" s="3">
        <v>39630</v>
      </c>
      <c r="B76" s="22">
        <f>+'[29]Data Input'!$CT83</f>
        <v>5505551.4299999997</v>
      </c>
      <c r="C76" s="19">
        <f>'[30]Purchased Power Model '!C78</f>
        <v>1</v>
      </c>
      <c r="D76" s="19">
        <f>'[30]Purchased Power Model '!D78</f>
        <v>111</v>
      </c>
      <c r="E76" s="89">
        <v>352</v>
      </c>
      <c r="F76" s="94">
        <v>0</v>
      </c>
      <c r="G76" s="94">
        <f t="shared" si="2"/>
        <v>39630</v>
      </c>
      <c r="H76" s="94">
        <v>31</v>
      </c>
      <c r="I76" s="95">
        <f>'[30]Purchased Power Model '!K78</f>
        <v>663.6</v>
      </c>
      <c r="J76" s="94">
        <f>+'[29]Data Input'!$CR83</f>
        <v>58</v>
      </c>
      <c r="K76" s="94">
        <f>'[30]Purchased Power Model '!G78</f>
        <v>175762.73383676907</v>
      </c>
      <c r="L76" s="100">
        <v>140.07371525716499</v>
      </c>
      <c r="M76" s="94"/>
      <c r="N76" s="94"/>
      <c r="O76"/>
      <c r="P76"/>
      <c r="Q76"/>
      <c r="R76"/>
      <c r="S76"/>
      <c r="X76"/>
      <c r="Y76"/>
      <c r="Z76"/>
      <c r="AA76"/>
      <c r="AB76"/>
      <c r="AC76"/>
      <c r="AD76"/>
      <c r="AE76"/>
      <c r="AF76"/>
      <c r="AG76"/>
    </row>
    <row r="77" spans="1:33" x14ac:dyDescent="0.2">
      <c r="A77" s="3">
        <v>39661</v>
      </c>
      <c r="B77" s="22">
        <f>+'[29]Data Input'!$CT84</f>
        <v>5569239.6799999997</v>
      </c>
      <c r="C77" s="19">
        <f>'[30]Purchased Power Model '!C79</f>
        <v>12.7</v>
      </c>
      <c r="D77" s="19">
        <f>'[30]Purchased Power Model '!D79</f>
        <v>64</v>
      </c>
      <c r="E77" s="89">
        <v>320</v>
      </c>
      <c r="F77" s="94">
        <v>0</v>
      </c>
      <c r="G77" s="94">
        <f t="shared" si="2"/>
        <v>39661</v>
      </c>
      <c r="H77" s="94">
        <v>31</v>
      </c>
      <c r="I77" s="95">
        <f>'[30]Purchased Power Model '!K79</f>
        <v>666.6</v>
      </c>
      <c r="J77" s="94">
        <f>+'[29]Data Input'!$CR84</f>
        <v>58</v>
      </c>
      <c r="K77" s="94">
        <f>'[30]Purchased Power Model '!G79</f>
        <v>166822.84909447571</v>
      </c>
      <c r="L77" s="100">
        <v>140.01521702937399</v>
      </c>
      <c r="M77" s="94"/>
      <c r="N77" s="94"/>
      <c r="O77"/>
      <c r="P77"/>
      <c r="Q77"/>
      <c r="R77"/>
      <c r="S77"/>
      <c r="X77"/>
      <c r="Y77"/>
      <c r="Z77"/>
      <c r="AA77"/>
      <c r="AB77"/>
      <c r="AC77"/>
      <c r="AD77"/>
      <c r="AE77"/>
      <c r="AF77"/>
      <c r="AG77"/>
    </row>
    <row r="78" spans="1:33" x14ac:dyDescent="0.2">
      <c r="A78" s="3">
        <v>39692</v>
      </c>
      <c r="B78" s="22">
        <f>+'[29]Data Input'!$CT85</f>
        <v>5399515.9199999999</v>
      </c>
      <c r="C78" s="19">
        <f>'[30]Purchased Power Model '!C80</f>
        <v>59</v>
      </c>
      <c r="D78" s="19">
        <f>'[30]Purchased Power Model '!D80</f>
        <v>26.7</v>
      </c>
      <c r="E78" s="89">
        <v>336</v>
      </c>
      <c r="F78" s="94">
        <v>1</v>
      </c>
      <c r="G78" s="94">
        <f t="shared" si="2"/>
        <v>39692</v>
      </c>
      <c r="H78" s="94">
        <v>30</v>
      </c>
      <c r="I78" s="95">
        <f>'[30]Purchased Power Model '!K80</f>
        <v>669.7</v>
      </c>
      <c r="J78" s="94">
        <f>+'[29]Data Input'!$CR85</f>
        <v>59</v>
      </c>
      <c r="K78" s="94">
        <f>'[30]Purchased Power Model '!G80</f>
        <v>157882.96435218235</v>
      </c>
      <c r="L78" s="100">
        <v>139.95674323188132</v>
      </c>
      <c r="M78" s="94"/>
      <c r="N78" s="94"/>
      <c r="O78"/>
      <c r="P78"/>
      <c r="Q78"/>
      <c r="R78"/>
      <c r="S78"/>
      <c r="X78"/>
      <c r="Y78"/>
      <c r="Z78"/>
      <c r="AA78"/>
      <c r="AB78"/>
      <c r="AC78"/>
      <c r="AD78"/>
      <c r="AE78"/>
      <c r="AF78"/>
      <c r="AG78"/>
    </row>
    <row r="79" spans="1:33" x14ac:dyDescent="0.2">
      <c r="A79" s="3">
        <v>39722</v>
      </c>
      <c r="B79" s="22">
        <f>+'[29]Data Input'!$CT86</f>
        <v>5552895.1399999997</v>
      </c>
      <c r="C79" s="19">
        <f>'[30]Purchased Power Model '!C81</f>
        <v>278.60000000000002</v>
      </c>
      <c r="D79" s="19">
        <f>'[30]Purchased Power Model '!D81</f>
        <v>0</v>
      </c>
      <c r="E79" s="89">
        <v>352</v>
      </c>
      <c r="F79" s="94">
        <v>1</v>
      </c>
      <c r="G79" s="94">
        <f t="shared" si="2"/>
        <v>39722</v>
      </c>
      <c r="H79" s="94">
        <v>31</v>
      </c>
      <c r="I79" s="95">
        <f>'[30]Purchased Power Model '!K81</f>
        <v>673</v>
      </c>
      <c r="J79" s="94">
        <f>+'[29]Data Input'!$CR86</f>
        <v>59</v>
      </c>
      <c r="K79" s="94">
        <f>'[30]Purchased Power Model '!G81</f>
        <v>148943.07960988898</v>
      </c>
      <c r="L79" s="100">
        <v>139.89829385448431</v>
      </c>
      <c r="M79" s="94"/>
      <c r="N79" s="94"/>
      <c r="O79"/>
      <c r="P79"/>
      <c r="Q79"/>
      <c r="R79"/>
      <c r="S79"/>
      <c r="X79"/>
      <c r="Y79"/>
      <c r="Z79"/>
      <c r="AA79"/>
      <c r="AB79"/>
      <c r="AC79"/>
      <c r="AD79"/>
      <c r="AE79"/>
      <c r="AF79"/>
      <c r="AG79"/>
    </row>
    <row r="80" spans="1:33" x14ac:dyDescent="0.2">
      <c r="A80" s="3">
        <v>39753</v>
      </c>
      <c r="B80" s="22">
        <f>+'[29]Data Input'!$CT87</f>
        <v>5353309.32</v>
      </c>
      <c r="C80" s="19">
        <f>'[30]Purchased Power Model '!C82</f>
        <v>451.6</v>
      </c>
      <c r="D80" s="19">
        <f>'[30]Purchased Power Model '!D82</f>
        <v>0</v>
      </c>
      <c r="E80" s="89">
        <v>304</v>
      </c>
      <c r="F80" s="94">
        <v>1</v>
      </c>
      <c r="G80" s="94">
        <f t="shared" si="2"/>
        <v>39753</v>
      </c>
      <c r="H80" s="94">
        <v>30</v>
      </c>
      <c r="I80" s="95">
        <f>'[30]Purchased Power Model '!K82</f>
        <v>676.9</v>
      </c>
      <c r="J80" s="94">
        <f>+'[29]Data Input'!$CR87</f>
        <v>59</v>
      </c>
      <c r="K80" s="94">
        <f>'[30]Purchased Power Model '!G82</f>
        <v>140003.19486759562</v>
      </c>
      <c r="L80" s="100">
        <v>139.83986888698453</v>
      </c>
      <c r="M80" s="94"/>
      <c r="N80" s="94"/>
      <c r="O80"/>
      <c r="P80"/>
      <c r="Q80"/>
      <c r="R80"/>
      <c r="S80"/>
      <c r="X80"/>
      <c r="Y80"/>
      <c r="Z80"/>
      <c r="AA80"/>
      <c r="AB80"/>
      <c r="AC80"/>
      <c r="AD80"/>
      <c r="AE80"/>
      <c r="AF80"/>
      <c r="AG80"/>
    </row>
    <row r="81" spans="1:38" x14ac:dyDescent="0.2">
      <c r="A81" s="3">
        <v>39783</v>
      </c>
      <c r="B81" s="22">
        <f>+'[29]Data Input'!$CT88</f>
        <v>5147153.4000000004</v>
      </c>
      <c r="C81" s="19">
        <f>'[30]Purchased Power Model '!C83</f>
        <v>654.6</v>
      </c>
      <c r="D81" s="19">
        <f>'[30]Purchased Power Model '!D83</f>
        <v>0</v>
      </c>
      <c r="E81" s="89">
        <v>336</v>
      </c>
      <c r="F81" s="94">
        <v>0</v>
      </c>
      <c r="G81" s="94">
        <f t="shared" si="2"/>
        <v>39783</v>
      </c>
      <c r="H81" s="94">
        <v>31</v>
      </c>
      <c r="I81" s="95">
        <f>'[30]Purchased Power Model '!K83</f>
        <v>673.6</v>
      </c>
      <c r="J81" s="94">
        <f>+'[29]Data Input'!$CR88</f>
        <v>59</v>
      </c>
      <c r="K81" s="94">
        <f>'[30]Purchased Power Model '!G83</f>
        <v>131063.31012530225</v>
      </c>
      <c r="L81" s="100">
        <v>139.78146831918784</v>
      </c>
      <c r="M81" s="94"/>
      <c r="N81" s="94"/>
      <c r="O81"/>
      <c r="P81"/>
      <c r="Q81"/>
      <c r="R81"/>
      <c r="S81"/>
      <c r="X81"/>
      <c r="Y81"/>
      <c r="Z81"/>
      <c r="AA81"/>
      <c r="AB81"/>
      <c r="AC81"/>
      <c r="AD81"/>
      <c r="AE81"/>
      <c r="AF81"/>
      <c r="AG81"/>
    </row>
    <row r="82" spans="1:38" s="72" customFormat="1" x14ac:dyDescent="0.2">
      <c r="A82" s="3">
        <v>39814</v>
      </c>
      <c r="B82" s="22">
        <f>+'[29]Data Input'!$CT89</f>
        <v>5517120.4900000002</v>
      </c>
      <c r="C82" s="19">
        <f>'[30]Purchased Power Model '!C84</f>
        <v>830.2</v>
      </c>
      <c r="D82" s="19">
        <f>'[30]Purchased Power Model '!D84</f>
        <v>0</v>
      </c>
      <c r="E82" s="89">
        <v>336</v>
      </c>
      <c r="F82" s="94">
        <v>0</v>
      </c>
      <c r="G82" s="94">
        <f t="shared" si="2"/>
        <v>39814</v>
      </c>
      <c r="H82" s="94">
        <v>31</v>
      </c>
      <c r="I82" s="95">
        <f>'[30]Purchased Power Model '!K84</f>
        <v>662.3</v>
      </c>
      <c r="J82" s="94">
        <f>+'[29]Data Input'!$CR89</f>
        <v>59</v>
      </c>
      <c r="K82" s="94">
        <f>'[30]Purchased Power Model '!G84</f>
        <v>143659.25372164507</v>
      </c>
      <c r="L82" s="100">
        <v>139.37911160687111</v>
      </c>
      <c r="M82" s="94"/>
      <c r="N82" s="94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 s="101"/>
    </row>
    <row r="83" spans="1:38" x14ac:dyDescent="0.2">
      <c r="A83" s="3">
        <v>39845</v>
      </c>
      <c r="B83" s="22">
        <f>+'[29]Data Input'!$CT90</f>
        <v>4983742.6500000004</v>
      </c>
      <c r="C83" s="19">
        <f>'[30]Purchased Power Model '!C85</f>
        <v>606.4</v>
      </c>
      <c r="D83" s="19">
        <f>'[30]Purchased Power Model '!D85</f>
        <v>0</v>
      </c>
      <c r="E83" s="89">
        <v>304</v>
      </c>
      <c r="F83" s="94">
        <v>0</v>
      </c>
      <c r="G83" s="94">
        <f t="shared" si="2"/>
        <v>39845</v>
      </c>
      <c r="H83" s="94">
        <v>28</v>
      </c>
      <c r="I83" s="95">
        <f>'[30]Purchased Power Model '!K85</f>
        <v>649.29999999999995</v>
      </c>
      <c r="J83" s="94">
        <f>+'[29]Data Input'!$CR90</f>
        <v>59</v>
      </c>
      <c r="K83" s="94">
        <f>'[30]Purchased Power Model '!G85</f>
        <v>156255.19731798788</v>
      </c>
      <c r="L83" s="100">
        <v>138.97791306613385</v>
      </c>
      <c r="M83" s="94"/>
      <c r="N83" s="94"/>
      <c r="O83"/>
      <c r="P83"/>
      <c r="Q83"/>
      <c r="R83"/>
      <c r="S83"/>
      <c r="X83"/>
      <c r="Y83"/>
      <c r="Z83"/>
      <c r="AA83"/>
      <c r="AB83"/>
      <c r="AC83"/>
      <c r="AD83"/>
      <c r="AE83"/>
      <c r="AF83"/>
      <c r="AG83"/>
    </row>
    <row r="84" spans="1:38" x14ac:dyDescent="0.2">
      <c r="A84" s="3">
        <v>39873</v>
      </c>
      <c r="B84" s="22">
        <f>+'[29]Data Input'!$CT91</f>
        <v>5208108.6300000008</v>
      </c>
      <c r="C84" s="19">
        <f>'[30]Purchased Power Model '!C86</f>
        <v>533.79999999999995</v>
      </c>
      <c r="D84" s="19">
        <f>'[30]Purchased Power Model '!D86</f>
        <v>0</v>
      </c>
      <c r="E84" s="89">
        <v>352</v>
      </c>
      <c r="F84" s="94">
        <v>1</v>
      </c>
      <c r="G84" s="94">
        <f t="shared" si="2"/>
        <v>39873</v>
      </c>
      <c r="H84" s="94">
        <v>31</v>
      </c>
      <c r="I84" s="95">
        <f>'[30]Purchased Power Model '!K86</f>
        <v>636.29999999999995</v>
      </c>
      <c r="J84" s="94">
        <f>+'[29]Data Input'!$CR91</f>
        <v>58</v>
      </c>
      <c r="K84" s="94">
        <f>'[30]Purchased Power Model '!G86</f>
        <v>168851.1409143307</v>
      </c>
      <c r="L84" s="100">
        <v>138.57786936321438</v>
      </c>
      <c r="M84" s="94"/>
      <c r="N84" s="94"/>
      <c r="O84"/>
      <c r="P84"/>
      <c r="Q84"/>
      <c r="R84"/>
      <c r="S84"/>
      <c r="X84"/>
      <c r="Y84"/>
      <c r="Z84"/>
      <c r="AA84"/>
      <c r="AB84"/>
      <c r="AC84"/>
      <c r="AD84"/>
      <c r="AE84"/>
      <c r="AF84"/>
      <c r="AG84"/>
    </row>
    <row r="85" spans="1:38" x14ac:dyDescent="0.2">
      <c r="A85" s="3">
        <v>39904</v>
      </c>
      <c r="B85" s="22">
        <f>+'[29]Data Input'!$CT92</f>
        <v>5059748.74</v>
      </c>
      <c r="C85" s="19">
        <f>'[30]Purchased Power Model '!C87</f>
        <v>305.8</v>
      </c>
      <c r="D85" s="19">
        <f>'[30]Purchased Power Model '!D87</f>
        <v>1.2</v>
      </c>
      <c r="E85" s="89">
        <v>320</v>
      </c>
      <c r="F85" s="94">
        <v>1</v>
      </c>
      <c r="G85" s="94">
        <f t="shared" si="2"/>
        <v>39904</v>
      </c>
      <c r="H85" s="94">
        <v>30</v>
      </c>
      <c r="I85" s="95">
        <f>'[30]Purchased Power Model '!K87</f>
        <v>632.20000000000005</v>
      </c>
      <c r="J85" s="94">
        <f>+'[29]Data Input'!$CR92</f>
        <v>58</v>
      </c>
      <c r="K85" s="94">
        <f>'[30]Purchased Power Model '!G87</f>
        <v>181447.08451067351</v>
      </c>
      <c r="L85" s="100">
        <v>138.17897717394706</v>
      </c>
      <c r="M85" s="94"/>
      <c r="N85" s="94"/>
      <c r="O85"/>
      <c r="P85"/>
      <c r="Q85"/>
      <c r="R85"/>
      <c r="S85"/>
      <c r="X85"/>
      <c r="Y85"/>
      <c r="Z85"/>
      <c r="AA85"/>
      <c r="AB85"/>
      <c r="AC85"/>
      <c r="AD85"/>
      <c r="AE85"/>
      <c r="AF85"/>
      <c r="AG85"/>
    </row>
    <row r="86" spans="1:38" x14ac:dyDescent="0.2">
      <c r="A86" s="3">
        <v>39934</v>
      </c>
      <c r="B86" s="22">
        <f>+'[29]Data Input'!$CT93</f>
        <v>5014653.33</v>
      </c>
      <c r="C86" s="19">
        <f>'[30]Purchased Power Model '!C88</f>
        <v>158.80000000000001</v>
      </c>
      <c r="D86" s="19">
        <f>'[30]Purchased Power Model '!D88</f>
        <v>6.9</v>
      </c>
      <c r="E86" s="89">
        <v>320</v>
      </c>
      <c r="F86" s="94">
        <v>1</v>
      </c>
      <c r="G86" s="94">
        <f t="shared" si="2"/>
        <v>39934</v>
      </c>
      <c r="H86" s="94">
        <v>31</v>
      </c>
      <c r="I86" s="95">
        <f>'[30]Purchased Power Model '!K88</f>
        <v>631.70000000000005</v>
      </c>
      <c r="J86" s="94">
        <f>+'[29]Data Input'!$CR93</f>
        <v>58</v>
      </c>
      <c r="K86" s="94">
        <f>'[30]Purchased Power Model '!G88</f>
        <v>194043.02810701632</v>
      </c>
      <c r="L86" s="100">
        <v>137.78123318373483</v>
      </c>
      <c r="M86" s="94"/>
      <c r="N86" s="94"/>
      <c r="O86"/>
      <c r="P86"/>
      <c r="Q86"/>
      <c r="R86"/>
      <c r="S86"/>
      <c r="X86"/>
      <c r="Y86"/>
      <c r="Z86"/>
      <c r="AA86"/>
      <c r="AB86"/>
      <c r="AC86"/>
      <c r="AD86"/>
      <c r="AE86"/>
      <c r="AF86"/>
      <c r="AG86"/>
    </row>
    <row r="87" spans="1:38" x14ac:dyDescent="0.2">
      <c r="A87" s="3">
        <v>39965</v>
      </c>
      <c r="B87" s="22">
        <f>+'[29]Data Input'!$CT94</f>
        <v>5096481.6099999994</v>
      </c>
      <c r="C87" s="19">
        <f>'[30]Purchased Power Model '!C89</f>
        <v>49.3</v>
      </c>
      <c r="D87" s="19">
        <f>'[30]Purchased Power Model '!D89</f>
        <v>34.200000000000003</v>
      </c>
      <c r="E87" s="89">
        <v>352</v>
      </c>
      <c r="F87" s="94">
        <v>0</v>
      </c>
      <c r="G87" s="94">
        <f t="shared" si="2"/>
        <v>39965</v>
      </c>
      <c r="H87" s="94">
        <v>30</v>
      </c>
      <c r="I87" s="95">
        <f>'[30]Purchased Power Model '!K89</f>
        <v>642.70000000000005</v>
      </c>
      <c r="J87" s="94">
        <f>+'[29]Data Input'!$CR94</f>
        <v>60</v>
      </c>
      <c r="K87" s="94">
        <f>'[30]Purchased Power Model '!G89</f>
        <v>206638.97170335913</v>
      </c>
      <c r="L87" s="100">
        <v>137.38463408752156</v>
      </c>
      <c r="M87" s="94"/>
      <c r="N87" s="94"/>
      <c r="O87"/>
      <c r="P87"/>
      <c r="Q87"/>
      <c r="R87"/>
      <c r="S87"/>
      <c r="X87"/>
      <c r="Y87"/>
      <c r="Z87"/>
      <c r="AA87"/>
      <c r="AB87"/>
      <c r="AC87"/>
      <c r="AD87"/>
      <c r="AE87"/>
      <c r="AF87"/>
      <c r="AG87"/>
    </row>
    <row r="88" spans="1:38" x14ac:dyDescent="0.2">
      <c r="A88" s="3">
        <v>39995</v>
      </c>
      <c r="B88" s="22">
        <f>+'[29]Data Input'!$CT95</f>
        <v>5015960.82</v>
      </c>
      <c r="C88" s="19">
        <f>'[30]Purchased Power Model '!C90</f>
        <v>6.2</v>
      </c>
      <c r="D88" s="19">
        <f>'[30]Purchased Power Model '!D90</f>
        <v>43.7</v>
      </c>
      <c r="E88" s="89">
        <v>352</v>
      </c>
      <c r="F88" s="94">
        <v>0</v>
      </c>
      <c r="G88" s="94">
        <f t="shared" si="2"/>
        <v>39995</v>
      </c>
      <c r="H88" s="94">
        <v>31</v>
      </c>
      <c r="I88" s="95">
        <f>'[30]Purchased Power Model '!K90</f>
        <v>650</v>
      </c>
      <c r="J88" s="94">
        <f>+'[29]Data Input'!$CR95</f>
        <v>60</v>
      </c>
      <c r="K88" s="94">
        <f>'[30]Purchased Power Model '!G90</f>
        <v>219234.91529970194</v>
      </c>
      <c r="L88" s="100">
        <v>136.98917658976464</v>
      </c>
      <c r="M88" s="94"/>
      <c r="N88" s="94"/>
      <c r="O88"/>
      <c r="P88"/>
      <c r="Q88"/>
      <c r="R88"/>
      <c r="S88"/>
      <c r="X88"/>
      <c r="Y88"/>
      <c r="Z88"/>
      <c r="AA88"/>
      <c r="AB88"/>
      <c r="AC88"/>
      <c r="AD88"/>
      <c r="AE88"/>
      <c r="AF88"/>
      <c r="AG88"/>
    </row>
    <row r="89" spans="1:38" x14ac:dyDescent="0.2">
      <c r="A89" s="3">
        <v>40026</v>
      </c>
      <c r="B89" s="22">
        <f>+'[29]Data Input'!$CT96</f>
        <v>5285812.55</v>
      </c>
      <c r="C89" s="19">
        <f>'[30]Purchased Power Model '!C91</f>
        <v>9.8000000000000007</v>
      </c>
      <c r="D89" s="19">
        <f>'[30]Purchased Power Model '!D91</f>
        <v>91</v>
      </c>
      <c r="E89" s="89">
        <v>320</v>
      </c>
      <c r="F89" s="94">
        <v>0</v>
      </c>
      <c r="G89" s="94">
        <f t="shared" si="2"/>
        <v>40026</v>
      </c>
      <c r="H89" s="94">
        <v>31</v>
      </c>
      <c r="I89" s="95">
        <f>'[30]Purchased Power Model '!K91</f>
        <v>655.29999999999995</v>
      </c>
      <c r="J89" s="94">
        <f>+'[29]Data Input'!$CR96</f>
        <v>61</v>
      </c>
      <c r="K89" s="94">
        <f>'[30]Purchased Power Model '!G91</f>
        <v>231830.85889604475</v>
      </c>
      <c r="L89" s="100">
        <v>136.59485740440758</v>
      </c>
      <c r="M89" s="94"/>
      <c r="N89" s="94"/>
      <c r="O89"/>
      <c r="P89"/>
      <c r="Q89"/>
      <c r="R89"/>
      <c r="S89"/>
      <c r="X89"/>
      <c r="Y89"/>
      <c r="Z89"/>
      <c r="AA89"/>
      <c r="AB89"/>
      <c r="AC89"/>
      <c r="AD89"/>
      <c r="AE89"/>
      <c r="AF89"/>
      <c r="AG89"/>
    </row>
    <row r="90" spans="1:38" x14ac:dyDescent="0.2">
      <c r="A90" s="3">
        <v>40057</v>
      </c>
      <c r="B90" s="22">
        <f>+'[29]Data Input'!$CT97</f>
        <v>5277097.6399999997</v>
      </c>
      <c r="C90" s="19">
        <f>'[30]Purchased Power Model '!C92</f>
        <v>55.2</v>
      </c>
      <c r="D90" s="19">
        <f>'[30]Purchased Power Model '!D92</f>
        <v>20.9</v>
      </c>
      <c r="E90" s="89">
        <v>336</v>
      </c>
      <c r="F90" s="94">
        <v>1</v>
      </c>
      <c r="G90" s="94">
        <f t="shared" si="2"/>
        <v>40057</v>
      </c>
      <c r="H90" s="94">
        <v>30</v>
      </c>
      <c r="I90" s="95">
        <f>'[30]Purchased Power Model '!K92</f>
        <v>654.9</v>
      </c>
      <c r="J90" s="94">
        <f>+'[29]Data Input'!$CR97</f>
        <v>61</v>
      </c>
      <c r="K90" s="94">
        <f>'[30]Purchased Power Model '!G92</f>
        <v>244426.80249238756</v>
      </c>
      <c r="L90" s="100">
        <v>136.20167325485272</v>
      </c>
      <c r="M90" s="94"/>
      <c r="N90" s="94"/>
      <c r="O90"/>
      <c r="P90"/>
      <c r="Q90"/>
      <c r="R90"/>
      <c r="S90"/>
      <c r="X90"/>
      <c r="Y90"/>
      <c r="Z90"/>
      <c r="AA90"/>
      <c r="AB90"/>
      <c r="AC90"/>
      <c r="AD90"/>
      <c r="AE90"/>
      <c r="AF90"/>
      <c r="AG90"/>
    </row>
    <row r="91" spans="1:38" x14ac:dyDescent="0.2">
      <c r="A91" s="3">
        <v>40087</v>
      </c>
      <c r="B91" s="22">
        <f>+'[29]Data Input'!$CT98</f>
        <v>5260474.74</v>
      </c>
      <c r="C91" s="19">
        <f>'[30]Purchased Power Model '!C93</f>
        <v>287.8</v>
      </c>
      <c r="D91" s="19">
        <f>'[30]Purchased Power Model '!D93</f>
        <v>0</v>
      </c>
      <c r="E91" s="89">
        <v>336</v>
      </c>
      <c r="F91" s="94">
        <v>1</v>
      </c>
      <c r="G91" s="94">
        <f t="shared" si="2"/>
        <v>40087</v>
      </c>
      <c r="H91" s="94">
        <v>31</v>
      </c>
      <c r="I91" s="95">
        <f>'[30]Purchased Power Model '!K93</f>
        <v>656.6</v>
      </c>
      <c r="J91" s="94">
        <f>+'[29]Data Input'!$CR98</f>
        <v>62</v>
      </c>
      <c r="K91" s="94">
        <f>'[30]Purchased Power Model '!G93</f>
        <v>257022.74608873038</v>
      </c>
      <c r="L91" s="100">
        <v>135.80962087393394</v>
      </c>
      <c r="M91" s="94"/>
      <c r="N91" s="94"/>
      <c r="O91"/>
      <c r="P91"/>
      <c r="Q91"/>
      <c r="R91"/>
      <c r="S91"/>
      <c r="X91"/>
      <c r="Y91"/>
      <c r="Z91"/>
      <c r="AA91"/>
      <c r="AB91"/>
      <c r="AC91"/>
      <c r="AD91"/>
      <c r="AE91"/>
      <c r="AF91"/>
      <c r="AG91"/>
    </row>
    <row r="92" spans="1:38" x14ac:dyDescent="0.2">
      <c r="A92" s="3">
        <v>40118</v>
      </c>
      <c r="B92" s="22">
        <f>+'[29]Data Input'!$CT99</f>
        <v>5388339.9100000001</v>
      </c>
      <c r="C92" s="19">
        <f>'[30]Purchased Power Model '!C94</f>
        <v>361.2</v>
      </c>
      <c r="D92" s="19">
        <f>'[30]Purchased Power Model '!D94</f>
        <v>0</v>
      </c>
      <c r="E92" s="89">
        <v>320</v>
      </c>
      <c r="F92" s="94">
        <v>1</v>
      </c>
      <c r="G92" s="94">
        <f t="shared" si="2"/>
        <v>40118</v>
      </c>
      <c r="H92" s="94">
        <v>30</v>
      </c>
      <c r="I92" s="95">
        <f>'[30]Purchased Power Model '!K94</f>
        <v>654.79999999999995</v>
      </c>
      <c r="J92" s="94">
        <f>+'[29]Data Input'!$CR99</f>
        <v>62</v>
      </c>
      <c r="K92" s="94">
        <f>'[30]Purchased Power Model '!G94</f>
        <v>269618.68968507322</v>
      </c>
      <c r="L92" s="100">
        <v>135.41869700388958</v>
      </c>
      <c r="M92" s="94"/>
      <c r="N92" s="94"/>
      <c r="O92" s="94"/>
      <c r="P92" s="94"/>
      <c r="Q92" s="96"/>
      <c r="R92" s="38"/>
    </row>
    <row r="93" spans="1:38" s="26" customFormat="1" x14ac:dyDescent="0.2">
      <c r="A93" s="3">
        <v>40148</v>
      </c>
      <c r="B93" s="22">
        <f>+'[29]Data Input'!$CT100</f>
        <v>5299573.92</v>
      </c>
      <c r="C93" s="19">
        <f>'[30]Purchased Power Model '!C95</f>
        <v>631.29999999999995</v>
      </c>
      <c r="D93" s="19">
        <f>'[30]Purchased Power Model '!D95</f>
        <v>0</v>
      </c>
      <c r="E93" s="89">
        <v>352</v>
      </c>
      <c r="F93" s="94">
        <v>0</v>
      </c>
      <c r="G93" s="94">
        <f t="shared" si="2"/>
        <v>40148</v>
      </c>
      <c r="H93" s="94">
        <v>31</v>
      </c>
      <c r="I93" s="95">
        <f>'[30]Purchased Power Model '!K95</f>
        <v>652.29999999999995</v>
      </c>
      <c r="J93" s="94">
        <f>+'[29]Data Input'!$CR100</f>
        <v>62</v>
      </c>
      <c r="K93" s="94">
        <f>'[30]Purchased Power Model '!G95</f>
        <v>282214.63328141603</v>
      </c>
      <c r="L93" s="100">
        <v>135.02889839633545</v>
      </c>
      <c r="M93" s="94"/>
      <c r="N93" s="94"/>
      <c r="O93" s="94"/>
      <c r="P93" s="94"/>
      <c r="Q93" s="96"/>
      <c r="R93" s="38"/>
      <c r="S93" s="89"/>
      <c r="T93"/>
      <c r="U93"/>
      <c r="V93"/>
      <c r="W93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/>
      <c r="AI93"/>
      <c r="AJ93"/>
      <c r="AK93"/>
      <c r="AL93" s="22"/>
    </row>
    <row r="94" spans="1:38" x14ac:dyDescent="0.2">
      <c r="A94" s="3">
        <v>40179</v>
      </c>
      <c r="B94" s="22">
        <f>+'[29]Data Input'!$CT101</f>
        <v>5555439.0600000005</v>
      </c>
      <c r="C94" s="19">
        <f>'[30]Purchased Power Model '!C96</f>
        <v>720</v>
      </c>
      <c r="D94" s="19">
        <f>'[30]Purchased Power Model '!D96</f>
        <v>0</v>
      </c>
      <c r="E94" s="89">
        <v>320</v>
      </c>
      <c r="F94" s="94">
        <v>0</v>
      </c>
      <c r="G94" s="94">
        <f t="shared" si="2"/>
        <v>40179</v>
      </c>
      <c r="H94" s="94">
        <v>31</v>
      </c>
      <c r="I94" s="95">
        <f>'[30]Purchased Power Model '!K96</f>
        <v>646</v>
      </c>
      <c r="J94" s="94">
        <f>+'[29]Data Input'!$CR101</f>
        <v>62</v>
      </c>
      <c r="K94" s="94">
        <f>'[30]Purchased Power Model '!G96</f>
        <v>273285.76999982441</v>
      </c>
      <c r="L94" s="100">
        <v>135.32901731143812</v>
      </c>
      <c r="M94" s="94"/>
      <c r="N94" s="94"/>
      <c r="O94" s="94"/>
      <c r="P94" s="94"/>
      <c r="Q94" s="96"/>
      <c r="R94" s="38"/>
    </row>
    <row r="95" spans="1:38" x14ac:dyDescent="0.2">
      <c r="A95" s="3">
        <v>40210</v>
      </c>
      <c r="B95" s="22">
        <f>+'[29]Data Input'!$CT102</f>
        <v>5013773.95</v>
      </c>
      <c r="C95" s="19">
        <f>'[30]Purchased Power Model '!C97</f>
        <v>598.29999999999995</v>
      </c>
      <c r="D95" s="19">
        <f>'[30]Purchased Power Model '!D97</f>
        <v>0</v>
      </c>
      <c r="E95" s="89">
        <v>304</v>
      </c>
      <c r="F95" s="94">
        <v>0</v>
      </c>
      <c r="G95" s="94">
        <f t="shared" si="2"/>
        <v>40210</v>
      </c>
      <c r="H95" s="94">
        <v>28</v>
      </c>
      <c r="I95" s="95">
        <f>'[30]Purchased Power Model '!K97</f>
        <v>642.29999999999995</v>
      </c>
      <c r="J95" s="94">
        <f>+'[29]Data Input'!$CR102</f>
        <v>60</v>
      </c>
      <c r="K95" s="94">
        <f>'[30]Purchased Power Model '!G97</f>
        <v>264356.90671823279</v>
      </c>
      <c r="L95" s="100">
        <v>135.62980327903304</v>
      </c>
      <c r="M95" s="94"/>
      <c r="N95" s="94"/>
      <c r="O95" s="94"/>
      <c r="P95" s="94"/>
      <c r="Q95" s="96"/>
      <c r="R95" s="38"/>
    </row>
    <row r="96" spans="1:38" x14ac:dyDescent="0.2">
      <c r="A96" s="3">
        <v>40238</v>
      </c>
      <c r="B96" s="22">
        <f>+'[29]Data Input'!$CT103</f>
        <v>6205384.9399999995</v>
      </c>
      <c r="C96" s="19">
        <f>'[30]Purchased Power Model '!C98</f>
        <v>422.8</v>
      </c>
      <c r="D96" s="19">
        <f>'[30]Purchased Power Model '!D98</f>
        <v>0</v>
      </c>
      <c r="E96" s="89">
        <v>368</v>
      </c>
      <c r="F96" s="94">
        <v>1</v>
      </c>
      <c r="G96" s="94">
        <f t="shared" si="2"/>
        <v>40238</v>
      </c>
      <c r="H96" s="94">
        <v>31</v>
      </c>
      <c r="I96" s="95">
        <f>'[30]Purchased Power Model '!K98</f>
        <v>639.5</v>
      </c>
      <c r="J96" s="94">
        <f>+'[29]Data Input'!$CR103</f>
        <v>60</v>
      </c>
      <c r="K96" s="94">
        <f>'[30]Purchased Power Model '!G98</f>
        <v>255428.04343664116</v>
      </c>
      <c r="L96" s="100">
        <v>135.9312577817293</v>
      </c>
      <c r="M96" s="94"/>
      <c r="N96" s="94"/>
      <c r="O96" s="94"/>
      <c r="P96" s="94"/>
      <c r="Q96" s="96"/>
      <c r="R96" s="38"/>
    </row>
    <row r="97" spans="1:18" x14ac:dyDescent="0.2">
      <c r="A97" s="3">
        <v>40269</v>
      </c>
      <c r="B97" s="22">
        <f>+'[29]Data Input'!$CT104</f>
        <v>5049381.8100000005</v>
      </c>
      <c r="C97" s="19">
        <f>'[30]Purchased Power Model '!C99</f>
        <v>225.1</v>
      </c>
      <c r="D97" s="19">
        <f>'[30]Purchased Power Model '!D99</f>
        <v>0</v>
      </c>
      <c r="E97" s="89">
        <v>320</v>
      </c>
      <c r="F97" s="94">
        <v>1</v>
      </c>
      <c r="G97" s="94">
        <f t="shared" si="2"/>
        <v>40269</v>
      </c>
      <c r="H97" s="94">
        <v>30</v>
      </c>
      <c r="I97" s="95">
        <f>'[30]Purchased Power Model '!K99</f>
        <v>643.79999999999995</v>
      </c>
      <c r="J97" s="94">
        <f>+'[29]Data Input'!$CR104</f>
        <v>60</v>
      </c>
      <c r="K97" s="94">
        <f>'[30]Purchased Power Model '!G99</f>
        <v>246499.18015504954</v>
      </c>
      <c r="L97" s="100">
        <v>136.23338230543126</v>
      </c>
      <c r="M97" s="94"/>
      <c r="N97" s="94"/>
      <c r="O97" s="94"/>
      <c r="P97" s="94"/>
      <c r="Q97" s="96"/>
      <c r="R97" s="38"/>
    </row>
    <row r="98" spans="1:18" x14ac:dyDescent="0.2">
      <c r="A98" s="3">
        <v>40299</v>
      </c>
      <c r="B98" s="22">
        <f>+'[29]Data Input'!$CT105</f>
        <v>5353724.9700000007</v>
      </c>
      <c r="C98" s="19">
        <f>'[30]Purchased Power Model '!C100</f>
        <v>107.9</v>
      </c>
      <c r="D98" s="19">
        <f>'[30]Purchased Power Model '!D100</f>
        <v>45.7</v>
      </c>
      <c r="E98" s="89">
        <v>320</v>
      </c>
      <c r="F98" s="94">
        <v>1</v>
      </c>
      <c r="G98" s="94">
        <f t="shared" si="2"/>
        <v>40299</v>
      </c>
      <c r="H98" s="94">
        <v>31</v>
      </c>
      <c r="I98" s="95">
        <f>'[30]Purchased Power Model '!K100</f>
        <v>653.4</v>
      </c>
      <c r="J98" s="94">
        <f>+'[29]Data Input'!$CR105</f>
        <v>60</v>
      </c>
      <c r="K98" s="94">
        <f>'[30]Purchased Power Model '!G100</f>
        <v>237570.31687345792</v>
      </c>
      <c r="L98" s="100">
        <v>136.53617833934589</v>
      </c>
      <c r="M98" s="94"/>
      <c r="N98" s="94"/>
      <c r="O98" s="94"/>
      <c r="P98" s="94"/>
      <c r="Q98" s="96"/>
      <c r="R98" s="38"/>
    </row>
    <row r="99" spans="1:18" x14ac:dyDescent="0.2">
      <c r="A99" s="3">
        <v>40330</v>
      </c>
      <c r="B99" s="22">
        <f>+'[29]Data Input'!$CT106</f>
        <v>5394851.75</v>
      </c>
      <c r="C99" s="19">
        <f>'[30]Purchased Power Model '!C101</f>
        <v>21.7</v>
      </c>
      <c r="D99" s="19">
        <f>'[30]Purchased Power Model '!D101</f>
        <v>58.7</v>
      </c>
      <c r="E99" s="89">
        <v>352</v>
      </c>
      <c r="F99" s="94">
        <v>0</v>
      </c>
      <c r="G99" s="94">
        <f t="shared" ref="G99:G130" si="3">A99</f>
        <v>40330</v>
      </c>
      <c r="H99" s="94">
        <v>30</v>
      </c>
      <c r="I99" s="95">
        <f>'[30]Purchased Power Model '!K101</f>
        <v>668.5</v>
      </c>
      <c r="J99" s="94">
        <f>+'[29]Data Input'!$CR106</f>
        <v>60</v>
      </c>
      <c r="K99" s="94">
        <f>'[30]Purchased Power Model '!G101</f>
        <v>228641.4535918663</v>
      </c>
      <c r="L99" s="100">
        <v>136.83964737599013</v>
      </c>
      <c r="M99" s="94"/>
      <c r="N99" s="94"/>
      <c r="O99" s="94"/>
      <c r="P99" s="94"/>
      <c r="Q99" s="96"/>
      <c r="R99" s="38"/>
    </row>
    <row r="100" spans="1:18" x14ac:dyDescent="0.2">
      <c r="A100" s="3">
        <v>40360</v>
      </c>
      <c r="B100" s="22">
        <f>+'[29]Data Input'!$CT107</f>
        <v>5369307.0199999996</v>
      </c>
      <c r="C100" s="19">
        <f>'[30]Purchased Power Model '!C102</f>
        <v>1.8</v>
      </c>
      <c r="D100" s="19">
        <f>'[30]Purchased Power Model '!D102</f>
        <v>164.9</v>
      </c>
      <c r="E100" s="89">
        <v>336</v>
      </c>
      <c r="F100" s="94">
        <v>0</v>
      </c>
      <c r="G100" s="94">
        <f t="shared" si="3"/>
        <v>40360</v>
      </c>
      <c r="H100" s="94">
        <v>31</v>
      </c>
      <c r="I100" s="95">
        <f>'[30]Purchased Power Model '!K102</f>
        <v>680.1</v>
      </c>
      <c r="J100" s="94">
        <f>+'[29]Data Input'!$CR107</f>
        <v>60</v>
      </c>
      <c r="K100" s="94">
        <f>'[30]Purchased Power Model '!G102</f>
        <v>219712.59031027468</v>
      </c>
      <c r="L100" s="100">
        <v>137.14379091119821</v>
      </c>
      <c r="M100" s="94"/>
      <c r="N100" s="94"/>
      <c r="O100" s="94"/>
      <c r="P100" s="94"/>
      <c r="Q100" s="96"/>
      <c r="R100" s="38"/>
    </row>
    <row r="101" spans="1:18" x14ac:dyDescent="0.2">
      <c r="A101" s="3">
        <v>40391</v>
      </c>
      <c r="B101" s="22">
        <f>+'[29]Data Input'!$CT108</f>
        <v>5474714.7199999997</v>
      </c>
      <c r="C101" s="19">
        <f>'[30]Purchased Power Model '!C103</f>
        <v>2.1</v>
      </c>
      <c r="D101" s="19">
        <f>'[30]Purchased Power Model '!D103</f>
        <v>138.80000000000001</v>
      </c>
      <c r="E101" s="89">
        <v>336</v>
      </c>
      <c r="F101" s="94">
        <v>0</v>
      </c>
      <c r="G101" s="94">
        <f t="shared" si="3"/>
        <v>40391</v>
      </c>
      <c r="H101" s="94">
        <v>31</v>
      </c>
      <c r="I101" s="95">
        <f>'[30]Purchased Power Model '!K103</f>
        <v>683.1</v>
      </c>
      <c r="J101" s="94">
        <f>+'[29]Data Input'!$CR108</f>
        <v>60</v>
      </c>
      <c r="K101" s="94">
        <f>'[30]Purchased Power Model '!G103</f>
        <v>210783.72702868306</v>
      </c>
      <c r="L101" s="100">
        <v>137.44861044412903</v>
      </c>
      <c r="M101" s="94"/>
      <c r="N101" s="94"/>
      <c r="O101" s="94"/>
      <c r="P101" s="94"/>
      <c r="Q101" s="96"/>
      <c r="R101" s="38"/>
    </row>
    <row r="102" spans="1:18" x14ac:dyDescent="0.2">
      <c r="A102" s="3">
        <v>40422</v>
      </c>
      <c r="B102" s="22">
        <f>+'[29]Data Input'!$CT109</f>
        <v>5300728.08</v>
      </c>
      <c r="C102" s="19">
        <f>'[30]Purchased Power Model '!C104</f>
        <v>78.099999999999994</v>
      </c>
      <c r="D102" s="19">
        <f>'[30]Purchased Power Model '!D104</f>
        <v>31.5</v>
      </c>
      <c r="E102" s="89">
        <v>336</v>
      </c>
      <c r="F102" s="94">
        <v>1</v>
      </c>
      <c r="G102" s="94">
        <f t="shared" si="3"/>
        <v>40422</v>
      </c>
      <c r="H102" s="94">
        <v>30</v>
      </c>
      <c r="I102" s="95">
        <f>'[30]Purchased Power Model '!K104</f>
        <v>677.1</v>
      </c>
      <c r="J102" s="94">
        <f>+'[29]Data Input'!$CR109</f>
        <v>60</v>
      </c>
      <c r="K102" s="94">
        <f>'[30]Purchased Power Model '!G104</f>
        <v>201854.86374709144</v>
      </c>
      <c r="L102" s="100">
        <v>137.75410747727361</v>
      </c>
      <c r="M102" s="94"/>
      <c r="N102" s="94"/>
      <c r="O102" s="94"/>
      <c r="P102" s="94"/>
      <c r="Q102" s="96"/>
      <c r="R102" s="38"/>
    </row>
    <row r="103" spans="1:18" x14ac:dyDescent="0.2">
      <c r="A103" s="3">
        <v>40452</v>
      </c>
      <c r="B103" s="22">
        <f>+'[29]Data Input'!$CT110</f>
        <v>5245082.21</v>
      </c>
      <c r="C103" s="19">
        <f>'[30]Purchased Power Model '!C105</f>
        <v>241.6</v>
      </c>
      <c r="D103" s="19">
        <f>'[30]Purchased Power Model '!D105</f>
        <v>0</v>
      </c>
      <c r="E103" s="89">
        <v>320</v>
      </c>
      <c r="F103" s="94">
        <v>1</v>
      </c>
      <c r="G103" s="94">
        <f t="shared" si="3"/>
        <v>40452</v>
      </c>
      <c r="H103" s="94">
        <v>31</v>
      </c>
      <c r="I103" s="95">
        <f>'[30]Purchased Power Model '!K105</f>
        <v>670.2</v>
      </c>
      <c r="J103" s="94">
        <f>+'[29]Data Input'!$CR110</f>
        <v>61</v>
      </c>
      <c r="K103" s="94">
        <f>'[30]Purchased Power Model '!G105</f>
        <v>192926.00046549982</v>
      </c>
      <c r="L103" s="100">
        <v>138.06028351646239</v>
      </c>
      <c r="M103" s="94"/>
      <c r="N103" s="94"/>
      <c r="O103" s="94"/>
      <c r="P103" s="94"/>
      <c r="Q103" s="96"/>
      <c r="R103" s="38"/>
    </row>
    <row r="104" spans="1:18" x14ac:dyDescent="0.2">
      <c r="A104" s="3">
        <v>40483</v>
      </c>
      <c r="B104" s="22">
        <f>+'[29]Data Input'!$CT111</f>
        <v>5280970.4800000004</v>
      </c>
      <c r="C104" s="19">
        <f>'[30]Purchased Power Model '!C106</f>
        <v>405.3</v>
      </c>
      <c r="D104" s="19">
        <f>'[30]Purchased Power Model '!D106</f>
        <v>0</v>
      </c>
      <c r="E104" s="89">
        <v>336</v>
      </c>
      <c r="F104" s="94">
        <v>1</v>
      </c>
      <c r="G104" s="94">
        <f t="shared" si="3"/>
        <v>40483</v>
      </c>
      <c r="H104" s="94">
        <v>30</v>
      </c>
      <c r="I104" s="95">
        <f>'[30]Purchased Power Model '!K106</f>
        <v>668.1</v>
      </c>
      <c r="J104" s="94">
        <f>+'[29]Data Input'!$CR111</f>
        <v>62</v>
      </c>
      <c r="K104" s="94">
        <f>'[30]Purchased Power Model '!G106</f>
        <v>183997.1371839082</v>
      </c>
      <c r="L104" s="100">
        <v>138.36714007087275</v>
      </c>
      <c r="M104" s="94"/>
      <c r="N104" s="94"/>
      <c r="O104" s="94"/>
      <c r="P104" s="94"/>
      <c r="Q104" s="96"/>
      <c r="R104" s="38"/>
    </row>
    <row r="105" spans="1:18" x14ac:dyDescent="0.2">
      <c r="A105" s="3">
        <v>40513</v>
      </c>
      <c r="B105" s="22">
        <f>+'[29]Data Input'!$CT112</f>
        <v>5133324.76</v>
      </c>
      <c r="C105" s="19">
        <f>'[30]Purchased Power Model '!C107</f>
        <v>676.2</v>
      </c>
      <c r="D105" s="19">
        <f>'[30]Purchased Power Model '!D107</f>
        <v>0</v>
      </c>
      <c r="E105" s="89">
        <v>368</v>
      </c>
      <c r="F105" s="94">
        <v>0</v>
      </c>
      <c r="G105" s="94">
        <f t="shared" si="3"/>
        <v>40513</v>
      </c>
      <c r="H105" s="94">
        <v>31</v>
      </c>
      <c r="I105" s="95">
        <f>'[30]Purchased Power Model '!K107</f>
        <v>666.9</v>
      </c>
      <c r="J105" s="94">
        <f>+'[29]Data Input'!$CR112</f>
        <v>62</v>
      </c>
      <c r="K105" s="94">
        <f>'[30]Purchased Power Model '!G107</f>
        <v>175068.27390231658</v>
      </c>
      <c r="L105" s="100">
        <v>138.67467865303649</v>
      </c>
      <c r="M105" s="94"/>
      <c r="N105" s="94"/>
      <c r="O105" s="94"/>
      <c r="P105" s="94"/>
      <c r="Q105" s="96"/>
      <c r="R105" s="38"/>
    </row>
    <row r="106" spans="1:18" x14ac:dyDescent="0.2">
      <c r="A106" s="3">
        <v>40544</v>
      </c>
      <c r="B106" s="22">
        <f>+'[29]Data Input'!$CT113</f>
        <v>5500082.6099999994</v>
      </c>
      <c r="C106" s="19">
        <f>'[30]Purchased Power Model '!C108</f>
        <v>775.3</v>
      </c>
      <c r="D106" s="19">
        <f>'[30]Purchased Power Model '!D108</f>
        <v>0</v>
      </c>
      <c r="E106" s="89">
        <v>336</v>
      </c>
      <c r="F106" s="94">
        <v>0</v>
      </c>
      <c r="G106" s="94">
        <f t="shared" si="3"/>
        <v>40544</v>
      </c>
      <c r="H106" s="102">
        <v>31</v>
      </c>
      <c r="I106" s="95">
        <f>'[30]Purchased Power Model '!K108</f>
        <v>663.9</v>
      </c>
      <c r="J106" s="94">
        <f>+'[29]Data Input'!$CR113</f>
        <v>61</v>
      </c>
      <c r="K106" s="94">
        <f>'[30]Purchased Power Model '!G108</f>
        <v>193076.05790077086</v>
      </c>
      <c r="L106" s="100">
        <v>139.03916243618784</v>
      </c>
      <c r="M106" s="94"/>
      <c r="N106" s="94"/>
      <c r="O106" s="94"/>
      <c r="P106" s="94"/>
      <c r="Q106" s="96"/>
      <c r="R106" s="38"/>
    </row>
    <row r="107" spans="1:18" x14ac:dyDescent="0.2">
      <c r="A107" s="3">
        <v>40575</v>
      </c>
      <c r="B107" s="22">
        <f>+'[29]Data Input'!$CT114</f>
        <v>4946525.8899999997</v>
      </c>
      <c r="C107" s="19">
        <f>'[30]Purchased Power Model '!C109</f>
        <v>654.20000000000005</v>
      </c>
      <c r="D107" s="19">
        <f>'[30]Purchased Power Model '!D109</f>
        <v>0</v>
      </c>
      <c r="E107" s="89">
        <v>304</v>
      </c>
      <c r="F107" s="94">
        <v>0</v>
      </c>
      <c r="G107" s="94">
        <f t="shared" si="3"/>
        <v>40575</v>
      </c>
      <c r="H107" s="102">
        <v>28</v>
      </c>
      <c r="I107" s="95">
        <f>'[30]Purchased Power Model '!K109</f>
        <v>666.1</v>
      </c>
      <c r="J107" s="94">
        <f>+'[29]Data Input'!$CR114</f>
        <v>60</v>
      </c>
      <c r="K107" s="94">
        <f>'[30]Purchased Power Model '!G109</f>
        <v>211083.84189922514</v>
      </c>
      <c r="L107" s="100">
        <v>139.40460420553731</v>
      </c>
      <c r="M107" s="94"/>
      <c r="N107" s="94"/>
      <c r="O107" s="94"/>
      <c r="P107" s="94"/>
      <c r="Q107" s="96"/>
      <c r="R107" s="38"/>
    </row>
    <row r="108" spans="1:18" x14ac:dyDescent="0.2">
      <c r="A108" s="3">
        <v>40603</v>
      </c>
      <c r="B108" s="22">
        <f>+'[29]Data Input'!$CT115</f>
        <v>5361918.63</v>
      </c>
      <c r="C108" s="19">
        <f>'[30]Purchased Power Model '!C110</f>
        <v>572.79999999999995</v>
      </c>
      <c r="D108" s="19">
        <f>'[30]Purchased Power Model '!D110</f>
        <v>0</v>
      </c>
      <c r="E108" s="89">
        <v>368</v>
      </c>
      <c r="F108" s="94">
        <v>1</v>
      </c>
      <c r="G108" s="94">
        <f t="shared" si="3"/>
        <v>40603</v>
      </c>
      <c r="H108" s="102">
        <v>31</v>
      </c>
      <c r="I108" s="95">
        <f>'[30]Purchased Power Model '!K110</f>
        <v>671.2</v>
      </c>
      <c r="J108" s="94">
        <f>+'[29]Data Input'!$CR115</f>
        <v>60</v>
      </c>
      <c r="K108" s="94">
        <f>'[30]Purchased Power Model '!G110</f>
        <v>229091.62589767942</v>
      </c>
      <c r="L108" s="100">
        <v>139.77100647899545</v>
      </c>
      <c r="M108" s="94"/>
      <c r="N108" s="94"/>
      <c r="O108" s="94"/>
      <c r="P108" s="94"/>
      <c r="Q108" s="96"/>
      <c r="R108" s="38"/>
    </row>
    <row r="109" spans="1:18" x14ac:dyDescent="0.2">
      <c r="A109" s="3">
        <v>40634</v>
      </c>
      <c r="B109" s="22">
        <f>+'[29]Data Input'!$CT116</f>
        <v>4665343.54</v>
      </c>
      <c r="C109" s="19">
        <f>'[30]Purchased Power Model '!C111</f>
        <v>332.3</v>
      </c>
      <c r="D109" s="19">
        <f>'[30]Purchased Power Model '!D111</f>
        <v>0</v>
      </c>
      <c r="E109" s="89">
        <v>320</v>
      </c>
      <c r="F109" s="94">
        <v>1</v>
      </c>
      <c r="G109" s="94">
        <f t="shared" si="3"/>
        <v>40634</v>
      </c>
      <c r="H109" s="102">
        <v>30</v>
      </c>
      <c r="I109" s="95">
        <f>'[30]Purchased Power Model '!K111</f>
        <v>679.9</v>
      </c>
      <c r="J109" s="94">
        <f>+'[29]Data Input'!$CR116</f>
        <v>60</v>
      </c>
      <c r="K109" s="94">
        <f>'[30]Purchased Power Model '!G111</f>
        <v>247099.4098961337</v>
      </c>
      <c r="L109" s="100">
        <v>140.13837178109071</v>
      </c>
      <c r="M109" s="94"/>
      <c r="N109" s="94"/>
      <c r="O109" s="94"/>
      <c r="P109" s="94"/>
      <c r="Q109" s="96"/>
      <c r="R109" s="38"/>
    </row>
    <row r="110" spans="1:18" x14ac:dyDescent="0.2">
      <c r="A110" s="3">
        <v>40664</v>
      </c>
      <c r="B110" s="22">
        <f>+'[29]Data Input'!$CT117</f>
        <v>4906208.38</v>
      </c>
      <c r="C110" s="19">
        <f>'[30]Purchased Power Model '!C112</f>
        <v>134.1</v>
      </c>
      <c r="D110" s="19">
        <f>'[30]Purchased Power Model '!D112</f>
        <v>13</v>
      </c>
      <c r="E110" s="89">
        <v>336</v>
      </c>
      <c r="F110" s="94">
        <v>1</v>
      </c>
      <c r="G110" s="94">
        <f t="shared" si="3"/>
        <v>40664</v>
      </c>
      <c r="H110" s="102">
        <v>31</v>
      </c>
      <c r="I110" s="95">
        <f>'[30]Purchased Power Model '!K112</f>
        <v>685.8</v>
      </c>
      <c r="J110" s="94">
        <f>+'[29]Data Input'!$CR117</f>
        <v>59</v>
      </c>
      <c r="K110" s="94">
        <f>'[30]Purchased Power Model '!G112</f>
        <v>265107.19389458798</v>
      </c>
      <c r="L110" s="100">
        <v>140.50670264298682</v>
      </c>
      <c r="M110" s="94"/>
      <c r="N110" s="94"/>
      <c r="O110" s="94"/>
      <c r="P110" s="94"/>
      <c r="Q110" s="96"/>
      <c r="R110" s="38"/>
    </row>
    <row r="111" spans="1:18" x14ac:dyDescent="0.2">
      <c r="A111" s="3">
        <v>40695</v>
      </c>
      <c r="B111" s="22">
        <f>+'[29]Data Input'!$CT118</f>
        <v>5074043.26</v>
      </c>
      <c r="C111" s="19">
        <f>'[30]Purchased Power Model '!C113</f>
        <v>19</v>
      </c>
      <c r="D111" s="19">
        <f>'[30]Purchased Power Model '!D113</f>
        <v>52.2</v>
      </c>
      <c r="E111" s="89">
        <v>352</v>
      </c>
      <c r="F111" s="94">
        <v>0</v>
      </c>
      <c r="G111" s="94">
        <f t="shared" si="3"/>
        <v>40695</v>
      </c>
      <c r="H111" s="102">
        <v>30</v>
      </c>
      <c r="I111" s="95">
        <f>'[30]Purchased Power Model '!K113</f>
        <v>697.1</v>
      </c>
      <c r="J111" s="94">
        <f>+'[29]Data Input'!$CR118</f>
        <v>59</v>
      </c>
      <c r="K111" s="94">
        <f>'[30]Purchased Power Model '!G113</f>
        <v>283114.97789304226</v>
      </c>
      <c r="L111" s="100">
        <v>140.87600160250034</v>
      </c>
      <c r="M111" s="94"/>
      <c r="N111" s="94"/>
      <c r="O111" s="94"/>
      <c r="P111" s="94"/>
      <c r="Q111" s="96"/>
      <c r="R111" s="38"/>
    </row>
    <row r="112" spans="1:18" x14ac:dyDescent="0.2">
      <c r="A112" s="3">
        <v>40725</v>
      </c>
      <c r="B112" s="22">
        <f>+'[29]Data Input'!$CT119</f>
        <v>5134785.51</v>
      </c>
      <c r="C112" s="19">
        <f>'[30]Purchased Power Model '!C114</f>
        <v>0</v>
      </c>
      <c r="D112" s="19">
        <f>'[30]Purchased Power Model '!D114</f>
        <v>198.5</v>
      </c>
      <c r="E112" s="89">
        <v>320</v>
      </c>
      <c r="F112" s="94">
        <v>0</v>
      </c>
      <c r="G112" s="94">
        <f t="shared" si="3"/>
        <v>40725</v>
      </c>
      <c r="H112" s="102">
        <v>31</v>
      </c>
      <c r="I112" s="95">
        <f>'[30]Purchased Power Model '!K114</f>
        <v>707.5</v>
      </c>
      <c r="J112" s="94">
        <f>+'[29]Data Input'!$CR119</f>
        <v>59</v>
      </c>
      <c r="K112" s="94">
        <f>'[30]Purchased Power Model '!G114</f>
        <v>301122.76189149654</v>
      </c>
      <c r="L112" s="100">
        <v>141.24627120411799</v>
      </c>
      <c r="M112" s="94"/>
      <c r="N112" s="94"/>
      <c r="O112" s="94"/>
      <c r="P112" s="94"/>
      <c r="Q112" s="96"/>
      <c r="R112" s="38"/>
    </row>
    <row r="113" spans="1:18" x14ac:dyDescent="0.2">
      <c r="A113" s="3">
        <v>40756</v>
      </c>
      <c r="B113" s="22">
        <f>+'[29]Data Input'!$CT120</f>
        <v>5283195.8</v>
      </c>
      <c r="C113" s="19">
        <f>'[30]Purchased Power Model '!C115</f>
        <v>0</v>
      </c>
      <c r="D113" s="19">
        <f>'[30]Purchased Power Model '!D115</f>
        <v>122.2</v>
      </c>
      <c r="E113" s="89">
        <v>352</v>
      </c>
      <c r="F113" s="94">
        <v>0</v>
      </c>
      <c r="G113" s="94">
        <f t="shared" si="3"/>
        <v>40756</v>
      </c>
      <c r="H113" s="102">
        <v>31</v>
      </c>
      <c r="I113" s="95">
        <f>'[30]Purchased Power Model '!K115</f>
        <v>708.3</v>
      </c>
      <c r="J113" s="94">
        <f>+'[29]Data Input'!$CR120</f>
        <v>59</v>
      </c>
      <c r="K113" s="94">
        <f>'[30]Purchased Power Model '!G115</f>
        <v>319130.54588995082</v>
      </c>
      <c r="L113" s="100">
        <v>141.61751399901428</v>
      </c>
      <c r="M113" s="94"/>
      <c r="N113" s="94"/>
      <c r="O113" s="94"/>
      <c r="P113" s="94"/>
      <c r="Q113" s="96"/>
      <c r="R113" s="38"/>
    </row>
    <row r="114" spans="1:18" x14ac:dyDescent="0.2">
      <c r="A114" s="3">
        <v>40787</v>
      </c>
      <c r="B114" s="22">
        <f>+'[29]Data Input'!$CT121</f>
        <v>5127913.71</v>
      </c>
      <c r="C114" s="19">
        <f>'[30]Purchased Power Model '!C116</f>
        <v>48.2</v>
      </c>
      <c r="D114" s="19">
        <f>'[30]Purchased Power Model '!D116</f>
        <v>39.700000000000003</v>
      </c>
      <c r="E114" s="89">
        <v>336</v>
      </c>
      <c r="F114" s="94">
        <v>1</v>
      </c>
      <c r="G114" s="94">
        <f t="shared" si="3"/>
        <v>40787</v>
      </c>
      <c r="H114" s="102">
        <v>30</v>
      </c>
      <c r="I114" s="95">
        <f>'[30]Purchased Power Model '!K116</f>
        <v>700.8</v>
      </c>
      <c r="J114" s="94">
        <f>+'[29]Data Input'!$CR121</f>
        <v>59</v>
      </c>
      <c r="K114" s="94">
        <f>'[30]Purchased Power Model '!G116</f>
        <v>337138.3298884051</v>
      </c>
      <c r="L114" s="100">
        <v>141.98973254506907</v>
      </c>
      <c r="M114" s="94"/>
      <c r="N114" s="94"/>
      <c r="O114" s="94"/>
      <c r="P114" s="94"/>
      <c r="Q114" s="96"/>
      <c r="R114" s="38"/>
    </row>
    <row r="115" spans="1:18" x14ac:dyDescent="0.2">
      <c r="A115" s="3">
        <v>40817</v>
      </c>
      <c r="B115" s="22">
        <f>+'[29]Data Input'!$CT122</f>
        <v>5157725.91</v>
      </c>
      <c r="C115" s="19">
        <f>'[30]Purchased Power Model '!C117</f>
        <v>235.5</v>
      </c>
      <c r="D115" s="19">
        <f>'[30]Purchased Power Model '!D117</f>
        <v>2.4</v>
      </c>
      <c r="E115" s="89">
        <v>320</v>
      </c>
      <c r="F115" s="94">
        <v>1</v>
      </c>
      <c r="G115" s="94">
        <f t="shared" si="3"/>
        <v>40817</v>
      </c>
      <c r="H115" s="102">
        <v>31</v>
      </c>
      <c r="I115" s="95">
        <f>'[30]Purchased Power Model '!K117</f>
        <v>693.6</v>
      </c>
      <c r="J115" s="94">
        <f>+'[29]Data Input'!$CR122</f>
        <v>59</v>
      </c>
      <c r="K115" s="94">
        <f>'[30]Purchased Power Model '!G117</f>
        <v>355146.11388685938</v>
      </c>
      <c r="L115" s="100">
        <v>142.3629294068852</v>
      </c>
      <c r="M115" s="94"/>
      <c r="N115" s="94"/>
      <c r="O115" s="94"/>
      <c r="P115" s="94"/>
      <c r="Q115" s="96"/>
      <c r="R115" s="38"/>
    </row>
    <row r="116" spans="1:18" x14ac:dyDescent="0.2">
      <c r="A116" s="3">
        <v>40848</v>
      </c>
      <c r="B116" s="22">
        <f>+'[29]Data Input'!$CT123</f>
        <v>5190993.6900000004</v>
      </c>
      <c r="C116" s="19">
        <f>'[30]Purchased Power Model '!C118</f>
        <v>342.1</v>
      </c>
      <c r="D116" s="19">
        <f>'[30]Purchased Power Model '!D118</f>
        <v>0</v>
      </c>
      <c r="E116" s="89">
        <v>352</v>
      </c>
      <c r="F116" s="94">
        <v>1</v>
      </c>
      <c r="G116" s="94">
        <f t="shared" si="3"/>
        <v>40848</v>
      </c>
      <c r="H116" s="102">
        <v>30</v>
      </c>
      <c r="I116" s="95">
        <f>'[30]Purchased Power Model '!K118</f>
        <v>690.2</v>
      </c>
      <c r="J116" s="94">
        <f>+'[29]Data Input'!$CR123</f>
        <v>60</v>
      </c>
      <c r="K116" s="94">
        <f>'[30]Purchased Power Model '!G118</f>
        <v>373153.89788531367</v>
      </c>
      <c r="L116" s="100">
        <v>142.73710715580614</v>
      </c>
      <c r="M116" s="94"/>
      <c r="N116" s="94"/>
      <c r="O116" s="94"/>
      <c r="P116" s="94"/>
      <c r="Q116" s="96"/>
      <c r="R116" s="38"/>
    </row>
    <row r="117" spans="1:18" x14ac:dyDescent="0.2">
      <c r="A117" s="3">
        <v>40878</v>
      </c>
      <c r="B117" s="22">
        <f>+'[29]Data Input'!$CT124</f>
        <v>5094019.5199999996</v>
      </c>
      <c r="C117" s="19">
        <f>'[30]Purchased Power Model '!C119</f>
        <v>534</v>
      </c>
      <c r="D117" s="19">
        <f>'[30]Purchased Power Model '!D119</f>
        <v>0</v>
      </c>
      <c r="E117" s="89">
        <v>336</v>
      </c>
      <c r="F117" s="94">
        <v>0</v>
      </c>
      <c r="G117" s="94">
        <f t="shared" si="3"/>
        <v>40878</v>
      </c>
      <c r="H117" s="102">
        <v>31</v>
      </c>
      <c r="I117" s="95">
        <f>'[30]Purchased Power Model '!K119</f>
        <v>690.4</v>
      </c>
      <c r="J117" s="94">
        <f>+'[29]Data Input'!$CR124</f>
        <v>60</v>
      </c>
      <c r="K117" s="94">
        <f>'[30]Purchased Power Model '!G119</f>
        <v>391161.68188376795</v>
      </c>
      <c r="L117" s="100">
        <v>143.11226836993367</v>
      </c>
      <c r="M117" s="94"/>
      <c r="N117" s="94"/>
      <c r="O117" s="94"/>
      <c r="P117" s="94"/>
      <c r="Q117" s="96"/>
      <c r="R117" s="38"/>
    </row>
    <row r="118" spans="1:18" x14ac:dyDescent="0.2">
      <c r="A118" s="3">
        <v>40909</v>
      </c>
      <c r="C118" s="107">
        <f t="shared" ref="C118:D129" si="4">(C10+C22+C34+C46+C58+C70+C82+C94+C106)/9</f>
        <v>731.27777777777783</v>
      </c>
      <c r="D118" s="107">
        <f t="shared" si="4"/>
        <v>0</v>
      </c>
      <c r="E118" s="15">
        <v>336</v>
      </c>
      <c r="F118" s="94">
        <v>0</v>
      </c>
      <c r="G118" s="94">
        <f t="shared" si="3"/>
        <v>40909</v>
      </c>
      <c r="H118" s="94">
        <v>31</v>
      </c>
      <c r="I118" s="95"/>
      <c r="J118" s="94" t="e">
        <f>'[29]Data Input'!N125</f>
        <v>#REF!</v>
      </c>
      <c r="K118" s="94">
        <f>'[30]Purchased Power Model '!G120</f>
        <v>380946.64371458685</v>
      </c>
      <c r="L118" s="104">
        <v>143.49</v>
      </c>
      <c r="M118" s="94"/>
      <c r="N118" s="94"/>
      <c r="O118" s="94"/>
      <c r="P118" s="94"/>
      <c r="Q118" s="96"/>
      <c r="R118" s="38"/>
    </row>
    <row r="119" spans="1:18" x14ac:dyDescent="0.2">
      <c r="A119" s="3">
        <v>40940</v>
      </c>
      <c r="C119" s="107">
        <f t="shared" si="4"/>
        <v>647.23333333333323</v>
      </c>
      <c r="D119" s="107">
        <f t="shared" si="4"/>
        <v>0</v>
      </c>
      <c r="E119" s="15">
        <v>320</v>
      </c>
      <c r="F119" s="94">
        <v>0</v>
      </c>
      <c r="G119" s="94">
        <f t="shared" si="3"/>
        <v>40940</v>
      </c>
      <c r="H119" s="94">
        <v>29</v>
      </c>
      <c r="I119" s="95"/>
      <c r="J119" s="94">
        <v>0</v>
      </c>
      <c r="K119" s="94">
        <f>'[30]Purchased Power Model '!G121</f>
        <v>370731.60554540576</v>
      </c>
      <c r="L119" s="104">
        <v>143.87</v>
      </c>
      <c r="M119" s="94"/>
      <c r="N119" s="94"/>
      <c r="O119" s="94"/>
      <c r="P119" s="94"/>
      <c r="Q119" s="96"/>
      <c r="R119" s="38"/>
    </row>
    <row r="120" spans="1:18" x14ac:dyDescent="0.2">
      <c r="A120" s="3">
        <v>40969</v>
      </c>
      <c r="C120" s="107">
        <f t="shared" si="4"/>
        <v>542.21111111111122</v>
      </c>
      <c r="D120" s="107">
        <f t="shared" si="4"/>
        <v>0</v>
      </c>
      <c r="E120" s="15">
        <v>352</v>
      </c>
      <c r="F120" s="94">
        <v>1</v>
      </c>
      <c r="G120" s="94">
        <f t="shared" si="3"/>
        <v>40969</v>
      </c>
      <c r="H120" s="94">
        <v>31</v>
      </c>
      <c r="I120" s="95"/>
      <c r="J120" s="94" t="e">
        <f>'[29]Data Input'!N127</f>
        <v>#REF!</v>
      </c>
      <c r="K120" s="94">
        <f>'[30]Purchased Power Model '!G122</f>
        <v>360516.56737622467</v>
      </c>
      <c r="L120" s="104">
        <v>144.24</v>
      </c>
      <c r="M120" s="94"/>
      <c r="N120" s="94"/>
      <c r="O120" s="94"/>
      <c r="P120" s="94"/>
      <c r="Q120" s="96"/>
      <c r="R120" s="38"/>
    </row>
    <row r="121" spans="1:18" x14ac:dyDescent="0.2">
      <c r="A121" s="3">
        <v>41000</v>
      </c>
      <c r="C121" s="107">
        <f t="shared" si="4"/>
        <v>308.62222222222226</v>
      </c>
      <c r="D121" s="107">
        <f t="shared" si="4"/>
        <v>0.39999999999999997</v>
      </c>
      <c r="E121" s="15">
        <v>320</v>
      </c>
      <c r="F121" s="94">
        <v>1</v>
      </c>
      <c r="G121" s="94">
        <f t="shared" si="3"/>
        <v>41000</v>
      </c>
      <c r="H121" s="94">
        <v>30</v>
      </c>
      <c r="I121" s="95"/>
      <c r="J121" s="94" t="e">
        <f>'[29]Data Input'!N128</f>
        <v>#REF!</v>
      </c>
      <c r="K121" s="94">
        <f>'[30]Purchased Power Model '!G123</f>
        <v>350301.52920704358</v>
      </c>
      <c r="L121" s="104">
        <v>144.62</v>
      </c>
      <c r="M121" s="94"/>
      <c r="N121" s="94"/>
      <c r="O121" s="94"/>
      <c r="P121" s="94"/>
      <c r="Q121" s="96"/>
      <c r="R121" s="38"/>
    </row>
    <row r="122" spans="1:18" x14ac:dyDescent="0.2">
      <c r="A122" s="3">
        <v>41030</v>
      </c>
      <c r="C122" s="107">
        <f t="shared" si="4"/>
        <v>154.86666666666667</v>
      </c>
      <c r="D122" s="107">
        <f t="shared" si="4"/>
        <v>13.988888888888889</v>
      </c>
      <c r="E122" s="15">
        <v>352</v>
      </c>
      <c r="F122" s="94">
        <v>1</v>
      </c>
      <c r="G122" s="94">
        <f t="shared" si="3"/>
        <v>41030</v>
      </c>
      <c r="H122" s="94">
        <v>31</v>
      </c>
      <c r="I122" s="95"/>
      <c r="J122" s="94" t="e">
        <f>'[29]Data Input'!N129</f>
        <v>#REF!</v>
      </c>
      <c r="K122" s="94">
        <f>'[30]Purchased Power Model '!G124</f>
        <v>340086.49103786249</v>
      </c>
      <c r="L122" s="104">
        <v>145</v>
      </c>
      <c r="M122" s="94"/>
      <c r="N122" s="94"/>
      <c r="O122" s="94"/>
      <c r="P122" s="94"/>
      <c r="Q122" s="96"/>
      <c r="R122" s="38"/>
    </row>
    <row r="123" spans="1:18" x14ac:dyDescent="0.2">
      <c r="A123" s="3">
        <v>41061</v>
      </c>
      <c r="C123" s="107">
        <f t="shared" si="4"/>
        <v>27.244444444444444</v>
      </c>
      <c r="D123" s="107">
        <f t="shared" si="4"/>
        <v>68.911111111111111</v>
      </c>
      <c r="E123" s="15">
        <v>336</v>
      </c>
      <c r="F123" s="94">
        <v>0</v>
      </c>
      <c r="G123" s="94">
        <f t="shared" si="3"/>
        <v>41061</v>
      </c>
      <c r="H123" s="94">
        <v>30</v>
      </c>
      <c r="I123" s="95"/>
      <c r="J123" s="94" t="e">
        <f>'[29]Data Input'!N130</f>
        <v>#REF!</v>
      </c>
      <c r="K123" s="94">
        <f>'[30]Purchased Power Model '!G125</f>
        <v>329871.4528686814</v>
      </c>
      <c r="L123" s="104">
        <v>145.38</v>
      </c>
      <c r="M123" s="94"/>
      <c r="N123" s="94"/>
      <c r="O123" s="94"/>
      <c r="P123" s="94"/>
      <c r="Q123" s="96"/>
      <c r="R123" s="38"/>
    </row>
    <row r="124" spans="1:18" x14ac:dyDescent="0.2">
      <c r="A124" s="3">
        <v>41091</v>
      </c>
      <c r="C124" s="107">
        <f t="shared" si="4"/>
        <v>1.7777777777777777</v>
      </c>
      <c r="D124" s="107">
        <f t="shared" si="4"/>
        <v>131.65555555555557</v>
      </c>
      <c r="E124" s="15">
        <v>336</v>
      </c>
      <c r="F124" s="94">
        <v>0</v>
      </c>
      <c r="G124" s="94">
        <f t="shared" si="3"/>
        <v>41091</v>
      </c>
      <c r="H124" s="94">
        <v>31</v>
      </c>
      <c r="I124" s="95"/>
      <c r="J124" s="94" t="e">
        <f>'[29]Data Input'!N131</f>
        <v>#REF!</v>
      </c>
      <c r="K124" s="94">
        <f>'[30]Purchased Power Model '!G126</f>
        <v>319656.41469950031</v>
      </c>
      <c r="L124" s="104">
        <v>145.77000000000001</v>
      </c>
      <c r="M124" s="94"/>
      <c r="N124" s="94"/>
      <c r="O124" s="94"/>
      <c r="P124" s="94"/>
      <c r="Q124" s="96"/>
      <c r="R124" s="38"/>
    </row>
    <row r="125" spans="1:18" x14ac:dyDescent="0.2">
      <c r="A125" s="3">
        <v>41122</v>
      </c>
      <c r="C125" s="107">
        <f t="shared" si="4"/>
        <v>5.4444444444444438</v>
      </c>
      <c r="D125" s="107">
        <f t="shared" si="4"/>
        <v>109.65555555555557</v>
      </c>
      <c r="E125" s="15">
        <v>352</v>
      </c>
      <c r="F125" s="94">
        <v>0</v>
      </c>
      <c r="G125" s="94">
        <f t="shared" si="3"/>
        <v>41122</v>
      </c>
      <c r="H125" s="94">
        <v>31</v>
      </c>
      <c r="I125" s="95"/>
      <c r="J125" s="94" t="e">
        <f>'[29]Data Input'!N132</f>
        <v>#REF!</v>
      </c>
      <c r="K125" s="94">
        <f>'[30]Purchased Power Model '!G127</f>
        <v>309441.37653031922</v>
      </c>
      <c r="L125" s="104">
        <v>146.15</v>
      </c>
      <c r="M125" s="94"/>
      <c r="N125" s="94"/>
      <c r="O125" s="94"/>
      <c r="P125" s="94"/>
      <c r="Q125" s="96"/>
      <c r="R125" s="38"/>
    </row>
    <row r="126" spans="1:18" x14ac:dyDescent="0.2">
      <c r="A126" s="3">
        <v>41153</v>
      </c>
      <c r="C126" s="107">
        <f t="shared" si="4"/>
        <v>51.75555555555556</v>
      </c>
      <c r="D126" s="107">
        <f t="shared" si="4"/>
        <v>32.944444444444443</v>
      </c>
      <c r="E126" s="15">
        <v>304</v>
      </c>
      <c r="F126" s="94">
        <v>1</v>
      </c>
      <c r="G126" s="94">
        <f t="shared" si="3"/>
        <v>41153</v>
      </c>
      <c r="H126" s="94">
        <v>30</v>
      </c>
      <c r="I126" s="95"/>
      <c r="J126" s="94" t="e">
        <f>'[29]Data Input'!N133</f>
        <v>#REF!</v>
      </c>
      <c r="K126" s="94">
        <f>'[30]Purchased Power Model '!G128</f>
        <v>299226.33836113813</v>
      </c>
      <c r="L126" s="104">
        <v>146.53</v>
      </c>
      <c r="M126" s="94"/>
      <c r="N126" s="94"/>
      <c r="O126" s="94"/>
      <c r="P126" s="94"/>
      <c r="Q126" s="96"/>
      <c r="R126" s="38"/>
    </row>
    <row r="127" spans="1:18" x14ac:dyDescent="0.2">
      <c r="A127" s="3">
        <v>41183</v>
      </c>
      <c r="C127" s="107">
        <f t="shared" si="4"/>
        <v>243.55555555555554</v>
      </c>
      <c r="D127" s="107">
        <f t="shared" si="4"/>
        <v>3.5999999999999996</v>
      </c>
      <c r="E127" s="15">
        <v>352</v>
      </c>
      <c r="F127" s="94">
        <v>1</v>
      </c>
      <c r="G127" s="94">
        <f t="shared" si="3"/>
        <v>41183</v>
      </c>
      <c r="H127" s="94">
        <v>31</v>
      </c>
      <c r="I127" s="95"/>
      <c r="J127" s="94" t="e">
        <f>'[29]Data Input'!N134</f>
        <v>#REF!</v>
      </c>
      <c r="K127" s="94">
        <f>'[30]Purchased Power Model '!G129</f>
        <v>289011.30019195704</v>
      </c>
      <c r="L127" s="104">
        <v>146.91999999999999</v>
      </c>
      <c r="M127" s="94"/>
      <c r="N127" s="94"/>
      <c r="O127" s="94"/>
      <c r="P127" s="94"/>
      <c r="Q127" s="96"/>
      <c r="R127" s="38"/>
    </row>
    <row r="128" spans="1:18" x14ac:dyDescent="0.2">
      <c r="A128" s="3">
        <v>41214</v>
      </c>
      <c r="C128" s="107">
        <f t="shared" si="4"/>
        <v>396.76666666666665</v>
      </c>
      <c r="D128" s="107">
        <f t="shared" si="4"/>
        <v>0</v>
      </c>
      <c r="E128" s="15">
        <v>352</v>
      </c>
      <c r="F128" s="94">
        <v>1</v>
      </c>
      <c r="G128" s="94">
        <f t="shared" si="3"/>
        <v>41214</v>
      </c>
      <c r="H128" s="94">
        <v>30</v>
      </c>
      <c r="I128" s="95"/>
      <c r="J128" s="94" t="e">
        <f>'[29]Data Input'!N135</f>
        <v>#REF!</v>
      </c>
      <c r="K128" s="94">
        <f>'[30]Purchased Power Model '!G130</f>
        <v>278796.26202277595</v>
      </c>
      <c r="L128" s="104">
        <v>147.30000000000001</v>
      </c>
      <c r="M128" s="94"/>
      <c r="N128" s="94"/>
      <c r="O128" s="94"/>
      <c r="P128" s="94"/>
      <c r="Q128" s="96"/>
      <c r="R128" s="38"/>
    </row>
    <row r="129" spans="1:18" x14ac:dyDescent="0.2">
      <c r="A129" s="3">
        <v>41244</v>
      </c>
      <c r="C129" s="107">
        <f t="shared" si="4"/>
        <v>610.83333333333326</v>
      </c>
      <c r="D129" s="107">
        <f t="shared" si="4"/>
        <v>0</v>
      </c>
      <c r="E129" s="15">
        <v>304</v>
      </c>
      <c r="F129" s="94">
        <v>0</v>
      </c>
      <c r="G129" s="94">
        <f t="shared" si="3"/>
        <v>41244</v>
      </c>
      <c r="H129" s="94">
        <v>31</v>
      </c>
      <c r="I129" s="95"/>
      <c r="J129" s="94" t="e">
        <f>'[29]Data Input'!N136</f>
        <v>#REF!</v>
      </c>
      <c r="K129" s="94">
        <f>'[30]Purchased Power Model '!G131</f>
        <v>268581.22385359486</v>
      </c>
      <c r="L129" s="104">
        <v>147.69</v>
      </c>
      <c r="M129" s="94"/>
      <c r="N129" s="94"/>
      <c r="O129" s="94"/>
      <c r="P129" s="94"/>
      <c r="Q129" s="96"/>
      <c r="R129" s="38"/>
    </row>
    <row r="130" spans="1:18" x14ac:dyDescent="0.2">
      <c r="A130" s="3">
        <v>41275</v>
      </c>
      <c r="C130" s="103">
        <f t="shared" ref="C130:D141" si="5">C118</f>
        <v>731.27777777777783</v>
      </c>
      <c r="D130" s="103">
        <f t="shared" si="5"/>
        <v>0</v>
      </c>
      <c r="E130" s="105">
        <f>22*16</f>
        <v>352</v>
      </c>
      <c r="F130" s="94">
        <v>0</v>
      </c>
      <c r="G130" s="94">
        <f t="shared" si="3"/>
        <v>41275</v>
      </c>
      <c r="H130" s="94">
        <v>31</v>
      </c>
      <c r="I130" s="95"/>
      <c r="J130" s="94" t="e">
        <f>'[29]Data Input'!N137</f>
        <v>#REF!</v>
      </c>
      <c r="K130" s="94">
        <f>'[30]Purchased Power Model '!G132</f>
        <v>277069.45914351544</v>
      </c>
      <c r="L130" s="104">
        <v>147.88</v>
      </c>
      <c r="M130" s="94"/>
      <c r="N130" s="94"/>
      <c r="O130" s="94"/>
      <c r="P130" s="94"/>
      <c r="Q130" s="96"/>
      <c r="R130" s="38"/>
    </row>
    <row r="131" spans="1:18" x14ac:dyDescent="0.2">
      <c r="A131" s="3">
        <v>41306</v>
      </c>
      <c r="C131" s="103">
        <f t="shared" si="5"/>
        <v>647.23333333333323</v>
      </c>
      <c r="D131" s="103">
        <f t="shared" si="5"/>
        <v>0</v>
      </c>
      <c r="E131" s="105">
        <f>19*16</f>
        <v>304</v>
      </c>
      <c r="F131" s="94">
        <v>0</v>
      </c>
      <c r="G131" s="94">
        <f t="shared" ref="G131:G141" si="6">A131</f>
        <v>41306</v>
      </c>
      <c r="H131" s="94">
        <v>28</v>
      </c>
      <c r="I131" s="95"/>
      <c r="J131" s="94" t="e">
        <f>'[29]Data Input'!N138</f>
        <v>#REF!</v>
      </c>
      <c r="K131" s="94">
        <f>'[30]Purchased Power Model '!G133</f>
        <v>285557.69443343603</v>
      </c>
      <c r="L131" s="104">
        <v>148.08000000000001</v>
      </c>
      <c r="M131" s="94"/>
      <c r="N131" s="94"/>
      <c r="O131" s="94"/>
      <c r="P131" s="94"/>
      <c r="Q131" s="96"/>
      <c r="R131" s="38"/>
    </row>
    <row r="132" spans="1:18" x14ac:dyDescent="0.2">
      <c r="A132" s="3">
        <v>41334</v>
      </c>
      <c r="C132" s="103">
        <f t="shared" si="5"/>
        <v>542.21111111111122</v>
      </c>
      <c r="D132" s="103">
        <f t="shared" si="5"/>
        <v>0</v>
      </c>
      <c r="E132" s="105">
        <f>20*16</f>
        <v>320</v>
      </c>
      <c r="F132" s="94">
        <v>1</v>
      </c>
      <c r="G132" s="94">
        <f t="shared" si="6"/>
        <v>41334</v>
      </c>
      <c r="H132" s="94">
        <v>31</v>
      </c>
      <c r="I132" s="95"/>
      <c r="J132" s="94" t="e">
        <f>'[29]Data Input'!N139</f>
        <v>#REF!</v>
      </c>
      <c r="K132" s="94">
        <f>'[30]Purchased Power Model '!G134</f>
        <v>294045.92972335662</v>
      </c>
      <c r="L132" s="104">
        <v>148.27000000000001</v>
      </c>
      <c r="M132" s="94"/>
      <c r="N132" s="94"/>
      <c r="O132" s="94"/>
      <c r="P132" s="94"/>
      <c r="Q132" s="96"/>
      <c r="R132" s="38"/>
    </row>
    <row r="133" spans="1:18" x14ac:dyDescent="0.2">
      <c r="A133" s="3">
        <v>41365</v>
      </c>
      <c r="C133" s="103">
        <f t="shared" si="5"/>
        <v>308.62222222222226</v>
      </c>
      <c r="D133" s="103">
        <f t="shared" si="5"/>
        <v>0.39999999999999997</v>
      </c>
      <c r="E133" s="105">
        <f>22*16</f>
        <v>352</v>
      </c>
      <c r="F133" s="94">
        <v>1</v>
      </c>
      <c r="G133" s="94">
        <f t="shared" si="6"/>
        <v>41365</v>
      </c>
      <c r="H133" s="94">
        <v>30</v>
      </c>
      <c r="I133" s="95"/>
      <c r="J133" s="94" t="e">
        <f>'[29]Data Input'!N140</f>
        <v>#REF!</v>
      </c>
      <c r="K133" s="94">
        <f>'[30]Purchased Power Model '!G135</f>
        <v>302534.1650132772</v>
      </c>
      <c r="L133" s="104">
        <v>148.46</v>
      </c>
      <c r="M133" s="94"/>
      <c r="N133" s="94"/>
      <c r="O133" s="94"/>
      <c r="P133" s="94"/>
      <c r="Q133" s="96"/>
      <c r="R133" s="38"/>
    </row>
    <row r="134" spans="1:18" x14ac:dyDescent="0.2">
      <c r="A134" s="3">
        <v>41395</v>
      </c>
      <c r="C134" s="103">
        <f t="shared" si="5"/>
        <v>154.86666666666667</v>
      </c>
      <c r="D134" s="103">
        <f t="shared" si="5"/>
        <v>13.988888888888889</v>
      </c>
      <c r="E134" s="105">
        <f>22*16</f>
        <v>352</v>
      </c>
      <c r="F134" s="94">
        <v>1</v>
      </c>
      <c r="G134" s="94">
        <f t="shared" si="6"/>
        <v>41395</v>
      </c>
      <c r="H134" s="94">
        <v>31</v>
      </c>
      <c r="I134" s="95"/>
      <c r="J134" s="94" t="e">
        <f>'[29]Data Input'!N141</f>
        <v>#REF!</v>
      </c>
      <c r="K134" s="94">
        <f>'[30]Purchased Power Model '!G136</f>
        <v>311022.40030319779</v>
      </c>
      <c r="L134" s="104">
        <v>148.65</v>
      </c>
      <c r="M134" s="94"/>
      <c r="N134" s="94"/>
      <c r="O134" s="94"/>
      <c r="P134" s="94"/>
      <c r="Q134" s="96"/>
      <c r="R134" s="38"/>
    </row>
    <row r="135" spans="1:18" x14ac:dyDescent="0.2">
      <c r="A135" s="3">
        <v>41426</v>
      </c>
      <c r="C135" s="103">
        <f t="shared" si="5"/>
        <v>27.244444444444444</v>
      </c>
      <c r="D135" s="103">
        <f t="shared" si="5"/>
        <v>68.911111111111111</v>
      </c>
      <c r="E135" s="105">
        <f>20*16</f>
        <v>320</v>
      </c>
      <c r="F135" s="94">
        <v>0</v>
      </c>
      <c r="G135" s="94">
        <f t="shared" si="6"/>
        <v>41426</v>
      </c>
      <c r="H135" s="94">
        <v>30</v>
      </c>
      <c r="I135" s="95"/>
      <c r="J135" s="94" t="e">
        <f>'[29]Data Input'!N142</f>
        <v>#REF!</v>
      </c>
      <c r="K135" s="94">
        <f>'[30]Purchased Power Model '!G137</f>
        <v>319510.63559311838</v>
      </c>
      <c r="L135" s="104">
        <v>148.85</v>
      </c>
      <c r="M135" s="94"/>
      <c r="N135" s="94"/>
      <c r="O135" s="94"/>
      <c r="P135" s="94"/>
      <c r="Q135" s="96"/>
      <c r="R135" s="38"/>
    </row>
    <row r="136" spans="1:18" x14ac:dyDescent="0.2">
      <c r="A136" s="3">
        <v>41456</v>
      </c>
      <c r="C136" s="103">
        <f t="shared" si="5"/>
        <v>1.7777777777777777</v>
      </c>
      <c r="D136" s="103">
        <f t="shared" si="5"/>
        <v>131.65555555555557</v>
      </c>
      <c r="E136" s="105">
        <f>22*16</f>
        <v>352</v>
      </c>
      <c r="F136" s="94">
        <v>0</v>
      </c>
      <c r="G136" s="94">
        <f t="shared" si="6"/>
        <v>41456</v>
      </c>
      <c r="H136" s="94">
        <v>31</v>
      </c>
      <c r="I136" s="95"/>
      <c r="J136" s="94" t="e">
        <f>'[29]Data Input'!N143</f>
        <v>#REF!</v>
      </c>
      <c r="K136" s="94">
        <f>'[30]Purchased Power Model '!G138</f>
        <v>327998.87088303897</v>
      </c>
      <c r="L136" s="104">
        <v>149.04</v>
      </c>
      <c r="M136" s="94"/>
      <c r="N136" s="94"/>
      <c r="O136" s="94"/>
      <c r="P136" s="94"/>
      <c r="Q136" s="96"/>
      <c r="R136" s="38"/>
    </row>
    <row r="137" spans="1:18" x14ac:dyDescent="0.2">
      <c r="A137" s="3">
        <v>41487</v>
      </c>
      <c r="C137" s="103">
        <f t="shared" si="5"/>
        <v>5.4444444444444438</v>
      </c>
      <c r="D137" s="103">
        <f t="shared" si="5"/>
        <v>109.65555555555557</v>
      </c>
      <c r="E137" s="105">
        <f>21*16</f>
        <v>336</v>
      </c>
      <c r="F137" s="94">
        <v>0</v>
      </c>
      <c r="G137" s="94">
        <f t="shared" si="6"/>
        <v>41487</v>
      </c>
      <c r="H137" s="94">
        <v>31</v>
      </c>
      <c r="I137" s="95"/>
      <c r="J137" s="94" t="e">
        <f>'[29]Data Input'!N144</f>
        <v>#REF!</v>
      </c>
      <c r="K137" s="94">
        <f>'[30]Purchased Power Model '!G139</f>
        <v>336487.10617295955</v>
      </c>
      <c r="L137" s="104">
        <v>149.22999999999999</v>
      </c>
      <c r="M137" s="94"/>
      <c r="N137" s="94"/>
      <c r="O137" s="94"/>
      <c r="P137" s="94"/>
      <c r="Q137" s="96"/>
      <c r="R137" s="38"/>
    </row>
    <row r="138" spans="1:18" x14ac:dyDescent="0.2">
      <c r="A138" s="3">
        <v>41518</v>
      </c>
      <c r="C138" s="103">
        <f t="shared" si="5"/>
        <v>51.75555555555556</v>
      </c>
      <c r="D138" s="103">
        <f t="shared" si="5"/>
        <v>32.944444444444443</v>
      </c>
      <c r="E138" s="105">
        <f>20*16</f>
        <v>320</v>
      </c>
      <c r="F138" s="94">
        <v>1</v>
      </c>
      <c r="G138" s="94">
        <f t="shared" si="6"/>
        <v>41518</v>
      </c>
      <c r="H138" s="94">
        <v>30</v>
      </c>
      <c r="I138" s="95"/>
      <c r="J138" s="94" t="e">
        <f>'[29]Data Input'!N145</f>
        <v>#REF!</v>
      </c>
      <c r="K138" s="94">
        <f>'[30]Purchased Power Model '!G140</f>
        <v>344975.34146288014</v>
      </c>
      <c r="L138" s="104">
        <v>149.41999999999999</v>
      </c>
      <c r="M138" s="94"/>
      <c r="N138" s="94"/>
      <c r="O138" s="94"/>
      <c r="P138" s="94"/>
      <c r="Q138" s="96"/>
      <c r="R138" s="38"/>
    </row>
    <row r="139" spans="1:18" x14ac:dyDescent="0.2">
      <c r="A139" s="3">
        <v>41548</v>
      </c>
      <c r="C139" s="103">
        <f t="shared" si="5"/>
        <v>243.55555555555554</v>
      </c>
      <c r="D139" s="103">
        <f t="shared" si="5"/>
        <v>3.5999999999999996</v>
      </c>
      <c r="E139" s="105">
        <f>22*16</f>
        <v>352</v>
      </c>
      <c r="F139" s="94">
        <v>1</v>
      </c>
      <c r="G139" s="94">
        <f t="shared" si="6"/>
        <v>41548</v>
      </c>
      <c r="H139" s="94">
        <v>31</v>
      </c>
      <c r="I139" s="95"/>
      <c r="J139" s="94" t="e">
        <f>'[29]Data Input'!N146</f>
        <v>#REF!</v>
      </c>
      <c r="K139" s="94">
        <f>'[30]Purchased Power Model '!G141</f>
        <v>353463.57675280073</v>
      </c>
      <c r="L139" s="104">
        <v>149.62</v>
      </c>
      <c r="M139" s="94"/>
      <c r="N139" s="94"/>
      <c r="O139" s="94"/>
      <c r="P139" s="94"/>
      <c r="Q139" s="96"/>
      <c r="R139" s="38"/>
    </row>
    <row r="140" spans="1:18" x14ac:dyDescent="0.2">
      <c r="A140" s="3">
        <v>41579</v>
      </c>
      <c r="C140" s="103">
        <f t="shared" si="5"/>
        <v>396.76666666666665</v>
      </c>
      <c r="D140" s="103">
        <f t="shared" si="5"/>
        <v>0</v>
      </c>
      <c r="E140" s="105">
        <f>21*16</f>
        <v>336</v>
      </c>
      <c r="F140" s="94">
        <v>1</v>
      </c>
      <c r="G140" s="94">
        <f t="shared" si="6"/>
        <v>41579</v>
      </c>
      <c r="H140" s="94">
        <v>30</v>
      </c>
      <c r="I140" s="95"/>
      <c r="J140" s="94" t="e">
        <f>'[29]Data Input'!N147</f>
        <v>#REF!</v>
      </c>
      <c r="K140" s="94">
        <f>'[30]Purchased Power Model '!G142</f>
        <v>361951.81204272131</v>
      </c>
      <c r="L140" s="104">
        <v>149.81</v>
      </c>
      <c r="M140" s="94"/>
      <c r="N140" s="94"/>
      <c r="O140" s="94"/>
      <c r="P140" s="94"/>
      <c r="Q140" s="96"/>
      <c r="R140" s="38"/>
    </row>
    <row r="141" spans="1:18" x14ac:dyDescent="0.2">
      <c r="A141" s="3">
        <v>41609</v>
      </c>
      <c r="C141" s="103">
        <f t="shared" si="5"/>
        <v>610.83333333333326</v>
      </c>
      <c r="D141" s="103">
        <f t="shared" si="5"/>
        <v>0</v>
      </c>
      <c r="E141" s="105">
        <f>20*16</f>
        <v>320</v>
      </c>
      <c r="F141" s="94">
        <v>0</v>
      </c>
      <c r="G141" s="94">
        <f t="shared" si="6"/>
        <v>41609</v>
      </c>
      <c r="H141" s="94">
        <v>31</v>
      </c>
      <c r="I141" s="94"/>
      <c r="J141" s="94" t="e">
        <f>'[29]Data Input'!N148</f>
        <v>#REF!</v>
      </c>
      <c r="K141" s="94">
        <f>'[30]Purchased Power Model '!G143</f>
        <v>370440.0473326419</v>
      </c>
      <c r="L141" s="104">
        <v>150</v>
      </c>
      <c r="M141" s="94"/>
      <c r="N141" s="94"/>
      <c r="O141" s="94"/>
      <c r="P141" s="94"/>
      <c r="Q141" s="96"/>
      <c r="R141" s="38"/>
    </row>
    <row r="142" spans="1:18" x14ac:dyDescent="0.2">
      <c r="A142" s="3"/>
      <c r="E142" s="94"/>
      <c r="G142" s="94"/>
      <c r="J142" s="94"/>
      <c r="K142" s="94"/>
    </row>
    <row r="143" spans="1:18" x14ac:dyDescent="0.2">
      <c r="A143" s="3"/>
      <c r="D143" s="19" t="s">
        <v>216</v>
      </c>
      <c r="M143" s="102">
        <f>SUM(M3:M141)</f>
        <v>0</v>
      </c>
      <c r="Q143" s="38"/>
    </row>
    <row r="144" spans="1:18" x14ac:dyDescent="0.2">
      <c r="A144" s="3"/>
    </row>
    <row r="145" spans="1:15" x14ac:dyDescent="0.2">
      <c r="A145" s="14">
        <v>2003</v>
      </c>
      <c r="B145" s="22">
        <f>SUM(B3:B21)</f>
        <v>96609911.850000009</v>
      </c>
      <c r="M145" s="22">
        <f>SUM(M3:M21)</f>
        <v>0</v>
      </c>
      <c r="N145" s="30">
        <f t="shared" ref="N145:N153" si="7">M145-B145</f>
        <v>-96609911.850000009</v>
      </c>
      <c r="O145" s="5">
        <f t="shared" ref="O145:O153" si="8">N145/B145</f>
        <v>-1</v>
      </c>
    </row>
    <row r="146" spans="1:15" x14ac:dyDescent="0.2">
      <c r="A146">
        <v>2004</v>
      </c>
      <c r="B146" s="22">
        <f>SUM(B22:B33)</f>
        <v>64710760.859999999</v>
      </c>
      <c r="M146" s="22">
        <f>SUM(M22:M33)</f>
        <v>0</v>
      </c>
      <c r="N146" s="30">
        <f t="shared" si="7"/>
        <v>-64710760.859999999</v>
      </c>
      <c r="O146" s="5">
        <f t="shared" si="8"/>
        <v>-1</v>
      </c>
    </row>
    <row r="147" spans="1:15" x14ac:dyDescent="0.2">
      <c r="A147" s="14">
        <v>2005</v>
      </c>
      <c r="B147" s="22">
        <f>SUM(B34:B45)</f>
        <v>62379983.560000002</v>
      </c>
      <c r="M147" s="22">
        <f>SUM(M34:M45)</f>
        <v>0</v>
      </c>
      <c r="N147" s="30">
        <f t="shared" si="7"/>
        <v>-62379983.560000002</v>
      </c>
      <c r="O147" s="5">
        <f t="shared" si="8"/>
        <v>-1</v>
      </c>
    </row>
    <row r="148" spans="1:15" x14ac:dyDescent="0.2">
      <c r="A148">
        <v>2006</v>
      </c>
      <c r="B148" s="22">
        <f>SUM(B46:B57)</f>
        <v>62938454.139999993</v>
      </c>
      <c r="M148" s="22">
        <f>SUM(M46:M57)</f>
        <v>0</v>
      </c>
      <c r="N148" s="30">
        <f t="shared" si="7"/>
        <v>-62938454.139999993</v>
      </c>
      <c r="O148" s="5">
        <f t="shared" si="8"/>
        <v>-1</v>
      </c>
    </row>
    <row r="149" spans="1:15" x14ac:dyDescent="0.2">
      <c r="A149" s="14">
        <v>2007</v>
      </c>
      <c r="B149" s="22">
        <f>SUM(B58:B69)</f>
        <v>61276547.670000009</v>
      </c>
      <c r="M149" s="22">
        <f>SUM(M58:M69)</f>
        <v>0</v>
      </c>
      <c r="N149" s="30">
        <f t="shared" si="7"/>
        <v>-61276547.670000009</v>
      </c>
      <c r="O149" s="5">
        <f t="shared" si="8"/>
        <v>-1</v>
      </c>
    </row>
    <row r="150" spans="1:15" x14ac:dyDescent="0.2">
      <c r="A150">
        <v>2008</v>
      </c>
      <c r="B150" s="22">
        <f>SUM(B70:B81)</f>
        <v>66898820.390000001</v>
      </c>
      <c r="M150" s="22">
        <f>SUM(M70:M81)</f>
        <v>0</v>
      </c>
      <c r="N150" s="30">
        <f t="shared" si="7"/>
        <v>-66898820.390000001</v>
      </c>
      <c r="O150" s="5">
        <f t="shared" si="8"/>
        <v>-1</v>
      </c>
    </row>
    <row r="151" spans="1:15" x14ac:dyDescent="0.2">
      <c r="A151" s="14">
        <v>2009</v>
      </c>
      <c r="B151" s="22">
        <f>SUM(B82:B93)</f>
        <v>62407115.030000001</v>
      </c>
      <c r="M151" s="22">
        <f>SUM(M82:M93)</f>
        <v>0</v>
      </c>
      <c r="N151" s="30">
        <f t="shared" si="7"/>
        <v>-62407115.030000001</v>
      </c>
      <c r="O151" s="5">
        <f t="shared" si="8"/>
        <v>-1</v>
      </c>
    </row>
    <row r="152" spans="1:15" x14ac:dyDescent="0.2">
      <c r="A152">
        <v>2010</v>
      </c>
      <c r="B152" s="22">
        <f>SUM(B94:B105)</f>
        <v>64376683.749999993</v>
      </c>
      <c r="M152" s="22">
        <f>SUM(M94:M105)</f>
        <v>0</v>
      </c>
      <c r="N152" s="30">
        <f t="shared" si="7"/>
        <v>-64376683.749999993</v>
      </c>
      <c r="O152" s="5">
        <f t="shared" si="8"/>
        <v>-1</v>
      </c>
    </row>
    <row r="153" spans="1:15" x14ac:dyDescent="0.2">
      <c r="A153" s="14">
        <v>2011</v>
      </c>
      <c r="B153" s="22">
        <f>SUM(B106:B117)</f>
        <v>61442756.449999988</v>
      </c>
      <c r="M153" s="22">
        <f>SUM(M106:M117)</f>
        <v>0</v>
      </c>
      <c r="N153" s="30">
        <f t="shared" si="7"/>
        <v>-61442756.449999988</v>
      </c>
      <c r="O153" s="5">
        <f t="shared" si="8"/>
        <v>-1</v>
      </c>
    </row>
    <row r="154" spans="1:15" x14ac:dyDescent="0.2">
      <c r="A154" s="14">
        <v>2012</v>
      </c>
      <c r="M154" s="6">
        <f>SUM(M118:M129)</f>
        <v>0</v>
      </c>
      <c r="N154" s="89"/>
      <c r="O154" s="89"/>
    </row>
    <row r="155" spans="1:15" x14ac:dyDescent="0.2">
      <c r="A155" s="14">
        <v>2013</v>
      </c>
      <c r="M155" s="6">
        <f>SUM(M130:M141)</f>
        <v>0</v>
      </c>
      <c r="N155" s="89"/>
      <c r="O155" s="89"/>
    </row>
    <row r="156" spans="1:15" x14ac:dyDescent="0.2">
      <c r="M156" s="6"/>
      <c r="N156" s="89"/>
      <c r="O156" s="89"/>
    </row>
    <row r="157" spans="1:15" x14ac:dyDescent="0.2">
      <c r="A157" t="s">
        <v>74</v>
      </c>
      <c r="B157" s="22">
        <f>SUM(B145:B153)</f>
        <v>603041033.70000005</v>
      </c>
      <c r="M157" s="22">
        <f>SUM(M145:M153)</f>
        <v>0</v>
      </c>
      <c r="N157" s="6">
        <f>M157-B157</f>
        <v>-603041033.70000005</v>
      </c>
      <c r="O157" s="89"/>
    </row>
    <row r="158" spans="1:15" x14ac:dyDescent="0.2">
      <c r="M158" s="89"/>
      <c r="N158" s="89"/>
      <c r="O158" s="89"/>
    </row>
    <row r="159" spans="1:15" x14ac:dyDescent="0.2">
      <c r="M159" s="6">
        <f>SUM(M145:M155)</f>
        <v>0</v>
      </c>
      <c r="N159" s="38">
        <f>M159-M143</f>
        <v>0</v>
      </c>
      <c r="O159" s="89"/>
    </row>
    <row r="160" spans="1:15" x14ac:dyDescent="0.2">
      <c r="M160" s="15"/>
      <c r="N160" s="15" t="s">
        <v>63</v>
      </c>
      <c r="O160" s="15"/>
    </row>
    <row r="168" spans="5:11" x14ac:dyDescent="0.2">
      <c r="E168" s="22"/>
      <c r="G168" s="22"/>
      <c r="J168" s="22"/>
      <c r="K168" s="22"/>
    </row>
    <row r="176" spans="5:11" x14ac:dyDescent="0.2">
      <c r="F176" s="22"/>
      <c r="H176" s="22"/>
    </row>
  </sheetData>
  <mergeCells count="1">
    <mergeCell ref="C1:L1"/>
  </mergeCells>
  <pageMargins left="0.38" right="0.75" top="0.73" bottom="0.74" header="0.5" footer="0.5"/>
  <pageSetup orientation="landscape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P56"/>
  <sheetViews>
    <sheetView workbookViewId="0">
      <pane xSplit="1" ySplit="3" topLeftCell="F4" activePane="bottomRight" state="frozen"/>
      <selection pane="topRight" activeCell="B1" sqref="B1"/>
      <selection pane="bottomLeft" activeCell="A4" sqref="A4"/>
      <selection pane="bottomRight" activeCell="J40" sqref="J40"/>
    </sheetView>
  </sheetViews>
  <sheetFormatPr defaultRowHeight="12.75" x14ac:dyDescent="0.2"/>
  <cols>
    <col min="1" max="1" width="34.7109375" style="293" customWidth="1"/>
    <col min="2" max="2" width="12.5703125" style="432" customWidth="1"/>
    <col min="3" max="3" width="12.7109375" style="432" customWidth="1"/>
    <col min="4" max="4" width="13.5703125" style="432" customWidth="1"/>
    <col min="5" max="5" width="12.7109375" style="432" customWidth="1"/>
    <col min="6" max="6" width="13" style="432" customWidth="1"/>
    <col min="7" max="7" width="12.7109375" style="432" customWidth="1"/>
    <col min="8" max="10" width="12.85546875" style="432" customWidth="1"/>
    <col min="11" max="11" width="12.7109375" style="433" bestFit="1" customWidth="1"/>
    <col min="12" max="13" width="13.140625" style="432" customWidth="1"/>
    <col min="14" max="14" width="9.140625" style="293"/>
    <col min="15" max="16" width="12.7109375" style="293" bestFit="1" customWidth="1"/>
    <col min="17" max="16384" width="9.140625" style="293"/>
  </cols>
  <sheetData>
    <row r="1" spans="1:16" ht="15.75" x14ac:dyDescent="0.25">
      <c r="A1" s="431" t="s">
        <v>198</v>
      </c>
    </row>
    <row r="3" spans="1:16" ht="25.5" x14ac:dyDescent="0.2">
      <c r="B3" s="434" t="s">
        <v>50</v>
      </c>
      <c r="C3" s="434" t="s">
        <v>51</v>
      </c>
      <c r="D3" s="434" t="s">
        <v>52</v>
      </c>
      <c r="E3" s="434" t="s">
        <v>53</v>
      </c>
      <c r="F3" s="434" t="s">
        <v>54</v>
      </c>
      <c r="G3" s="434" t="s">
        <v>64</v>
      </c>
      <c r="H3" s="434" t="s">
        <v>67</v>
      </c>
      <c r="I3" s="434" t="s">
        <v>72</v>
      </c>
      <c r="J3" s="434" t="s">
        <v>75</v>
      </c>
      <c r="K3" s="434" t="s">
        <v>196</v>
      </c>
      <c r="L3" s="434" t="s">
        <v>76</v>
      </c>
      <c r="M3" s="434" t="s">
        <v>197</v>
      </c>
    </row>
    <row r="4" spans="1:16" x14ac:dyDescent="0.2">
      <c r="A4" s="332" t="s">
        <v>57</v>
      </c>
      <c r="B4" s="435">
        <f>' Purchased Power Model'!C151</f>
        <v>249923540.34199998</v>
      </c>
      <c r="C4" s="435">
        <f>' Purchased Power Model'!C152</f>
        <v>252917856.45759997</v>
      </c>
      <c r="D4" s="435">
        <f>' Purchased Power Model'!C153</f>
        <v>261520104.69972003</v>
      </c>
      <c r="E4" s="435">
        <f>' Purchased Power Model'!C154</f>
        <v>263090888.40446001</v>
      </c>
      <c r="F4" s="435">
        <f>' Purchased Power Model'!C155</f>
        <v>268617930.86324</v>
      </c>
      <c r="G4" s="435">
        <f>' Purchased Power Model'!C156</f>
        <v>261643455.43000001</v>
      </c>
      <c r="H4" s="435">
        <f>' Purchased Power Model'!C157</f>
        <v>254488952.53999999</v>
      </c>
      <c r="I4" s="435">
        <f>' Purchased Power Model'!C158</f>
        <v>261176261.29999998</v>
      </c>
      <c r="J4" s="435">
        <f>' Purchased Power Model'!C159</f>
        <v>257783039.52000001</v>
      </c>
      <c r="K4" s="436">
        <f>' Purchased Power Model'!C160</f>
        <v>255279338.42063153</v>
      </c>
    </row>
    <row r="5" spans="1:16" x14ac:dyDescent="0.2">
      <c r="A5" s="332" t="s">
        <v>58</v>
      </c>
      <c r="B5" s="435">
        <f>' Purchased Power Model'!O151</f>
        <v>254228729.31072789</v>
      </c>
      <c r="C5" s="435">
        <f>' Purchased Power Model'!O152</f>
        <v>256224434.65078807</v>
      </c>
      <c r="D5" s="435">
        <f>' Purchased Power Model'!O153</f>
        <v>262711306.3845306</v>
      </c>
      <c r="E5" s="435">
        <f>' Purchased Power Model'!O154</f>
        <v>258920895.58458561</v>
      </c>
      <c r="F5" s="435">
        <f>' Purchased Power Model'!O155</f>
        <v>262643290.11945468</v>
      </c>
      <c r="G5" s="435">
        <f>' Purchased Power Model'!O156</f>
        <v>262680307.28775746</v>
      </c>
      <c r="H5" s="435">
        <f>' Purchased Power Model'!O157</f>
        <v>252840613.46198899</v>
      </c>
      <c r="I5" s="435">
        <f>' Purchased Power Model'!O158</f>
        <v>257813626.74921685</v>
      </c>
      <c r="J5" s="435">
        <f>' Purchased Power Model'!O159</f>
        <v>259501516.17453444</v>
      </c>
      <c r="K5" s="436">
        <f>' Purchased Power Model'!O160</f>
        <v>258825832.80264035</v>
      </c>
      <c r="L5" s="435">
        <f>' Purchased Power Model'!O161</f>
        <v>261780933.65539229</v>
      </c>
      <c r="M5" s="435">
        <f>' Purchased Power Model'!O162</f>
        <v>264642021.95537755</v>
      </c>
    </row>
    <row r="6" spans="1:16" x14ac:dyDescent="0.2">
      <c r="A6" s="332" t="s">
        <v>8</v>
      </c>
      <c r="B6" s="437">
        <f t="shared" ref="B6:K6" si="0">(B5-B4)/B4</f>
        <v>1.722602425860572E-2</v>
      </c>
      <c r="C6" s="437">
        <f t="shared" si="0"/>
        <v>1.3073723775380911E-2</v>
      </c>
      <c r="D6" s="437">
        <f t="shared" si="0"/>
        <v>4.5549143771501941E-3</v>
      </c>
      <c r="E6" s="437">
        <f t="shared" si="0"/>
        <v>-1.5850008509088735E-2</v>
      </c>
      <c r="F6" s="437">
        <f t="shared" si="0"/>
        <v>-2.2242151611342575E-2</v>
      </c>
      <c r="G6" s="437">
        <f t="shared" si="0"/>
        <v>3.9628427015436975E-3</v>
      </c>
      <c r="H6" s="437">
        <f t="shared" si="0"/>
        <v>-6.4770555325065595E-3</v>
      </c>
      <c r="I6" s="437">
        <f t="shared" si="0"/>
        <v>-1.2874962425932879E-2</v>
      </c>
      <c r="J6" s="437">
        <f t="shared" si="0"/>
        <v>6.6663681898323718E-3</v>
      </c>
      <c r="K6" s="437">
        <f t="shared" si="0"/>
        <v>1.3892602526903898E-2</v>
      </c>
      <c r="L6" s="438"/>
      <c r="M6" s="438"/>
      <c r="N6" s="439"/>
      <c r="O6" s="440"/>
      <c r="P6" s="440"/>
    </row>
    <row r="7" spans="1:16" x14ac:dyDescent="0.2">
      <c r="B7" s="293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</row>
    <row r="8" spans="1:16" x14ac:dyDescent="0.2">
      <c r="A8" s="332" t="s">
        <v>60</v>
      </c>
      <c r="B8" s="435">
        <f>'Rate Class Energy Model'!G7</f>
        <v>240614498</v>
      </c>
      <c r="C8" s="435">
        <f>'Rate Class Energy Model'!G8</f>
        <v>242286509</v>
      </c>
      <c r="D8" s="435">
        <f>'Rate Class Energy Model'!G9</f>
        <v>249806945.43000001</v>
      </c>
      <c r="E8" s="435">
        <f>'Rate Class Energy Model'!G10</f>
        <v>250897682.89999998</v>
      </c>
      <c r="F8" s="435">
        <f>'Rate Class Energy Model'!G11</f>
        <v>256640768.54461268</v>
      </c>
      <c r="G8" s="435">
        <f>'Rate Class Energy Model'!G12</f>
        <v>249716485.17999998</v>
      </c>
      <c r="H8" s="435">
        <f>'Rate Class Energy Model'!G13</f>
        <v>243621742.88750911</v>
      </c>
      <c r="I8" s="435">
        <f>'Rate Class Energy Model'!G14</f>
        <v>247977784.0112164</v>
      </c>
      <c r="J8" s="435">
        <f>'Rate Class Energy Model'!G15</f>
        <v>245694442.94518963</v>
      </c>
      <c r="K8" s="436">
        <f>'Rate Class Energy Model'!G16</f>
        <v>244150335.63700858</v>
      </c>
      <c r="L8" s="436">
        <f>'Rate Class Energy Model'!N58</f>
        <v>248742348.39648202</v>
      </c>
      <c r="M8" s="436">
        <f>'Rate Class Energy Model'!N59</f>
        <v>249980679.21348122</v>
      </c>
      <c r="N8" s="439"/>
      <c r="O8" s="429"/>
      <c r="P8" s="429"/>
    </row>
    <row r="9" spans="1:16" x14ac:dyDescent="0.2">
      <c r="A9" s="293" t="s">
        <v>402</v>
      </c>
      <c r="B9" s="441">
        <f>B8/1000000</f>
        <v>240.614498</v>
      </c>
      <c r="C9" s="441">
        <f t="shared" ref="C9:M9" si="1">C8/1000000</f>
        <v>242.286509</v>
      </c>
      <c r="D9" s="441">
        <f t="shared" si="1"/>
        <v>249.80694543000001</v>
      </c>
      <c r="E9" s="441">
        <f t="shared" si="1"/>
        <v>250.89768289999998</v>
      </c>
      <c r="F9" s="441">
        <f t="shared" si="1"/>
        <v>256.64076854461268</v>
      </c>
      <c r="G9" s="441">
        <f t="shared" si="1"/>
        <v>249.71648517999998</v>
      </c>
      <c r="H9" s="441">
        <f t="shared" si="1"/>
        <v>243.6217428875091</v>
      </c>
      <c r="I9" s="441">
        <f t="shared" si="1"/>
        <v>247.97778401121641</v>
      </c>
      <c r="J9" s="441">
        <f t="shared" si="1"/>
        <v>245.69444294518962</v>
      </c>
      <c r="K9" s="441">
        <f t="shared" si="1"/>
        <v>244.15033563700857</v>
      </c>
      <c r="L9" s="441">
        <f t="shared" si="1"/>
        <v>248.74234839648202</v>
      </c>
      <c r="M9" s="441">
        <f t="shared" si="1"/>
        <v>249.98067921348121</v>
      </c>
    </row>
    <row r="10" spans="1:16" ht="15.75" x14ac:dyDescent="0.25">
      <c r="A10" s="431" t="s">
        <v>59</v>
      </c>
    </row>
    <row r="11" spans="1:16" x14ac:dyDescent="0.2">
      <c r="A11" s="442" t="str">
        <f>'Rate Class Energy Model'!H2</f>
        <v xml:space="preserve">Residential </v>
      </c>
    </row>
    <row r="12" spans="1:16" x14ac:dyDescent="0.2">
      <c r="A12" s="293" t="s">
        <v>47</v>
      </c>
      <c r="B12" s="443">
        <f>'Rate Class Customer Model'!B3</f>
        <v>9072.5</v>
      </c>
      <c r="C12" s="443">
        <f>'Rate Class Customer Model'!B4</f>
        <v>9278</v>
      </c>
      <c r="D12" s="443">
        <f>'Rate Class Customer Model'!B5</f>
        <v>9425</v>
      </c>
      <c r="E12" s="443">
        <f>'Rate Class Customer Model'!B6</f>
        <v>9482.5</v>
      </c>
      <c r="F12" s="443">
        <f>'Rate Class Customer Model'!B7</f>
        <v>9547</v>
      </c>
      <c r="G12" s="443">
        <f>'Rate Class Customer Model'!B8</f>
        <v>9618.5</v>
      </c>
      <c r="H12" s="443">
        <f>'Rate Class Customer Model'!B9</f>
        <v>9732</v>
      </c>
      <c r="I12" s="443">
        <f>'Rate Class Customer Model'!B10</f>
        <v>9888.5</v>
      </c>
      <c r="J12" s="443">
        <f>'Rate Class Customer Model'!B11</f>
        <v>9995</v>
      </c>
      <c r="K12" s="444">
        <f>'Rate Class Customer Model'!B12</f>
        <v>10085</v>
      </c>
      <c r="L12" s="443">
        <f>'Rate Class Customer Model'!B13</f>
        <v>10204.255841796119</v>
      </c>
      <c r="M12" s="443">
        <f>'Rate Class Customer Model'!B14</f>
        <v>10324.921892397642</v>
      </c>
    </row>
    <row r="13" spans="1:16" x14ac:dyDescent="0.2">
      <c r="A13" s="293" t="s">
        <v>48</v>
      </c>
      <c r="B13" s="443">
        <f t="array" ref="B13:K13">TRANSPOSE('Rate Class Energy Model'!H7:H16)</f>
        <v>82401296</v>
      </c>
      <c r="C13" s="443">
        <v>82624722</v>
      </c>
      <c r="D13" s="443">
        <v>87597048.719999999</v>
      </c>
      <c r="E13" s="443">
        <v>85059822.699999988</v>
      </c>
      <c r="F13" s="443">
        <v>85922368.839999989</v>
      </c>
      <c r="G13" s="443">
        <v>85459087.140000001</v>
      </c>
      <c r="H13" s="443">
        <v>84392286.059999987</v>
      </c>
      <c r="I13" s="443">
        <v>86211880</v>
      </c>
      <c r="J13" s="443">
        <v>85903538</v>
      </c>
      <c r="K13" s="444">
        <v>85673643</v>
      </c>
      <c r="L13" s="443">
        <f>'Rate Class Energy Model'!H58</f>
        <v>88880994.441716522</v>
      </c>
      <c r="M13" s="443">
        <f>'Rate Class Energy Model'!H59</f>
        <v>89827012.905997798</v>
      </c>
    </row>
    <row r="14" spans="1:16" x14ac:dyDescent="0.2">
      <c r="A14" s="293" t="s">
        <v>401</v>
      </c>
      <c r="B14" s="441">
        <f>B13/1000000</f>
        <v>82.401296000000002</v>
      </c>
      <c r="C14" s="441">
        <f t="shared" ref="C14" si="2">C13/1000000</f>
        <v>82.624722000000006</v>
      </c>
      <c r="D14" s="441">
        <f t="shared" ref="D14" si="3">D13/1000000</f>
        <v>87.597048720000004</v>
      </c>
      <c r="E14" s="441">
        <f t="shared" ref="E14" si="4">E13/1000000</f>
        <v>85.059822699999984</v>
      </c>
      <c r="F14" s="441">
        <f t="shared" ref="F14" si="5">F13/1000000</f>
        <v>85.92236883999999</v>
      </c>
      <c r="G14" s="441">
        <f t="shared" ref="G14" si="6">G13/1000000</f>
        <v>85.459087139999994</v>
      </c>
      <c r="H14" s="441">
        <f t="shared" ref="H14" si="7">H13/1000000</f>
        <v>84.392286059999989</v>
      </c>
      <c r="I14" s="441">
        <f t="shared" ref="I14" si="8">I13/1000000</f>
        <v>86.211879999999994</v>
      </c>
      <c r="J14" s="441">
        <f t="shared" ref="J14" si="9">J13/1000000</f>
        <v>85.903537999999998</v>
      </c>
      <c r="K14" s="441">
        <f t="shared" ref="K14" si="10">K13/1000000</f>
        <v>85.673642999999998</v>
      </c>
      <c r="L14" s="441">
        <f t="shared" ref="L14" si="11">L13/1000000</f>
        <v>88.880994441716524</v>
      </c>
      <c r="M14" s="441">
        <f t="shared" ref="M14" si="12">M13/1000000</f>
        <v>89.827012905997805</v>
      </c>
    </row>
    <row r="15" spans="1:16" x14ac:dyDescent="0.2">
      <c r="A15" s="442" t="str">
        <f>'Rate Class Energy Model'!I2</f>
        <v>General Service &lt; 50 kW</v>
      </c>
    </row>
    <row r="16" spans="1:16" x14ac:dyDescent="0.2">
      <c r="A16" s="293" t="s">
        <v>47</v>
      </c>
      <c r="B16" s="443">
        <f>'Rate Class Customer Model'!C3</f>
        <v>971.5</v>
      </c>
      <c r="C16" s="443">
        <f>'Rate Class Customer Model'!C4</f>
        <v>982.5</v>
      </c>
      <c r="D16" s="443">
        <f>'Rate Class Customer Model'!C5</f>
        <v>985.5</v>
      </c>
      <c r="E16" s="443">
        <f>'Rate Class Customer Model'!C6</f>
        <v>993.5</v>
      </c>
      <c r="F16" s="443">
        <f>'Rate Class Customer Model'!C7</f>
        <v>1029.5</v>
      </c>
      <c r="G16" s="443">
        <f>'Rate Class Customer Model'!C8</f>
        <v>1060.5</v>
      </c>
      <c r="H16" s="443">
        <f>'Rate Class Customer Model'!C9</f>
        <v>1106</v>
      </c>
      <c r="I16" s="443">
        <f>'Rate Class Customer Model'!C10</f>
        <v>1155.5</v>
      </c>
      <c r="J16" s="443">
        <f>'Rate Class Customer Model'!C11</f>
        <v>1126.5</v>
      </c>
      <c r="K16" s="443">
        <f>'Rate Class Customer Model'!C12</f>
        <v>1108</v>
      </c>
      <c r="L16" s="443">
        <f>'Rate Class Customer Model'!C13</f>
        <v>1124.3042867708639</v>
      </c>
      <c r="M16" s="443">
        <f>'Rate Class Customer Model'!C14</f>
        <v>1140.8484921040983</v>
      </c>
    </row>
    <row r="17" spans="1:13" x14ac:dyDescent="0.2">
      <c r="A17" s="293" t="s">
        <v>48</v>
      </c>
      <c r="B17" s="443">
        <f t="array" ref="B17:K17">TRANSPOSE('Rate Class Energy Model'!I7:I16)</f>
        <v>30457263</v>
      </c>
      <c r="C17" s="443">
        <v>30592102</v>
      </c>
      <c r="D17" s="443">
        <v>34393460</v>
      </c>
      <c r="E17" s="443">
        <v>35198595.559999995</v>
      </c>
      <c r="F17" s="443">
        <v>37055212.619999997</v>
      </c>
      <c r="G17" s="443">
        <v>37433972.129999995</v>
      </c>
      <c r="H17" s="443">
        <v>35466555.850000001</v>
      </c>
      <c r="I17" s="443">
        <v>36096661</v>
      </c>
      <c r="J17" s="443">
        <v>35863634</v>
      </c>
      <c r="K17" s="443">
        <v>35683448</v>
      </c>
      <c r="L17" s="443">
        <f>'Rate Class Energy Model'!I58</f>
        <v>37014297.944330722</v>
      </c>
      <c r="M17" s="443">
        <f>'Rate Class Energy Model'!I59</f>
        <v>37298288.334516436</v>
      </c>
    </row>
    <row r="18" spans="1:13" x14ac:dyDescent="0.2">
      <c r="A18" s="293" t="s">
        <v>401</v>
      </c>
      <c r="B18" s="445">
        <f>B17/1000000</f>
        <v>30.457263000000001</v>
      </c>
      <c r="C18" s="441">
        <f t="shared" ref="C18" si="13">C17/1000000</f>
        <v>30.592102000000001</v>
      </c>
      <c r="D18" s="441">
        <f t="shared" ref="D18" si="14">D17/1000000</f>
        <v>34.393459999999997</v>
      </c>
      <c r="E18" s="441">
        <f t="shared" ref="E18" si="15">E17/1000000</f>
        <v>35.198595559999994</v>
      </c>
      <c r="F18" s="441">
        <f t="shared" ref="F18" si="16">F17/1000000</f>
        <v>37.055212619999999</v>
      </c>
      <c r="G18" s="441">
        <f t="shared" ref="G18" si="17">G17/1000000</f>
        <v>37.433972129999994</v>
      </c>
      <c r="H18" s="441">
        <f t="shared" ref="H18" si="18">H17/1000000</f>
        <v>35.466555849999999</v>
      </c>
      <c r="I18" s="441">
        <f t="shared" ref="I18" si="19">I17/1000000</f>
        <v>36.096660999999997</v>
      </c>
      <c r="J18" s="441">
        <f t="shared" ref="J18" si="20">J17/1000000</f>
        <v>35.863633999999998</v>
      </c>
      <c r="K18" s="441">
        <f t="shared" ref="K18" si="21">K17/1000000</f>
        <v>35.683447999999999</v>
      </c>
      <c r="L18" s="441">
        <f t="shared" ref="L18" si="22">L17/1000000</f>
        <v>37.014297944330721</v>
      </c>
      <c r="M18" s="441">
        <f t="shared" ref="M18" si="23">M17/1000000</f>
        <v>37.298288334516435</v>
      </c>
    </row>
    <row r="19" spans="1:13" x14ac:dyDescent="0.2">
      <c r="A19" s="442" t="str">
        <f>'Rate Class Energy Model'!J2</f>
        <v>General Service &gt; 50</v>
      </c>
      <c r="L19" s="443"/>
      <c r="M19" s="443"/>
    </row>
    <row r="20" spans="1:13" x14ac:dyDescent="0.2">
      <c r="A20" s="293" t="s">
        <v>47</v>
      </c>
      <c r="B20" s="443">
        <f>'Rate Class Customer Model'!D3</f>
        <v>143</v>
      </c>
      <c r="C20" s="443">
        <f>'Rate Class Customer Model'!D4</f>
        <v>145.5</v>
      </c>
      <c r="D20" s="443">
        <f>'Rate Class Customer Model'!D5</f>
        <v>138</v>
      </c>
      <c r="E20" s="443">
        <f>'Rate Class Customer Model'!D6</f>
        <v>129.5</v>
      </c>
      <c r="F20" s="443">
        <f>'Rate Class Customer Model'!D7</f>
        <v>130.5</v>
      </c>
      <c r="G20" s="443">
        <f>'Rate Class Customer Model'!D8</f>
        <v>132</v>
      </c>
      <c r="H20" s="443">
        <f>'Rate Class Customer Model'!D9</f>
        <v>130.5</v>
      </c>
      <c r="I20" s="443">
        <f>'Rate Class Customer Model'!D10</f>
        <v>129.5</v>
      </c>
      <c r="J20" s="444">
        <f>'Rate Class Customer Model'!D11</f>
        <v>130.5</v>
      </c>
      <c r="K20" s="443">
        <f>'Rate Class Customer Model'!D12</f>
        <v>127</v>
      </c>
      <c r="L20" s="443">
        <f>'Rate Class Customer Model'!D13</f>
        <v>124</v>
      </c>
      <c r="M20" s="443">
        <f>'Rate Class Customer Model'!D14</f>
        <v>123</v>
      </c>
    </row>
    <row r="21" spans="1:13" x14ac:dyDescent="0.2">
      <c r="A21" s="293" t="s">
        <v>48</v>
      </c>
      <c r="B21" s="443">
        <f>'Rate Class Energy Model'!J7</f>
        <v>126068508</v>
      </c>
      <c r="C21" s="443">
        <f>'Rate Class Energy Model'!J8</f>
        <v>127240150</v>
      </c>
      <c r="D21" s="443">
        <f>'Rate Class Energy Model'!J9</f>
        <v>126094033</v>
      </c>
      <c r="E21" s="443">
        <f>'Rate Class Energy Model'!J10</f>
        <v>128541420.81</v>
      </c>
      <c r="F21" s="443">
        <f>'Rate Class Energy Model'!J11</f>
        <v>131518570.86461273</v>
      </c>
      <c r="G21" s="443">
        <f>'Rate Class Energy Model'!J12</f>
        <v>124560247.89999999</v>
      </c>
      <c r="H21" s="443">
        <f>'Rate Class Energy Model'!J13</f>
        <v>121491113.47750913</v>
      </c>
      <c r="I21" s="443">
        <f>'Rate Class Energy Model'!J14</f>
        <v>123390551.01121642</v>
      </c>
      <c r="J21" s="443">
        <f>'Rate Class Energy Model'!J15</f>
        <v>121707244.94518963</v>
      </c>
      <c r="K21" s="443">
        <f>'Rate Class Energy Model'!J16</f>
        <v>120453548.99700859</v>
      </c>
      <c r="L21" s="443">
        <f>'Rate Class Energy Model'!J58</f>
        <v>120548540.28792873</v>
      </c>
      <c r="M21" s="443">
        <f>'Rate Class Energy Model'!J59</f>
        <v>120512919.91850819</v>
      </c>
    </row>
    <row r="22" spans="1:13" x14ac:dyDescent="0.2">
      <c r="A22" s="293" t="s">
        <v>49</v>
      </c>
      <c r="B22" s="443">
        <f t="array" ref="B22:M22">TRANSPOSE('Rate Class Load Model'!B3:B14)</f>
        <v>303516</v>
      </c>
      <c r="C22" s="443">
        <v>301177.71999999997</v>
      </c>
      <c r="D22" s="443">
        <v>297873.01</v>
      </c>
      <c r="E22" s="443">
        <v>304913.78000000003</v>
      </c>
      <c r="F22" s="443">
        <v>313686.49999999994</v>
      </c>
      <c r="G22" s="443">
        <v>297641.89</v>
      </c>
      <c r="H22" s="443">
        <v>306994.46000000002</v>
      </c>
      <c r="I22" s="444">
        <v>298436.81999999995</v>
      </c>
      <c r="J22" s="444">
        <v>298210.00000000006</v>
      </c>
      <c r="K22" s="443">
        <v>295003.59999999998</v>
      </c>
      <c r="L22" s="443">
        <v>290865.21180620004</v>
      </c>
      <c r="M22" s="443">
        <v>290779.26529642585</v>
      </c>
    </row>
    <row r="23" spans="1:13" x14ac:dyDescent="0.2">
      <c r="A23" s="293" t="s">
        <v>403</v>
      </c>
      <c r="B23" s="445">
        <f>B21/1000000</f>
        <v>126.06850799999999</v>
      </c>
      <c r="C23" s="441">
        <f t="shared" ref="C23:M23" si="24">C21/1000000</f>
        <v>127.24015</v>
      </c>
      <c r="D23" s="441">
        <f t="shared" si="24"/>
        <v>126.094033</v>
      </c>
      <c r="E23" s="441">
        <f t="shared" si="24"/>
        <v>128.54142081000001</v>
      </c>
      <c r="F23" s="441">
        <f t="shared" si="24"/>
        <v>131.51857086461274</v>
      </c>
      <c r="G23" s="441">
        <f t="shared" si="24"/>
        <v>124.56024789999999</v>
      </c>
      <c r="H23" s="441">
        <f t="shared" si="24"/>
        <v>121.49111347750913</v>
      </c>
      <c r="I23" s="441">
        <f t="shared" si="24"/>
        <v>123.39055101121642</v>
      </c>
      <c r="J23" s="441">
        <f t="shared" si="24"/>
        <v>121.70724494518963</v>
      </c>
      <c r="K23" s="441">
        <f t="shared" si="24"/>
        <v>120.4535489970086</v>
      </c>
      <c r="L23" s="441">
        <f t="shared" si="24"/>
        <v>120.54854028792873</v>
      </c>
      <c r="M23" s="441">
        <f t="shared" si="24"/>
        <v>120.51291991850819</v>
      </c>
    </row>
    <row r="24" spans="1:13" x14ac:dyDescent="0.2">
      <c r="A24" s="442" t="str">
        <f>'Rate Class Energy Model'!K2</f>
        <v xml:space="preserve">Streetlights </v>
      </c>
      <c r="L24" s="443"/>
      <c r="M24" s="443"/>
    </row>
    <row r="25" spans="1:13" x14ac:dyDescent="0.2">
      <c r="A25" s="293" t="s">
        <v>343</v>
      </c>
      <c r="B25" s="443">
        <f>'Rate Class Customer Model'!E3</f>
        <v>2556.5</v>
      </c>
      <c r="C25" s="443">
        <f>'Rate Class Customer Model'!E4</f>
        <v>2621.5</v>
      </c>
      <c r="D25" s="443">
        <f>'Rate Class Customer Model'!E5</f>
        <v>2572.5</v>
      </c>
      <c r="E25" s="443">
        <f>'Rate Class Customer Model'!E6</f>
        <v>2506</v>
      </c>
      <c r="F25" s="443">
        <f>'Rate Class Customer Model'!E7</f>
        <v>2518.5</v>
      </c>
      <c r="G25" s="443">
        <f>'Rate Class Customer Model'!E8</f>
        <v>2642.5</v>
      </c>
      <c r="H25" s="443">
        <f>'Rate Class Customer Model'!E9</f>
        <v>2684</v>
      </c>
      <c r="I25" s="444">
        <f>'Rate Class Customer Model'!E10</f>
        <v>2698</v>
      </c>
      <c r="J25" s="444">
        <f>'Rate Class Customer Model'!E11</f>
        <v>2783.5</v>
      </c>
      <c r="K25" s="443">
        <f>'Rate Class Customer Model'!E12</f>
        <v>2810</v>
      </c>
      <c r="L25" s="443">
        <f>'Rate Class Customer Model'!E13</f>
        <v>2839.6747529083364</v>
      </c>
      <c r="M25" s="443">
        <f>'Rate Class Customer Model'!E14</f>
        <v>2869.6628833825698</v>
      </c>
    </row>
    <row r="26" spans="1:13" x14ac:dyDescent="0.2">
      <c r="A26" s="293" t="s">
        <v>48</v>
      </c>
      <c r="B26" s="443">
        <f t="array" ref="B26:K26">TRANSPOSE('Rate Class Energy Model'!K7:K16)</f>
        <v>1553494</v>
      </c>
      <c r="C26" s="443">
        <v>1695517</v>
      </c>
      <c r="D26" s="443">
        <v>1587029.58</v>
      </c>
      <c r="E26" s="443">
        <v>1594469.23</v>
      </c>
      <c r="F26" s="443">
        <v>1615441.3500000003</v>
      </c>
      <c r="G26" s="443">
        <v>1734012.2599999998</v>
      </c>
      <c r="H26" s="443">
        <v>1770107.1300000001</v>
      </c>
      <c r="I26" s="443">
        <v>1777519</v>
      </c>
      <c r="J26" s="443">
        <v>1782726</v>
      </c>
      <c r="K26" s="443">
        <v>1801370.64</v>
      </c>
      <c r="L26" s="443">
        <f>'Rate Class Energy Model'!K58</f>
        <v>1831246.477157607</v>
      </c>
      <c r="M26" s="443">
        <f>'Rate Class Energy Model'!K59</f>
        <v>1861617.8068174501</v>
      </c>
    </row>
    <row r="27" spans="1:13" x14ac:dyDescent="0.2">
      <c r="A27" s="293" t="s">
        <v>49</v>
      </c>
      <c r="B27" s="443">
        <f t="array" ref="B27:M27">TRANSPOSE('Rate Class Load Model'!C3:C14)</f>
        <v>4595</v>
      </c>
      <c r="C27" s="443">
        <v>4701</v>
      </c>
      <c r="D27" s="443">
        <v>4431.21</v>
      </c>
      <c r="E27" s="443">
        <v>4452.3599999999997</v>
      </c>
      <c r="F27" s="443">
        <v>4445.4399999999996</v>
      </c>
      <c r="G27" s="443">
        <v>4841.55</v>
      </c>
      <c r="H27" s="443">
        <v>5111.5600000000004</v>
      </c>
      <c r="I27" s="444">
        <v>4952.9000000000005</v>
      </c>
      <c r="J27" s="444">
        <v>4553.3</v>
      </c>
      <c r="K27" s="443">
        <v>5416.0000000000009</v>
      </c>
      <c r="L27" s="443">
        <v>4418.5179942916502</v>
      </c>
      <c r="M27" s="443">
        <v>5229.9860393372019</v>
      </c>
    </row>
    <row r="28" spans="1:13" x14ac:dyDescent="0.2">
      <c r="A28" s="293" t="s">
        <v>403</v>
      </c>
      <c r="B28" s="445">
        <f>B26/1000000</f>
        <v>1.5534939999999999</v>
      </c>
      <c r="C28" s="441">
        <f t="shared" ref="C28:M28" si="25">C26/1000000</f>
        <v>1.6955169999999999</v>
      </c>
      <c r="D28" s="441">
        <f t="shared" si="25"/>
        <v>1.5870295800000001</v>
      </c>
      <c r="E28" s="441">
        <f t="shared" si="25"/>
        <v>1.5944692300000001</v>
      </c>
      <c r="F28" s="441">
        <f t="shared" si="25"/>
        <v>1.6154413500000002</v>
      </c>
      <c r="G28" s="441">
        <f t="shared" si="25"/>
        <v>1.7340122599999999</v>
      </c>
      <c r="H28" s="441">
        <f t="shared" si="25"/>
        <v>1.7701071300000002</v>
      </c>
      <c r="I28" s="441">
        <f t="shared" si="25"/>
        <v>1.7775190000000001</v>
      </c>
      <c r="J28" s="441">
        <f t="shared" si="25"/>
        <v>1.782726</v>
      </c>
      <c r="K28" s="441">
        <f t="shared" si="25"/>
        <v>1.8013706399999998</v>
      </c>
      <c r="L28" s="441">
        <f t="shared" si="25"/>
        <v>1.8312464771576069</v>
      </c>
      <c r="M28" s="441">
        <f t="shared" si="25"/>
        <v>1.86161780681745</v>
      </c>
    </row>
    <row r="29" spans="1:13" x14ac:dyDescent="0.2">
      <c r="A29" s="442" t="str">
        <f>'Rate Class Energy Model'!L2</f>
        <v>Sentinel Lights</v>
      </c>
      <c r="L29" s="443"/>
      <c r="M29" s="443"/>
    </row>
    <row r="30" spans="1:13" x14ac:dyDescent="0.2">
      <c r="A30" s="293" t="s">
        <v>68</v>
      </c>
      <c r="B30" s="443">
        <f>'Rate Class Customer Model'!F3</f>
        <v>164</v>
      </c>
      <c r="C30" s="443">
        <f>'Rate Class Customer Model'!F4</f>
        <v>168</v>
      </c>
      <c r="D30" s="443">
        <f>'Rate Class Customer Model'!F5</f>
        <v>173</v>
      </c>
      <c r="E30" s="443">
        <f>'Rate Class Customer Model'!F6</f>
        <v>175</v>
      </c>
      <c r="F30" s="443">
        <f>'Rate Class Customer Model'!F7</f>
        <v>178.5</v>
      </c>
      <c r="G30" s="443">
        <f>'Rate Class Customer Model'!F8</f>
        <v>176.5</v>
      </c>
      <c r="H30" s="443">
        <f>'Rate Class Customer Model'!F9</f>
        <v>172</v>
      </c>
      <c r="I30" s="444">
        <f>'Rate Class Customer Model'!F10</f>
        <v>166</v>
      </c>
      <c r="J30" s="444">
        <f>'Rate Class Customer Model'!F11</f>
        <v>161.5</v>
      </c>
      <c r="K30" s="443">
        <f>'Rate Class Customer Model'!F12</f>
        <v>157</v>
      </c>
      <c r="L30" s="443">
        <f>'Rate Class Customer Model'!F13</f>
        <v>156.24090353060024</v>
      </c>
      <c r="M30" s="443">
        <f>'Rate Class Customer Model'!F14</f>
        <v>155.48547729973458</v>
      </c>
    </row>
    <row r="31" spans="1:13" x14ac:dyDescent="0.2">
      <c r="A31" s="293" t="s">
        <v>48</v>
      </c>
      <c r="B31" s="443">
        <f t="array" ref="B31:K31">TRANSPOSE('Rate Class Energy Model'!L7:L16)</f>
        <v>133937</v>
      </c>
      <c r="C31" s="443">
        <v>134018</v>
      </c>
      <c r="D31" s="443">
        <v>135374.13</v>
      </c>
      <c r="E31" s="443">
        <v>130122.38</v>
      </c>
      <c r="F31" s="443">
        <v>133475.94999999998</v>
      </c>
      <c r="G31" s="443">
        <v>136891.63999999998</v>
      </c>
      <c r="H31" s="443">
        <v>128509.83</v>
      </c>
      <c r="I31" s="443">
        <v>127445</v>
      </c>
      <c r="J31" s="443">
        <v>99117</v>
      </c>
      <c r="K31" s="443">
        <v>124534</v>
      </c>
      <c r="L31" s="446">
        <f>'Rate Class Energy Model'!L58</f>
        <v>123530.84818503985</v>
      </c>
      <c r="M31" s="446">
        <f>'Rate Class Energy Model'!L59</f>
        <v>122535.77700319083</v>
      </c>
    </row>
    <row r="32" spans="1:13" x14ac:dyDescent="0.2">
      <c r="A32" s="293" t="s">
        <v>49</v>
      </c>
      <c r="B32" s="443">
        <f t="array" ref="B32:M32">TRANSPOSE('Rate Class Load Model'!D3:D14)</f>
        <v>374</v>
      </c>
      <c r="C32" s="443">
        <v>372</v>
      </c>
      <c r="D32" s="443">
        <v>363.54</v>
      </c>
      <c r="E32" s="443">
        <v>370.18</v>
      </c>
      <c r="F32" s="443">
        <v>373.39</v>
      </c>
      <c r="G32" s="443">
        <v>378.71</v>
      </c>
      <c r="H32" s="443">
        <v>361.94000000000005</v>
      </c>
      <c r="I32" s="444">
        <v>351.69999999999993</v>
      </c>
      <c r="J32" s="444">
        <v>274.29999999999995</v>
      </c>
      <c r="K32" s="443">
        <v>329.80000000000007</v>
      </c>
      <c r="L32" s="443">
        <v>298.06106516197389</v>
      </c>
      <c r="M32" s="443">
        <v>338.86175995396366</v>
      </c>
    </row>
    <row r="33" spans="1:13" x14ac:dyDescent="0.2">
      <c r="A33" s="293" t="s">
        <v>403</v>
      </c>
      <c r="B33" s="445">
        <f>B31/1000000</f>
        <v>0.133937</v>
      </c>
      <c r="C33" s="441">
        <f t="shared" ref="C33:M33" si="26">C31/1000000</f>
        <v>0.134018</v>
      </c>
      <c r="D33" s="441">
        <f t="shared" si="26"/>
        <v>0.13537413000000001</v>
      </c>
      <c r="E33" s="441">
        <f t="shared" si="26"/>
        <v>0.13012238000000001</v>
      </c>
      <c r="F33" s="441">
        <f t="shared" si="26"/>
        <v>0.13347594999999998</v>
      </c>
      <c r="G33" s="441">
        <f t="shared" si="26"/>
        <v>0.13689163999999998</v>
      </c>
      <c r="H33" s="441">
        <f t="shared" si="26"/>
        <v>0.12850982999999999</v>
      </c>
      <c r="I33" s="441">
        <f t="shared" si="26"/>
        <v>0.127445</v>
      </c>
      <c r="J33" s="441">
        <f t="shared" si="26"/>
        <v>9.9116999999999997E-2</v>
      </c>
      <c r="K33" s="441">
        <f t="shared" si="26"/>
        <v>0.12453400000000001</v>
      </c>
      <c r="L33" s="441">
        <f t="shared" si="26"/>
        <v>0.12353084818503986</v>
      </c>
      <c r="M33" s="441">
        <f t="shared" si="26"/>
        <v>0.12253577700319083</v>
      </c>
    </row>
    <row r="34" spans="1:13" x14ac:dyDescent="0.2">
      <c r="A34" s="442" t="str">
        <f>'Rate Class Energy Model'!M2</f>
        <v xml:space="preserve">Unmetered Loads </v>
      </c>
    </row>
    <row r="35" spans="1:13" x14ac:dyDescent="0.2">
      <c r="A35" s="293" t="s">
        <v>68</v>
      </c>
      <c r="B35" s="443">
        <f>'Rate Class Customer Model'!G3</f>
        <v>0</v>
      </c>
      <c r="C35" s="443">
        <f>'Rate Class Customer Model'!G4</f>
        <v>0</v>
      </c>
      <c r="D35" s="443">
        <f>'Rate Class Customer Model'!G5</f>
        <v>0</v>
      </c>
      <c r="E35" s="443">
        <f>'Rate Class Customer Model'!G6</f>
        <v>151</v>
      </c>
      <c r="F35" s="443">
        <f>'Rate Class Customer Model'!G7</f>
        <v>152.5</v>
      </c>
      <c r="G35" s="443">
        <f>'Rate Class Customer Model'!G8</f>
        <v>154</v>
      </c>
      <c r="H35" s="443">
        <f>'Rate Class Customer Model'!G9</f>
        <v>154</v>
      </c>
      <c r="I35" s="444">
        <f>'Rate Class Customer Model'!G10</f>
        <v>156</v>
      </c>
      <c r="J35" s="444">
        <f>'Rate Class Customer Model'!G11</f>
        <v>157.5</v>
      </c>
      <c r="K35" s="443">
        <f>'Rate Class Customer Model'!G12</f>
        <v>130.5</v>
      </c>
      <c r="L35" s="443">
        <f>'Rate Class Customer Model'!G13</f>
        <v>104</v>
      </c>
      <c r="M35" s="443">
        <f>'Rate Class Customer Model'!G14</f>
        <v>104</v>
      </c>
    </row>
    <row r="36" spans="1:13" x14ac:dyDescent="0.2">
      <c r="A36" s="293" t="s">
        <v>48</v>
      </c>
      <c r="B36" s="443">
        <f>'Rate Class Energy Model'!M7</f>
        <v>0</v>
      </c>
      <c r="C36" s="443">
        <f>'Rate Class Energy Model'!M8</f>
        <v>0</v>
      </c>
      <c r="D36" s="443">
        <f>'Rate Class Energy Model'!M9</f>
        <v>0</v>
      </c>
      <c r="E36" s="443">
        <f>'Rate Class Energy Model'!M10</f>
        <v>373252.22</v>
      </c>
      <c r="F36" s="443">
        <f>'Rate Class Energy Model'!M11</f>
        <v>395698.92</v>
      </c>
      <c r="G36" s="443">
        <f>'Rate Class Energy Model'!M12</f>
        <v>392274.11</v>
      </c>
      <c r="H36" s="443">
        <f>'Rate Class Energy Model'!M13</f>
        <v>373170.54000000004</v>
      </c>
      <c r="I36" s="443">
        <f>'Rate Class Energy Model'!M14</f>
        <v>373728</v>
      </c>
      <c r="J36" s="443">
        <f>'Rate Class Energy Model'!M15</f>
        <v>338183</v>
      </c>
      <c r="K36" s="443">
        <f>'Rate Class Energy Model'!M16</f>
        <v>413791</v>
      </c>
      <c r="L36" s="443">
        <f>'Rate Class Energy Model'!M58</f>
        <v>343738.39716340863</v>
      </c>
      <c r="M36" s="443">
        <f>'Rate Class Energy Model'!M59</f>
        <v>358304.47063816962</v>
      </c>
    </row>
    <row r="37" spans="1:13" x14ac:dyDescent="0.2">
      <c r="A37" s="293" t="s">
        <v>401</v>
      </c>
      <c r="B37" s="432">
        <f>B36/1000000</f>
        <v>0</v>
      </c>
      <c r="C37" s="447">
        <f t="shared" ref="C37:M37" si="27">C36/1000000</f>
        <v>0</v>
      </c>
      <c r="D37" s="447">
        <f t="shared" si="27"/>
        <v>0</v>
      </c>
      <c r="E37" s="447">
        <f t="shared" si="27"/>
        <v>0.37325221999999997</v>
      </c>
      <c r="F37" s="447">
        <f t="shared" si="27"/>
        <v>0.39569892000000001</v>
      </c>
      <c r="G37" s="447">
        <f t="shared" si="27"/>
        <v>0.39227411000000001</v>
      </c>
      <c r="H37" s="447">
        <f t="shared" si="27"/>
        <v>0.37317054000000005</v>
      </c>
      <c r="I37" s="447">
        <f t="shared" si="27"/>
        <v>0.373728</v>
      </c>
      <c r="J37" s="447">
        <f t="shared" si="27"/>
        <v>0.33818300000000001</v>
      </c>
      <c r="K37" s="447">
        <f t="shared" si="27"/>
        <v>0.41379100000000002</v>
      </c>
      <c r="L37" s="447">
        <f t="shared" si="27"/>
        <v>0.34373839716340865</v>
      </c>
      <c r="M37" s="447">
        <f t="shared" si="27"/>
        <v>0.35830447063816961</v>
      </c>
    </row>
    <row r="38" spans="1:13" x14ac:dyDescent="0.2">
      <c r="A38" s="442" t="s">
        <v>69</v>
      </c>
      <c r="B38" s="443"/>
      <c r="C38" s="443"/>
      <c r="D38" s="443"/>
      <c r="E38" s="443"/>
      <c r="G38" s="443"/>
      <c r="H38" s="443"/>
      <c r="I38" s="443"/>
      <c r="J38" s="443"/>
      <c r="K38" s="444"/>
    </row>
    <row r="39" spans="1:13" x14ac:dyDescent="0.2">
      <c r="A39" s="293" t="s">
        <v>56</v>
      </c>
      <c r="B39" s="443">
        <f>B12+B16+B20+B25+B30+B35</f>
        <v>12907.5</v>
      </c>
      <c r="C39" s="443">
        <f t="shared" ref="C39:M39" si="28">C12+C16+C20+C25+C30+C35</f>
        <v>13195.5</v>
      </c>
      <c r="D39" s="443">
        <f t="shared" si="28"/>
        <v>13294</v>
      </c>
      <c r="E39" s="443">
        <f t="shared" si="28"/>
        <v>13437.5</v>
      </c>
      <c r="F39" s="443">
        <f t="shared" si="28"/>
        <v>13556.5</v>
      </c>
      <c r="G39" s="443">
        <f t="shared" si="28"/>
        <v>13784</v>
      </c>
      <c r="H39" s="443">
        <f t="shared" si="28"/>
        <v>13978.5</v>
      </c>
      <c r="I39" s="443">
        <f t="shared" si="28"/>
        <v>14193.5</v>
      </c>
      <c r="J39" s="443">
        <f t="shared" si="28"/>
        <v>14354.5</v>
      </c>
      <c r="K39" s="443">
        <f t="shared" si="28"/>
        <v>14417.5</v>
      </c>
      <c r="L39" s="443">
        <f t="shared" si="28"/>
        <v>14552.475785005921</v>
      </c>
      <c r="M39" s="443">
        <f t="shared" si="28"/>
        <v>14717.918745184044</v>
      </c>
    </row>
    <row r="40" spans="1:13" x14ac:dyDescent="0.2">
      <c r="A40" s="293" t="s">
        <v>48</v>
      </c>
      <c r="B40" s="443">
        <f>B13+B17+B21+B26+B31+B36</f>
        <v>240614498</v>
      </c>
      <c r="C40" s="443">
        <f t="shared" ref="C40:M40" si="29">C13+C17+C21+C26+C31+C36</f>
        <v>242286509</v>
      </c>
      <c r="D40" s="443">
        <f t="shared" si="29"/>
        <v>249806945.43000001</v>
      </c>
      <c r="E40" s="443">
        <f t="shared" si="29"/>
        <v>250897682.89999998</v>
      </c>
      <c r="F40" s="443">
        <f t="shared" si="29"/>
        <v>256640768.54461268</v>
      </c>
      <c r="G40" s="443">
        <f t="shared" si="29"/>
        <v>249716485.17999998</v>
      </c>
      <c r="H40" s="443">
        <f t="shared" si="29"/>
        <v>243621742.88750911</v>
      </c>
      <c r="I40" s="443">
        <f t="shared" si="29"/>
        <v>247977784.0112164</v>
      </c>
      <c r="J40" s="443">
        <f>J13+J17+J21+J26+J31+J36</f>
        <v>245694442.94518963</v>
      </c>
      <c r="K40" s="443">
        <f t="shared" si="29"/>
        <v>244150335.63700858</v>
      </c>
      <c r="L40" s="443">
        <f t="shared" si="29"/>
        <v>248742348.39648202</v>
      </c>
      <c r="M40" s="443">
        <f t="shared" si="29"/>
        <v>249980679.21348122</v>
      </c>
    </row>
    <row r="41" spans="1:13" x14ac:dyDescent="0.2">
      <c r="A41" s="293" t="s">
        <v>55</v>
      </c>
      <c r="B41" s="443">
        <f>B22+B27+B32</f>
        <v>308485</v>
      </c>
      <c r="C41" s="443">
        <f t="shared" ref="C41:M41" si="30">C22+C27+C32</f>
        <v>306250.71999999997</v>
      </c>
      <c r="D41" s="443">
        <f t="shared" si="30"/>
        <v>302667.76</v>
      </c>
      <c r="E41" s="443">
        <f t="shared" si="30"/>
        <v>309736.32000000001</v>
      </c>
      <c r="F41" s="443">
        <f t="shared" si="30"/>
        <v>318505.32999999996</v>
      </c>
      <c r="G41" s="443">
        <f t="shared" si="30"/>
        <v>302862.15000000002</v>
      </c>
      <c r="H41" s="443">
        <f t="shared" si="30"/>
        <v>312467.96000000002</v>
      </c>
      <c r="I41" s="443">
        <f t="shared" si="30"/>
        <v>303741.42</v>
      </c>
      <c r="J41" s="443">
        <f t="shared" si="30"/>
        <v>303037.60000000003</v>
      </c>
      <c r="K41" s="443">
        <f t="shared" si="30"/>
        <v>300749.39999999997</v>
      </c>
      <c r="L41" s="443">
        <f t="shared" si="30"/>
        <v>295581.79086565366</v>
      </c>
      <c r="M41" s="443">
        <f t="shared" si="30"/>
        <v>296348.11309571698</v>
      </c>
    </row>
    <row r="43" spans="1:13" x14ac:dyDescent="0.2">
      <c r="A43" s="442" t="s">
        <v>70</v>
      </c>
      <c r="L43" s="443"/>
      <c r="M43" s="443"/>
    </row>
    <row r="44" spans="1:13" x14ac:dyDescent="0.2">
      <c r="A44" s="293" t="s">
        <v>56</v>
      </c>
      <c r="B44" s="443">
        <f>'Rate Class Customer Model'!H3</f>
        <v>12907.5</v>
      </c>
      <c r="C44" s="443">
        <f>'Rate Class Customer Model'!H4</f>
        <v>13195.5</v>
      </c>
      <c r="D44" s="443">
        <f>'Rate Class Customer Model'!H5</f>
        <v>13294</v>
      </c>
      <c r="E44" s="443">
        <f>'Rate Class Customer Model'!H6</f>
        <v>13437.5</v>
      </c>
      <c r="F44" s="443">
        <f>'Rate Class Customer Model'!H7</f>
        <v>13556.5</v>
      </c>
      <c r="G44" s="443">
        <f>'Rate Class Customer Model'!H8</f>
        <v>13784</v>
      </c>
      <c r="H44" s="443">
        <f>'Rate Class Customer Model'!H9</f>
        <v>13978.5</v>
      </c>
      <c r="I44" s="443">
        <f>'Rate Class Customer Model'!H10</f>
        <v>14193.5</v>
      </c>
      <c r="J44" s="443">
        <f>'Rate Class Customer Model'!H11</f>
        <v>14354.5</v>
      </c>
      <c r="K44" s="443">
        <f>'Rate Class Customer Model'!H12</f>
        <v>14417.5</v>
      </c>
      <c r="L44" s="443">
        <f>'Rate Class Customer Model'!H13</f>
        <v>14552.475785005921</v>
      </c>
      <c r="M44" s="443">
        <f>'Rate Class Customer Model'!H14</f>
        <v>14717.918745184044</v>
      </c>
    </row>
    <row r="45" spans="1:13" x14ac:dyDescent="0.2">
      <c r="A45" s="293" t="s">
        <v>48</v>
      </c>
      <c r="B45" s="443">
        <f t="array" ref="B45:K45">TRANSPOSE('Rate Class Energy Model'!G7:G16)</f>
        <v>240614498</v>
      </c>
      <c r="C45" s="443">
        <v>242286509</v>
      </c>
      <c r="D45" s="443">
        <v>249806945.43000001</v>
      </c>
      <c r="E45" s="443">
        <v>250897682.89999998</v>
      </c>
      <c r="F45" s="443">
        <v>256640768.54461268</v>
      </c>
      <c r="G45" s="443">
        <v>249716485.17999998</v>
      </c>
      <c r="H45" s="443">
        <v>243621742.88750911</v>
      </c>
      <c r="I45" s="443">
        <v>247977784.0112164</v>
      </c>
      <c r="J45" s="443">
        <v>245694442.94518963</v>
      </c>
      <c r="K45" s="444">
        <v>244150335.63700858</v>
      </c>
      <c r="L45" s="443">
        <f>'Rate Class Energy Model'!N58</f>
        <v>248742348.39648202</v>
      </c>
      <c r="M45" s="443">
        <f>'Rate Class Energy Model'!N59</f>
        <v>249980679.21348122</v>
      </c>
    </row>
    <row r="46" spans="1:13" x14ac:dyDescent="0.2">
      <c r="A46" s="293" t="s">
        <v>55</v>
      </c>
      <c r="B46" s="443">
        <f t="array" ref="B46:M46">TRANSPOSE('Rate Class Load Model'!E3:E14)</f>
        <v>308485</v>
      </c>
      <c r="C46" s="443">
        <v>306250.71999999997</v>
      </c>
      <c r="D46" s="443">
        <v>302667.76</v>
      </c>
      <c r="E46" s="443">
        <v>309736.32000000001</v>
      </c>
      <c r="F46" s="443">
        <v>318505.32999999996</v>
      </c>
      <c r="G46" s="443">
        <v>302862.15000000002</v>
      </c>
      <c r="H46" s="443">
        <v>312467.96000000002</v>
      </c>
      <c r="I46" s="444">
        <v>303741.42</v>
      </c>
      <c r="J46" s="444">
        <v>303037.60000000003</v>
      </c>
      <c r="K46" s="443">
        <v>300749.39999999997</v>
      </c>
      <c r="L46" s="443">
        <v>295581.79086565366</v>
      </c>
      <c r="M46" s="443">
        <v>296348.11309571698</v>
      </c>
    </row>
    <row r="48" spans="1:13" x14ac:dyDescent="0.2">
      <c r="A48" s="442" t="s">
        <v>71</v>
      </c>
      <c r="B48" s="443"/>
      <c r="C48" s="443"/>
      <c r="D48" s="443"/>
      <c r="E48" s="443"/>
      <c r="F48" s="443"/>
      <c r="G48" s="443"/>
      <c r="H48" s="443"/>
      <c r="I48" s="443"/>
      <c r="J48" s="443"/>
      <c r="K48" s="443"/>
      <c r="L48" s="443"/>
      <c r="M48" s="443"/>
    </row>
    <row r="49" spans="1:13" x14ac:dyDescent="0.2">
      <c r="A49" s="293" t="s">
        <v>56</v>
      </c>
      <c r="B49" s="443">
        <f>B39-B44</f>
        <v>0</v>
      </c>
      <c r="C49" s="443">
        <f t="shared" ref="C49:L49" si="31">C39-C44</f>
        <v>0</v>
      </c>
      <c r="D49" s="443">
        <f t="shared" si="31"/>
        <v>0</v>
      </c>
      <c r="E49" s="443">
        <f t="shared" si="31"/>
        <v>0</v>
      </c>
      <c r="F49" s="443">
        <f t="shared" si="31"/>
        <v>0</v>
      </c>
      <c r="G49" s="443">
        <f t="shared" si="31"/>
        <v>0</v>
      </c>
      <c r="H49" s="443">
        <f t="shared" si="31"/>
        <v>0</v>
      </c>
      <c r="I49" s="443">
        <f t="shared" si="31"/>
        <v>0</v>
      </c>
      <c r="J49" s="443">
        <f t="shared" si="31"/>
        <v>0</v>
      </c>
      <c r="K49" s="443">
        <f t="shared" si="31"/>
        <v>0</v>
      </c>
      <c r="L49" s="443">
        <f t="shared" si="31"/>
        <v>0</v>
      </c>
      <c r="M49" s="443">
        <f t="shared" ref="M49" si="32">M39-M44</f>
        <v>0</v>
      </c>
    </row>
    <row r="50" spans="1:13" x14ac:dyDescent="0.2">
      <c r="A50" s="293" t="s">
        <v>48</v>
      </c>
      <c r="B50" s="443">
        <f>B40-B45</f>
        <v>0</v>
      </c>
      <c r="C50" s="443">
        <f t="shared" ref="C50:L50" si="33">C40-C45</f>
        <v>0</v>
      </c>
      <c r="D50" s="443">
        <f t="shared" si="33"/>
        <v>0</v>
      </c>
      <c r="E50" s="443">
        <f t="shared" si="33"/>
        <v>0</v>
      </c>
      <c r="F50" s="443">
        <f t="shared" si="33"/>
        <v>0</v>
      </c>
      <c r="G50" s="443">
        <f t="shared" si="33"/>
        <v>0</v>
      </c>
      <c r="H50" s="443">
        <f t="shared" si="33"/>
        <v>0</v>
      </c>
      <c r="I50" s="443">
        <f t="shared" si="33"/>
        <v>0</v>
      </c>
      <c r="J50" s="443">
        <f t="shared" si="33"/>
        <v>0</v>
      </c>
      <c r="K50" s="443">
        <f t="shared" si="33"/>
        <v>0</v>
      </c>
      <c r="L50" s="443">
        <f t="shared" si="33"/>
        <v>0</v>
      </c>
      <c r="M50" s="443">
        <f t="shared" ref="M50" si="34">M40-M45</f>
        <v>0</v>
      </c>
    </row>
    <row r="51" spans="1:13" x14ac:dyDescent="0.2">
      <c r="A51" s="293" t="s">
        <v>55</v>
      </c>
      <c r="B51" s="443">
        <f>B41-B46</f>
        <v>0</v>
      </c>
      <c r="C51" s="443">
        <f t="shared" ref="C51:L51" si="35">C41-C46</f>
        <v>0</v>
      </c>
      <c r="D51" s="443">
        <f t="shared" si="35"/>
        <v>0</v>
      </c>
      <c r="E51" s="443">
        <f t="shared" si="35"/>
        <v>0</v>
      </c>
      <c r="F51" s="443">
        <f t="shared" si="35"/>
        <v>0</v>
      </c>
      <c r="G51" s="443">
        <f t="shared" si="35"/>
        <v>0</v>
      </c>
      <c r="H51" s="443">
        <f t="shared" si="35"/>
        <v>0</v>
      </c>
      <c r="I51" s="443">
        <f t="shared" si="35"/>
        <v>0</v>
      </c>
      <c r="J51" s="443">
        <f t="shared" si="35"/>
        <v>0</v>
      </c>
      <c r="K51" s="443">
        <f t="shared" si="35"/>
        <v>0</v>
      </c>
      <c r="L51" s="443">
        <f t="shared" si="35"/>
        <v>0</v>
      </c>
      <c r="M51" s="443">
        <f t="shared" ref="M51" si="36">M41-M46</f>
        <v>0</v>
      </c>
    </row>
    <row r="54" spans="1:13" x14ac:dyDescent="0.2">
      <c r="B54" s="445">
        <v>2003</v>
      </c>
      <c r="C54" s="445">
        <v>2004</v>
      </c>
      <c r="D54" s="445">
        <v>2005</v>
      </c>
      <c r="E54" s="445">
        <v>2006</v>
      </c>
      <c r="F54" s="445">
        <v>2007</v>
      </c>
      <c r="G54" s="445">
        <v>2008</v>
      </c>
      <c r="H54" s="445">
        <v>2009</v>
      </c>
      <c r="I54" s="445">
        <v>2010</v>
      </c>
      <c r="J54" s="445">
        <v>2011</v>
      </c>
      <c r="K54" s="445">
        <v>2012</v>
      </c>
      <c r="L54" s="445"/>
      <c r="M54" s="293"/>
    </row>
    <row r="55" spans="1:13" x14ac:dyDescent="0.2">
      <c r="A55" s="293" t="s">
        <v>344</v>
      </c>
      <c r="B55" s="435">
        <f t="shared" ref="B55:K55" si="37">B4/1000000</f>
        <v>249.92354034199997</v>
      </c>
      <c r="C55" s="435">
        <f t="shared" si="37"/>
        <v>252.91785645759998</v>
      </c>
      <c r="D55" s="435">
        <f t="shared" si="37"/>
        <v>261.52010469972004</v>
      </c>
      <c r="E55" s="435">
        <f t="shared" si="37"/>
        <v>263.09088840446003</v>
      </c>
      <c r="F55" s="435">
        <f t="shared" si="37"/>
        <v>268.61793086324002</v>
      </c>
      <c r="G55" s="435">
        <f t="shared" si="37"/>
        <v>261.64345543000002</v>
      </c>
      <c r="H55" s="435">
        <f t="shared" si="37"/>
        <v>254.48895253999999</v>
      </c>
      <c r="I55" s="435">
        <f t="shared" si="37"/>
        <v>261.17626129999996</v>
      </c>
      <c r="J55" s="435">
        <f t="shared" si="37"/>
        <v>257.78303951999999</v>
      </c>
      <c r="K55" s="435">
        <f t="shared" si="37"/>
        <v>255.27933842063152</v>
      </c>
      <c r="M55" s="293"/>
    </row>
    <row r="56" spans="1:13" x14ac:dyDescent="0.2">
      <c r="A56" s="293" t="s">
        <v>345</v>
      </c>
      <c r="B56" s="435">
        <f t="shared" ref="B56:K56" si="38">B5/1000000</f>
        <v>254.22872931072789</v>
      </c>
      <c r="C56" s="435">
        <f t="shared" si="38"/>
        <v>256.22443465078806</v>
      </c>
      <c r="D56" s="435">
        <f t="shared" si="38"/>
        <v>262.71130638453059</v>
      </c>
      <c r="E56" s="435">
        <f t="shared" si="38"/>
        <v>258.92089558458559</v>
      </c>
      <c r="F56" s="435">
        <f t="shared" si="38"/>
        <v>262.64329011945466</v>
      </c>
      <c r="G56" s="435">
        <f t="shared" si="38"/>
        <v>262.68030728775744</v>
      </c>
      <c r="H56" s="435">
        <f t="shared" si="38"/>
        <v>252.84061346198899</v>
      </c>
      <c r="I56" s="435">
        <f t="shared" si="38"/>
        <v>257.81362674921684</v>
      </c>
      <c r="J56" s="435">
        <f t="shared" si="38"/>
        <v>259.50151617453446</v>
      </c>
      <c r="K56" s="435">
        <f t="shared" si="38"/>
        <v>258.82583280264032</v>
      </c>
      <c r="M56" s="293"/>
    </row>
  </sheetData>
  <phoneticPr fontId="0" type="noConversion"/>
  <pageMargins left="0.38" right="0.75" top="0.73" bottom="0.74" header="0.5" footer="0.5"/>
  <pageSetup scale="6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C00000"/>
    <pageSetUpPr fitToPage="1"/>
  </sheetPr>
  <dimension ref="A1:AI245"/>
  <sheetViews>
    <sheetView zoomScaleNormal="100" workbookViewId="0">
      <pane xSplit="2" ySplit="2" topLeftCell="C101" activePane="bottomRight" state="frozen"/>
      <selection pane="topRight" activeCell="C1" sqref="C1"/>
      <selection pane="bottomLeft" activeCell="A3" sqref="A3"/>
      <selection pane="bottomRight" activeCell="I111" sqref="I111"/>
    </sheetView>
  </sheetViews>
  <sheetFormatPr defaultRowHeight="12.75" x14ac:dyDescent="0.2"/>
  <cols>
    <col min="1" max="1" width="9.140625" style="293" customWidth="1"/>
    <col min="2" max="2" width="8.42578125" style="293" customWidth="1"/>
    <col min="3" max="3" width="15.85546875" style="443" customWidth="1"/>
    <col min="4" max="4" width="11.42578125" style="432" customWidth="1"/>
    <col min="5" max="5" width="11" style="432" customWidth="1"/>
    <col min="6" max="6" width="12.5703125" style="627" customWidth="1"/>
    <col min="7" max="7" width="10.140625" style="432" customWidth="1"/>
    <col min="8" max="8" width="8.7109375" style="432" customWidth="1"/>
    <col min="9" max="9" width="10.7109375" style="432" customWidth="1"/>
    <col min="10" max="10" width="10" style="433" customWidth="1"/>
    <col min="11" max="11" width="11.42578125" style="432" hidden="1" customWidth="1"/>
    <col min="12" max="13" width="12.42578125" style="432" hidden="1" customWidth="1"/>
    <col min="14" max="14" width="14.85546875" style="432" hidden="1" customWidth="1"/>
    <col min="15" max="15" width="14.28515625" style="432" customWidth="1"/>
    <col min="16" max="16" width="17" style="432" customWidth="1"/>
    <col min="17" max="17" width="12.42578125" style="432" customWidth="1"/>
    <col min="18" max="18" width="22.7109375" style="293" customWidth="1"/>
    <col min="19" max="20" width="18" style="293" customWidth="1"/>
    <col min="21" max="21" width="17.140625" style="293" customWidth="1"/>
    <col min="22" max="22" width="18.42578125" style="293" customWidth="1"/>
    <col min="23" max="23" width="15.7109375" style="293" customWidth="1"/>
    <col min="24" max="24" width="14.140625" style="293" bestFit="1" customWidth="1"/>
    <col min="25" max="25" width="25.85546875" style="293" bestFit="1" customWidth="1"/>
    <col min="26" max="26" width="19.28515625" style="293" bestFit="1" customWidth="1"/>
    <col min="27" max="27" width="19.140625" style="293" bestFit="1" customWidth="1"/>
    <col min="28" max="28" width="26.140625" style="293" bestFit="1" customWidth="1"/>
    <col min="29" max="29" width="23" style="293" bestFit="1" customWidth="1"/>
    <col min="30" max="30" width="14.7109375" style="293" bestFit="1" customWidth="1"/>
    <col min="31" max="31" width="20.140625" style="293" bestFit="1" customWidth="1"/>
    <col min="32" max="32" width="12.140625" style="293" bestFit="1" customWidth="1"/>
    <col min="33" max="33" width="21" style="293" bestFit="1" customWidth="1"/>
    <col min="34" max="34" width="13.140625" style="293" bestFit="1" customWidth="1"/>
    <col min="35" max="16384" width="9.140625" style="293"/>
  </cols>
  <sheetData>
    <row r="1" spans="1:27" ht="8.25" customHeight="1" x14ac:dyDescent="0.3">
      <c r="B1" s="626"/>
      <c r="I1" s="293"/>
      <c r="J1" s="293"/>
      <c r="M1" s="628" t="s">
        <v>208</v>
      </c>
      <c r="N1" s="628"/>
      <c r="R1" s="629" t="s">
        <v>398</v>
      </c>
    </row>
    <row r="2" spans="1:27" ht="54.75" customHeight="1" x14ac:dyDescent="0.2">
      <c r="C2" s="630" t="s">
        <v>315</v>
      </c>
      <c r="D2" s="631" t="s">
        <v>2</v>
      </c>
      <c r="E2" s="631" t="s">
        <v>3</v>
      </c>
      <c r="F2" s="632" t="s">
        <v>407</v>
      </c>
      <c r="G2" s="633" t="s">
        <v>4</v>
      </c>
      <c r="H2" s="633" t="s">
        <v>18</v>
      </c>
      <c r="I2" s="631" t="s">
        <v>73</v>
      </c>
      <c r="J2" s="633" t="s">
        <v>77</v>
      </c>
      <c r="K2" s="634" t="s">
        <v>205</v>
      </c>
      <c r="L2" s="635" t="s">
        <v>317</v>
      </c>
      <c r="M2" s="635" t="s">
        <v>206</v>
      </c>
      <c r="N2" s="635" t="s">
        <v>207</v>
      </c>
      <c r="O2" s="633" t="s">
        <v>10</v>
      </c>
      <c r="P2" s="633" t="s">
        <v>11</v>
      </c>
      <c r="Q2" s="633" t="s">
        <v>12</v>
      </c>
      <c r="R2" s="293" t="s">
        <v>19</v>
      </c>
    </row>
    <row r="3" spans="1:27" s="636" customFormat="1" ht="13.5" thickBot="1" x14ac:dyDescent="0.25">
      <c r="A3" s="636">
        <f t="shared" ref="A3:A6" si="0">YEAR(B3)</f>
        <v>2003</v>
      </c>
      <c r="B3" s="637">
        <v>37622</v>
      </c>
      <c r="C3" s="638">
        <f>[12]Sheet1!J21</f>
        <v>23972977.448800001</v>
      </c>
      <c r="D3" s="638">
        <f>'HDD and CDD data'!L6</f>
        <v>871.4</v>
      </c>
      <c r="E3" s="638">
        <f>'HDD and CDD data'!L21</f>
        <v>0</v>
      </c>
      <c r="F3" s="432">
        <f>[13]Employment!B6</f>
        <v>4921.7</v>
      </c>
      <c r="G3" s="639">
        <f t="shared" ref="G3:G6" si="1">DAY(EOMONTH(B3,0))</f>
        <v>31</v>
      </c>
      <c r="H3" s="640">
        <f>IF(MONTH(B3)&lt;=2,0,IF(MONTH(B3)=3,1/3,IF(MONTH(B3)&lt;=5,1,IF(MONTH(B3)=6,2/3,IF(MONTH(B3)&lt;=8,0,IF(MONTH(B3)=9,1/3,IF(MONTH(B3)&lt;=11,1,2/3)))))))</f>
        <v>0</v>
      </c>
      <c r="I3" s="638">
        <v>0</v>
      </c>
      <c r="J3" s="638">
        <f>'[14]Purchased Power Model'!I63</f>
        <v>351.91199999999998</v>
      </c>
      <c r="K3" s="638">
        <f>I223+I224*(7+12+1)</f>
        <v>27449.666666666668</v>
      </c>
      <c r="L3" s="641"/>
      <c r="M3" s="642"/>
      <c r="N3" s="643"/>
      <c r="O3" s="639">
        <f t="shared" ref="O3:O34" si="2">$S$18+D3*$S$19+E3*$S$20+F3*$S$21+G3*$S$22+H3*$S$23+I3*$S$24+J3*$S$25+K3*$S$27</f>
        <v>24024580.19833345</v>
      </c>
      <c r="P3" s="639">
        <f>O3-C3</f>
        <v>51602.749533448368</v>
      </c>
      <c r="Q3" s="644">
        <f>P3/C3</f>
        <v>2.1525381919562693E-3</v>
      </c>
      <c r="R3" s="293"/>
      <c r="S3" s="293"/>
      <c r="T3" s="293"/>
      <c r="U3" s="293"/>
      <c r="V3" s="293"/>
      <c r="W3" s="293"/>
      <c r="X3" s="293"/>
      <c r="Y3" s="293"/>
      <c r="Z3" s="293"/>
      <c r="AA3" s="293"/>
    </row>
    <row r="4" spans="1:27" x14ac:dyDescent="0.2">
      <c r="A4" s="643">
        <f t="shared" si="0"/>
        <v>2003</v>
      </c>
      <c r="B4" s="637">
        <v>37653</v>
      </c>
      <c r="C4" s="645">
        <f>[12]Sheet1!J22</f>
        <v>21371530.899599999</v>
      </c>
      <c r="D4" s="645">
        <f>'HDD and CDD data'!L7</f>
        <v>779.6</v>
      </c>
      <c r="E4" s="645">
        <f>'HDD and CDD data'!L22</f>
        <v>0</v>
      </c>
      <c r="F4" s="432">
        <f>[13]Employment!B7</f>
        <v>4905.5</v>
      </c>
      <c r="G4" s="641">
        <f t="shared" si="1"/>
        <v>28</v>
      </c>
      <c r="H4" s="646">
        <f t="shared" ref="H4:H67" si="3">IF(MONTH(B4)&lt;=2,0,IF(MONTH(B4)=3,1/3,IF(MONTH(B4)&lt;=5,1,IF(MONTH(B4)=6,2/3,IF(MONTH(B4)&lt;=8,0,IF(MONTH(B4)=9,1/3,IF(MONTH(B4)&lt;=11,1,2/3)))))))</f>
        <v>0</v>
      </c>
      <c r="I4" s="645">
        <v>0</v>
      </c>
      <c r="J4" s="645">
        <f>'[14]Purchased Power Model'!I64</f>
        <v>319.87200000000001</v>
      </c>
      <c r="K4" s="647">
        <f>K3+$I$224</f>
        <v>27471.9</v>
      </c>
      <c r="L4" s="641"/>
      <c r="M4" s="648"/>
      <c r="N4" s="643"/>
      <c r="O4" s="649">
        <f t="shared" si="2"/>
        <v>21917018.251959037</v>
      </c>
      <c r="P4" s="649">
        <f t="shared" ref="P4:P67" si="4">O4-C4</f>
        <v>545487.35235903785</v>
      </c>
      <c r="Q4" s="650">
        <f t="shared" ref="Q4:Q67" si="5">P4/C4</f>
        <v>2.5524018607822215E-2</v>
      </c>
      <c r="R4" s="651" t="s">
        <v>20</v>
      </c>
      <c r="S4" s="651"/>
    </row>
    <row r="5" spans="1:27" x14ac:dyDescent="0.2">
      <c r="A5" s="643">
        <f t="shared" si="0"/>
        <v>2003</v>
      </c>
      <c r="B5" s="637">
        <v>37681</v>
      </c>
      <c r="C5" s="645">
        <f>[12]Sheet1!J23</f>
        <v>21629509.6844</v>
      </c>
      <c r="D5" s="645">
        <f>'HDD and CDD data'!L8</f>
        <v>629.29999999999995</v>
      </c>
      <c r="E5" s="645">
        <f>'HDD and CDD data'!L23</f>
        <v>0</v>
      </c>
      <c r="F5" s="432">
        <f>[13]Employment!B8</f>
        <v>4905.3</v>
      </c>
      <c r="G5" s="641">
        <f t="shared" si="1"/>
        <v>31</v>
      </c>
      <c r="H5" s="646">
        <f t="shared" si="3"/>
        <v>0.33333333333333331</v>
      </c>
      <c r="I5" s="645">
        <v>0</v>
      </c>
      <c r="J5" s="645">
        <f>'[14]Purchased Power Model'!I65</f>
        <v>336.28800000000001</v>
      </c>
      <c r="K5" s="647">
        <f>K4+$I$224</f>
        <v>27494.133333333335</v>
      </c>
      <c r="L5" s="641"/>
      <c r="M5" s="648"/>
      <c r="N5" s="643"/>
      <c r="O5" s="649">
        <f t="shared" si="2"/>
        <v>22166900.955761213</v>
      </c>
      <c r="P5" s="649">
        <f t="shared" si="4"/>
        <v>537391.27136121318</v>
      </c>
      <c r="Q5" s="650">
        <f t="shared" si="5"/>
        <v>2.4845282172475669E-2</v>
      </c>
      <c r="R5" s="652" t="s">
        <v>21</v>
      </c>
      <c r="S5" s="652">
        <v>0.92966211375900853</v>
      </c>
    </row>
    <row r="6" spans="1:27" x14ac:dyDescent="0.2">
      <c r="A6" s="643">
        <f t="shared" si="0"/>
        <v>2003</v>
      </c>
      <c r="B6" s="637">
        <v>37712</v>
      </c>
      <c r="C6" s="645">
        <f>[12]Sheet1!J24</f>
        <v>19792088.6644</v>
      </c>
      <c r="D6" s="645">
        <f>'HDD and CDD data'!L9</f>
        <v>425.3</v>
      </c>
      <c r="E6" s="645">
        <f>'HDD and CDD data'!L24</f>
        <v>1</v>
      </c>
      <c r="F6" s="432">
        <f>[13]Employment!B9</f>
        <v>4933.7</v>
      </c>
      <c r="G6" s="641">
        <f t="shared" si="1"/>
        <v>30</v>
      </c>
      <c r="H6" s="646">
        <f t="shared" si="3"/>
        <v>1</v>
      </c>
      <c r="I6" s="645">
        <v>0</v>
      </c>
      <c r="J6" s="645">
        <f>'[14]Purchased Power Model'!I66</f>
        <v>336.24</v>
      </c>
      <c r="K6" s="647">
        <f t="shared" ref="K6:K43" si="6">K5+$I$224</f>
        <v>27516.366666666669</v>
      </c>
      <c r="L6" s="641"/>
      <c r="M6" s="648"/>
      <c r="N6" s="643"/>
      <c r="O6" s="649">
        <f t="shared" si="2"/>
        <v>20347015.687029883</v>
      </c>
      <c r="P6" s="649">
        <f t="shared" si="4"/>
        <v>554927.02262988314</v>
      </c>
      <c r="Q6" s="650">
        <f t="shared" si="5"/>
        <v>2.8037820163368081E-2</v>
      </c>
      <c r="R6" s="652" t="s">
        <v>22</v>
      </c>
      <c r="S6" s="652">
        <v>0.86427164575886772</v>
      </c>
    </row>
    <row r="7" spans="1:27" x14ac:dyDescent="0.2">
      <c r="A7" s="643">
        <f t="shared" ref="A7:A70" si="7">YEAR(B7)</f>
        <v>2003</v>
      </c>
      <c r="B7" s="637">
        <v>37742</v>
      </c>
      <c r="C7" s="645">
        <f>[12]Sheet1!J25</f>
        <v>19102581.3488</v>
      </c>
      <c r="D7" s="645">
        <f>'HDD and CDD data'!L10</f>
        <v>225.1</v>
      </c>
      <c r="E7" s="645">
        <f>'HDD and CDD data'!L25</f>
        <v>0</v>
      </c>
      <c r="F7" s="432">
        <f>[13]Employment!B10</f>
        <v>4990.8</v>
      </c>
      <c r="G7" s="641">
        <f t="shared" ref="G7:G70" si="8">DAY(EOMONTH(B7,0))</f>
        <v>31</v>
      </c>
      <c r="H7" s="646">
        <f t="shared" si="3"/>
        <v>1</v>
      </c>
      <c r="I7" s="645">
        <v>0</v>
      </c>
      <c r="J7" s="645">
        <f>'[14]Purchased Power Model'!I67</f>
        <v>336.28800000000001</v>
      </c>
      <c r="K7" s="647">
        <f t="shared" si="6"/>
        <v>27538.600000000002</v>
      </c>
      <c r="L7" s="641"/>
      <c r="M7" s="648"/>
      <c r="N7" s="643"/>
      <c r="O7" s="649">
        <f t="shared" si="2"/>
        <v>19612739.241612159</v>
      </c>
      <c r="P7" s="649">
        <f t="shared" si="4"/>
        <v>510157.89281215891</v>
      </c>
      <c r="Q7" s="650">
        <f t="shared" si="5"/>
        <v>2.6706227995946023E-2</v>
      </c>
      <c r="R7" s="652" t="s">
        <v>23</v>
      </c>
      <c r="S7" s="652">
        <v>0.85578862361879693</v>
      </c>
    </row>
    <row r="8" spans="1:27" x14ac:dyDescent="0.2">
      <c r="A8" s="643">
        <f t="shared" si="7"/>
        <v>2003</v>
      </c>
      <c r="B8" s="637">
        <v>37773</v>
      </c>
      <c r="C8" s="645">
        <f>[12]Sheet1!J26</f>
        <v>19558516.6316</v>
      </c>
      <c r="D8" s="645">
        <f>'HDD and CDD data'!L11</f>
        <v>65.400000000000006</v>
      </c>
      <c r="E8" s="645">
        <f>'HDD and CDD data'!L26</f>
        <v>28</v>
      </c>
      <c r="F8" s="432">
        <f>[13]Employment!B11</f>
        <v>5066.7</v>
      </c>
      <c r="G8" s="641">
        <f t="shared" si="8"/>
        <v>30</v>
      </c>
      <c r="H8" s="646">
        <f t="shared" si="3"/>
        <v>0.66666666666666663</v>
      </c>
      <c r="I8" s="645">
        <v>0</v>
      </c>
      <c r="J8" s="645">
        <f>'[14]Purchased Power Model'!I68</f>
        <v>336.24</v>
      </c>
      <c r="K8" s="647">
        <f t="shared" si="6"/>
        <v>27560.833333333336</v>
      </c>
      <c r="L8" s="641"/>
      <c r="M8" s="648"/>
      <c r="N8" s="643"/>
      <c r="O8" s="649">
        <f t="shared" si="2"/>
        <v>19623600.23741737</v>
      </c>
      <c r="P8" s="649">
        <f t="shared" si="4"/>
        <v>65083.605817370117</v>
      </c>
      <c r="Q8" s="650">
        <f t="shared" si="5"/>
        <v>3.3276350677953178E-3</v>
      </c>
      <c r="R8" s="652" t="s">
        <v>24</v>
      </c>
      <c r="S8" s="652">
        <v>529891.17341567739</v>
      </c>
    </row>
    <row r="9" spans="1:27" ht="13.5" thickBot="1" x14ac:dyDescent="0.25">
      <c r="A9" s="643">
        <f t="shared" si="7"/>
        <v>2003</v>
      </c>
      <c r="B9" s="637">
        <v>37803</v>
      </c>
      <c r="C9" s="645">
        <f>[12]Sheet1!J27</f>
        <v>20859450.3684</v>
      </c>
      <c r="D9" s="645">
        <f>'HDD and CDD data'!L12</f>
        <v>14.2</v>
      </c>
      <c r="E9" s="645">
        <f>'HDD and CDD data'!L27</f>
        <v>51</v>
      </c>
      <c r="F9" s="432">
        <f>[13]Employment!B12</f>
        <v>5158.5</v>
      </c>
      <c r="G9" s="641">
        <f t="shared" si="8"/>
        <v>31</v>
      </c>
      <c r="H9" s="646">
        <f t="shared" si="3"/>
        <v>0</v>
      </c>
      <c r="I9" s="645">
        <v>0</v>
      </c>
      <c r="J9" s="645">
        <f>'[14]Purchased Power Model'!I69</f>
        <v>351.91199999999998</v>
      </c>
      <c r="K9" s="647">
        <f t="shared" si="6"/>
        <v>27583.066666666669</v>
      </c>
      <c r="L9" s="641"/>
      <c r="M9" s="648"/>
      <c r="N9" s="643"/>
      <c r="O9" s="649">
        <f t="shared" si="2"/>
        <v>21246952.702328995</v>
      </c>
      <c r="P9" s="649">
        <f t="shared" si="4"/>
        <v>387502.33392899483</v>
      </c>
      <c r="Q9" s="650">
        <f t="shared" si="5"/>
        <v>1.8576823793786171E-2</v>
      </c>
      <c r="R9" s="653" t="s">
        <v>25</v>
      </c>
      <c r="S9" s="653">
        <v>120</v>
      </c>
    </row>
    <row r="10" spans="1:27" x14ac:dyDescent="0.2">
      <c r="A10" s="643">
        <f t="shared" si="7"/>
        <v>2003</v>
      </c>
      <c r="B10" s="637">
        <v>37834</v>
      </c>
      <c r="C10" s="645">
        <f>[12]Sheet1!J28</f>
        <v>20251321.125999998</v>
      </c>
      <c r="D10" s="645">
        <f>'HDD and CDD data'!L13</f>
        <v>14.9</v>
      </c>
      <c r="E10" s="645">
        <f>'HDD and CDD data'!L28</f>
        <v>65.7</v>
      </c>
      <c r="F10" s="432">
        <f>[13]Employment!B13</f>
        <v>5228.3999999999996</v>
      </c>
      <c r="G10" s="641">
        <f t="shared" si="8"/>
        <v>31</v>
      </c>
      <c r="H10" s="646">
        <f t="shared" si="3"/>
        <v>0</v>
      </c>
      <c r="I10" s="645">
        <v>0</v>
      </c>
      <c r="J10" s="645">
        <f>'[14]Purchased Power Model'!I70</f>
        <v>319.92</v>
      </c>
      <c r="K10" s="647">
        <f t="shared" si="6"/>
        <v>27605.300000000003</v>
      </c>
      <c r="L10" s="641"/>
      <c r="M10" s="648"/>
      <c r="N10" s="643"/>
      <c r="O10" s="649">
        <f t="shared" si="2"/>
        <v>21628575.591432344</v>
      </c>
      <c r="P10" s="649">
        <f t="shared" si="4"/>
        <v>1377254.4654323459</v>
      </c>
      <c r="Q10" s="650">
        <f t="shared" si="5"/>
        <v>6.8008129290100222E-2</v>
      </c>
    </row>
    <row r="11" spans="1:27" ht="13.5" thickBot="1" x14ac:dyDescent="0.25">
      <c r="A11" s="643">
        <f t="shared" si="7"/>
        <v>2003</v>
      </c>
      <c r="B11" s="637">
        <v>37865</v>
      </c>
      <c r="C11" s="645">
        <f>[12]Sheet1!J29</f>
        <v>19193281.809599999</v>
      </c>
      <c r="D11" s="645">
        <f>'HDD and CDD data'!L14</f>
        <v>107.9</v>
      </c>
      <c r="E11" s="645">
        <f>'HDD and CDD data'!L29</f>
        <v>5.0999999999999996</v>
      </c>
      <c r="F11" s="432">
        <f>[13]Employment!B14</f>
        <v>5198.5</v>
      </c>
      <c r="G11" s="641">
        <f t="shared" si="8"/>
        <v>30</v>
      </c>
      <c r="H11" s="646">
        <f t="shared" si="3"/>
        <v>0.33333333333333331</v>
      </c>
      <c r="I11" s="645">
        <v>0</v>
      </c>
      <c r="J11" s="645">
        <f>'[14]Purchased Power Model'!I71</f>
        <v>336.24</v>
      </c>
      <c r="K11" s="647">
        <f t="shared" si="6"/>
        <v>27627.533333333336</v>
      </c>
      <c r="L11" s="641"/>
      <c r="M11" s="648"/>
      <c r="N11" s="643"/>
      <c r="O11" s="649">
        <f t="shared" si="2"/>
        <v>19555206.609562073</v>
      </c>
      <c r="P11" s="649">
        <f t="shared" si="4"/>
        <v>361924.79996207356</v>
      </c>
      <c r="Q11" s="650">
        <f t="shared" si="5"/>
        <v>1.8856848117607895E-2</v>
      </c>
      <c r="R11" s="293" t="s">
        <v>26</v>
      </c>
    </row>
    <row r="12" spans="1:27" x14ac:dyDescent="0.2">
      <c r="A12" s="643">
        <f t="shared" si="7"/>
        <v>2003</v>
      </c>
      <c r="B12" s="729">
        <v>37895</v>
      </c>
      <c r="C12" s="645">
        <f>[12]Sheet1!J30</f>
        <v>20596265.941999998</v>
      </c>
      <c r="D12" s="645">
        <f>'HDD and CDD data'!L15</f>
        <v>341.1</v>
      </c>
      <c r="E12" s="645">
        <f>'HDD and CDD data'!L30</f>
        <v>0</v>
      </c>
      <c r="F12" s="432">
        <f>[13]Employment!B15</f>
        <v>5150.3999999999996</v>
      </c>
      <c r="G12" s="641">
        <f t="shared" si="8"/>
        <v>31</v>
      </c>
      <c r="H12" s="646">
        <f t="shared" si="3"/>
        <v>1</v>
      </c>
      <c r="I12" s="645">
        <v>0</v>
      </c>
      <c r="J12" s="645">
        <f>'[14]Purchased Power Model'!I72</f>
        <v>351.91199999999998</v>
      </c>
      <c r="K12" s="647">
        <f t="shared" si="6"/>
        <v>27649.76666666667</v>
      </c>
      <c r="L12" s="641"/>
      <c r="M12" s="648"/>
      <c r="N12" s="643"/>
      <c r="O12" s="649">
        <f t="shared" si="2"/>
        <v>20937361.530784037</v>
      </c>
      <c r="P12" s="649">
        <f t="shared" si="4"/>
        <v>341095.58878403902</v>
      </c>
      <c r="Q12" s="650">
        <f t="shared" si="5"/>
        <v>1.6561040226640081E-2</v>
      </c>
      <c r="R12" s="654"/>
      <c r="S12" s="654" t="s">
        <v>30</v>
      </c>
      <c r="T12" s="654" t="s">
        <v>31</v>
      </c>
      <c r="U12" s="654" t="s">
        <v>32</v>
      </c>
      <c r="V12" s="654" t="s">
        <v>33</v>
      </c>
      <c r="W12" s="654" t="s">
        <v>34</v>
      </c>
    </row>
    <row r="13" spans="1:27" x14ac:dyDescent="0.2">
      <c r="A13" s="643">
        <f t="shared" si="7"/>
        <v>2003</v>
      </c>
      <c r="B13" s="729">
        <v>37926</v>
      </c>
      <c r="C13" s="645">
        <f>[12]Sheet1!J31</f>
        <v>21105598.810799997</v>
      </c>
      <c r="D13" s="645">
        <f>'HDD and CDD data'!L16</f>
        <v>444.3</v>
      </c>
      <c r="E13" s="645">
        <f>'HDD and CDD data'!L31</f>
        <v>0</v>
      </c>
      <c r="F13" s="432">
        <f>[13]Employment!B16</f>
        <v>5079.3</v>
      </c>
      <c r="G13" s="641">
        <f t="shared" si="8"/>
        <v>30</v>
      </c>
      <c r="H13" s="646">
        <f t="shared" si="3"/>
        <v>1</v>
      </c>
      <c r="I13" s="645">
        <v>0</v>
      </c>
      <c r="J13" s="645">
        <f>'[14]Purchased Power Model'!I73</f>
        <v>319.68</v>
      </c>
      <c r="K13" s="647">
        <f t="shared" si="6"/>
        <v>27672.000000000004</v>
      </c>
      <c r="L13" s="641"/>
      <c r="M13" s="648"/>
      <c r="N13" s="643"/>
      <c r="O13" s="649">
        <f t="shared" si="2"/>
        <v>20644017.827712577</v>
      </c>
      <c r="P13" s="649">
        <f t="shared" si="4"/>
        <v>-461580.98308742046</v>
      </c>
      <c r="Q13" s="650">
        <f t="shared" si="5"/>
        <v>-2.1870072828790044E-2</v>
      </c>
      <c r="R13" s="652" t="s">
        <v>27</v>
      </c>
      <c r="S13" s="652">
        <v>7</v>
      </c>
      <c r="T13" s="652">
        <v>200249331798492.5</v>
      </c>
      <c r="U13" s="652">
        <v>28607047399784.645</v>
      </c>
      <c r="V13" s="652">
        <v>101.88251680687678</v>
      </c>
      <c r="W13" s="652">
        <v>1.4335209879216277E-45</v>
      </c>
    </row>
    <row r="14" spans="1:27" x14ac:dyDescent="0.2">
      <c r="A14" s="643">
        <f t="shared" si="7"/>
        <v>2003</v>
      </c>
      <c r="B14" s="729">
        <v>37956</v>
      </c>
      <c r="C14" s="645">
        <f>[12]Sheet1!J32</f>
        <v>22490417.6076</v>
      </c>
      <c r="D14" s="645">
        <f>'HDD and CDD data'!L17</f>
        <v>634.79999999999995</v>
      </c>
      <c r="E14" s="645">
        <f>'HDD and CDD data'!L32</f>
        <v>0</v>
      </c>
      <c r="F14" s="432">
        <f>[13]Employment!B17</f>
        <v>5077.2</v>
      </c>
      <c r="G14" s="641">
        <f t="shared" si="8"/>
        <v>31</v>
      </c>
      <c r="H14" s="646">
        <f t="shared" si="3"/>
        <v>0.66666666666666663</v>
      </c>
      <c r="I14" s="645">
        <v>0</v>
      </c>
      <c r="J14" s="645">
        <f>'[14]Purchased Power Model'!I74</f>
        <v>336.28800000000001</v>
      </c>
      <c r="K14" s="655">
        <f t="shared" si="6"/>
        <v>27694.233333333337</v>
      </c>
      <c r="L14" s="641"/>
      <c r="M14" s="648"/>
      <c r="N14" s="643"/>
      <c r="O14" s="649">
        <f t="shared" si="2"/>
        <v>22524760.476794794</v>
      </c>
      <c r="P14" s="649">
        <f t="shared" si="4"/>
        <v>34342.869194794446</v>
      </c>
      <c r="Q14" s="650">
        <f t="shared" si="5"/>
        <v>1.5270000670502999E-3</v>
      </c>
      <c r="R14" s="652" t="s">
        <v>28</v>
      </c>
      <c r="S14" s="652">
        <v>112</v>
      </c>
      <c r="T14" s="652">
        <v>31447881434350.473</v>
      </c>
      <c r="U14" s="652">
        <v>280784655663.84351</v>
      </c>
      <c r="V14" s="652"/>
      <c r="W14" s="652"/>
    </row>
    <row r="15" spans="1:27" ht="13.5" thickBot="1" x14ac:dyDescent="0.25">
      <c r="A15" s="643">
        <f t="shared" si="7"/>
        <v>2004</v>
      </c>
      <c r="B15" s="729">
        <v>37987</v>
      </c>
      <c r="C15" s="645">
        <f>[12]Sheet1!K21</f>
        <v>24496000.116</v>
      </c>
      <c r="D15" s="645">
        <f>'HDD and CDD data'!M6</f>
        <v>904</v>
      </c>
      <c r="E15" s="645">
        <f>'HDD and CDD data'!M21</f>
        <v>0</v>
      </c>
      <c r="F15" s="432">
        <f>[13]Employment!B18</f>
        <v>5047.8999999999996</v>
      </c>
      <c r="G15" s="641">
        <f t="shared" si="8"/>
        <v>31</v>
      </c>
      <c r="H15" s="646">
        <f t="shared" si="3"/>
        <v>0</v>
      </c>
      <c r="I15" s="645">
        <v>0</v>
      </c>
      <c r="J15" s="645">
        <f>'[14]Purchased Power Model'!I75</f>
        <v>336.28800000000001</v>
      </c>
      <c r="K15" s="647">
        <f t="shared" si="6"/>
        <v>27716.466666666671</v>
      </c>
      <c r="L15" s="641"/>
      <c r="M15" s="648"/>
      <c r="N15" s="643"/>
      <c r="O15" s="649">
        <f t="shared" si="2"/>
        <v>24399333.266314726</v>
      </c>
      <c r="P15" s="649">
        <f t="shared" si="4"/>
        <v>-96666.849685274065</v>
      </c>
      <c r="Q15" s="650">
        <f t="shared" si="5"/>
        <v>-3.9462299651988643E-3</v>
      </c>
      <c r="R15" s="653" t="s">
        <v>9</v>
      </c>
      <c r="S15" s="653">
        <v>119</v>
      </c>
      <c r="T15" s="653">
        <v>231697213232842.97</v>
      </c>
      <c r="U15" s="653"/>
      <c r="V15" s="653"/>
      <c r="W15" s="653"/>
    </row>
    <row r="16" spans="1:27" ht="13.5" thickBot="1" x14ac:dyDescent="0.25">
      <c r="A16" s="643">
        <f t="shared" si="7"/>
        <v>2004</v>
      </c>
      <c r="B16" s="729">
        <v>38018</v>
      </c>
      <c r="C16" s="645">
        <f>[12]Sheet1!K22</f>
        <v>21811673.700799998</v>
      </c>
      <c r="D16" s="645">
        <f>'HDD and CDD data'!M7</f>
        <v>696.9</v>
      </c>
      <c r="E16" s="645">
        <f>'HDD and CDD data'!M22</f>
        <v>0</v>
      </c>
      <c r="F16" s="432">
        <f>[13]Employment!B19</f>
        <v>5032.3</v>
      </c>
      <c r="G16" s="641">
        <f t="shared" si="8"/>
        <v>29</v>
      </c>
      <c r="H16" s="646">
        <f t="shared" si="3"/>
        <v>0</v>
      </c>
      <c r="I16" s="645">
        <v>0</v>
      </c>
      <c r="J16" s="645">
        <f>'[14]Purchased Power Model'!I76</f>
        <v>320.16000000000003</v>
      </c>
      <c r="K16" s="647">
        <f t="shared" si="6"/>
        <v>27738.700000000004</v>
      </c>
      <c r="L16" s="641"/>
      <c r="M16" s="648"/>
      <c r="N16" s="643"/>
      <c r="O16" s="649">
        <f t="shared" si="2"/>
        <v>22138035.273912009</v>
      </c>
      <c r="P16" s="649">
        <f t="shared" si="4"/>
        <v>326361.57311201096</v>
      </c>
      <c r="Q16" s="650">
        <f t="shared" si="5"/>
        <v>1.4962701972753279E-2</v>
      </c>
    </row>
    <row r="17" spans="1:35" x14ac:dyDescent="0.2">
      <c r="A17" s="643">
        <f t="shared" si="7"/>
        <v>2004</v>
      </c>
      <c r="B17" s="729">
        <v>38047</v>
      </c>
      <c r="C17" s="645">
        <f>[12]Sheet1!K23</f>
        <v>22274545.946399998</v>
      </c>
      <c r="D17" s="645">
        <f>'HDD and CDD data'!M8</f>
        <v>567.29999999999995</v>
      </c>
      <c r="E17" s="645">
        <f>'HDD and CDD data'!M23</f>
        <v>0</v>
      </c>
      <c r="F17" s="432">
        <f>[13]Employment!B20</f>
        <v>5015.7</v>
      </c>
      <c r="G17" s="641">
        <f t="shared" si="8"/>
        <v>31</v>
      </c>
      <c r="H17" s="646">
        <f t="shared" si="3"/>
        <v>0.33333333333333331</v>
      </c>
      <c r="I17" s="645">
        <v>0</v>
      </c>
      <c r="J17" s="645">
        <f>'[14]Purchased Power Model'!I77</f>
        <v>368.28</v>
      </c>
      <c r="K17" s="647">
        <f t="shared" si="6"/>
        <v>27760.933333333338</v>
      </c>
      <c r="L17" s="641"/>
      <c r="M17" s="648"/>
      <c r="N17" s="643"/>
      <c r="O17" s="649">
        <f t="shared" si="2"/>
        <v>22438078.671549276</v>
      </c>
      <c r="P17" s="649">
        <f t="shared" si="4"/>
        <v>163532.7251492776</v>
      </c>
      <c r="Q17" s="650">
        <f t="shared" si="5"/>
        <v>7.3416861355015718E-3</v>
      </c>
      <c r="R17" s="654"/>
      <c r="S17" s="654" t="s">
        <v>35</v>
      </c>
      <c r="T17" s="654" t="s">
        <v>24</v>
      </c>
      <c r="U17" s="654" t="s">
        <v>36</v>
      </c>
      <c r="V17" s="654" t="s">
        <v>37</v>
      </c>
      <c r="W17" s="654" t="s">
        <v>38</v>
      </c>
      <c r="X17" s="654" t="s">
        <v>39</v>
      </c>
      <c r="Y17" s="654" t="s">
        <v>214</v>
      </c>
      <c r="Z17" s="654" t="s">
        <v>215</v>
      </c>
    </row>
    <row r="18" spans="1:35" x14ac:dyDescent="0.2">
      <c r="A18" s="643">
        <f t="shared" si="7"/>
        <v>2004</v>
      </c>
      <c r="B18" s="729">
        <v>38078</v>
      </c>
      <c r="C18" s="645">
        <f>[12]Sheet1!K24</f>
        <v>20027612.9208</v>
      </c>
      <c r="D18" s="645">
        <f>'HDD and CDD data'!M9</f>
        <v>386.9</v>
      </c>
      <c r="E18" s="645">
        <f>'HDD and CDD data'!M24</f>
        <v>0</v>
      </c>
      <c r="F18" s="432">
        <f>[13]Employment!B21</f>
        <v>5043.8999999999996</v>
      </c>
      <c r="G18" s="641">
        <f t="shared" si="8"/>
        <v>30</v>
      </c>
      <c r="H18" s="646">
        <f t="shared" si="3"/>
        <v>1</v>
      </c>
      <c r="I18" s="645">
        <v>0</v>
      </c>
      <c r="J18" s="645">
        <f>'[14]Purchased Power Model'!I78</f>
        <v>336.24</v>
      </c>
      <c r="K18" s="647">
        <f t="shared" si="6"/>
        <v>27783.166666666672</v>
      </c>
      <c r="L18" s="641"/>
      <c r="M18" s="648"/>
      <c r="N18" s="643"/>
      <c r="O18" s="649">
        <f t="shared" si="2"/>
        <v>20374925.169671066</v>
      </c>
      <c r="P18" s="649">
        <f t="shared" si="4"/>
        <v>347312.24887106568</v>
      </c>
      <c r="Q18" s="650">
        <f t="shared" si="5"/>
        <v>1.7341669735905417E-2</v>
      </c>
      <c r="R18" s="652" t="s">
        <v>29</v>
      </c>
      <c r="S18" s="656">
        <v>-10515517.789222779</v>
      </c>
      <c r="T18" s="657">
        <v>2840700.7794145863</v>
      </c>
      <c r="U18" s="658">
        <v>-3.7017336938210805</v>
      </c>
      <c r="V18" s="652">
        <v>3.3385370570406387E-4</v>
      </c>
      <c r="W18" s="657">
        <v>-16144002.248051986</v>
      </c>
      <c r="X18" s="657">
        <v>-4887033.3303935714</v>
      </c>
      <c r="Y18" s="657">
        <v>-16144002.248051986</v>
      </c>
      <c r="Z18" s="657">
        <v>-4887033.3303935714</v>
      </c>
    </row>
    <row r="19" spans="1:35" x14ac:dyDescent="0.2">
      <c r="A19" s="643">
        <f t="shared" si="7"/>
        <v>2004</v>
      </c>
      <c r="B19" s="729">
        <v>38108</v>
      </c>
      <c r="C19" s="645">
        <f>[12]Sheet1!K25</f>
        <v>19587362.8616</v>
      </c>
      <c r="D19" s="645">
        <f>'HDD and CDD data'!M10</f>
        <v>207.2</v>
      </c>
      <c r="E19" s="645">
        <f>'HDD and CDD data'!M25</f>
        <v>6.6</v>
      </c>
      <c r="F19" s="432">
        <f>[13]Employment!B22</f>
        <v>5103.7</v>
      </c>
      <c r="G19" s="641">
        <f t="shared" si="8"/>
        <v>31</v>
      </c>
      <c r="H19" s="646">
        <f t="shared" si="3"/>
        <v>1</v>
      </c>
      <c r="I19" s="645">
        <v>0</v>
      </c>
      <c r="J19" s="645">
        <f>'[14]Purchased Power Model'!I79</f>
        <v>319.92</v>
      </c>
      <c r="K19" s="647">
        <f t="shared" si="6"/>
        <v>27805.400000000005</v>
      </c>
      <c r="L19" s="641"/>
      <c r="M19" s="648"/>
      <c r="N19" s="643"/>
      <c r="O19" s="649">
        <f t="shared" si="2"/>
        <v>19872657.50458286</v>
      </c>
      <c r="P19" s="649">
        <f t="shared" si="4"/>
        <v>285294.64298285916</v>
      </c>
      <c r="Q19" s="650">
        <f t="shared" si="5"/>
        <v>1.4565240098868254E-2</v>
      </c>
      <c r="R19" s="652" t="s">
        <v>2</v>
      </c>
      <c r="S19" s="656">
        <v>6173.1246927836901</v>
      </c>
      <c r="T19" s="657">
        <v>299.48128022525253</v>
      </c>
      <c r="U19" s="658">
        <v>20.61272306616501</v>
      </c>
      <c r="V19" s="652">
        <v>6.4425165149831744E-40</v>
      </c>
      <c r="W19" s="657">
        <v>5579.7409250623023</v>
      </c>
      <c r="X19" s="657">
        <v>6766.5084605050779</v>
      </c>
      <c r="Y19" s="657">
        <v>5579.7409250623023</v>
      </c>
      <c r="Z19" s="657">
        <v>6766.5084605050779</v>
      </c>
    </row>
    <row r="20" spans="1:35" x14ac:dyDescent="0.2">
      <c r="A20" s="643">
        <f t="shared" si="7"/>
        <v>2004</v>
      </c>
      <c r="B20" s="729">
        <v>38139</v>
      </c>
      <c r="C20" s="645">
        <f>[12]Sheet1!K26</f>
        <v>19632682.265199997</v>
      </c>
      <c r="D20" s="645">
        <f>'HDD and CDD data'!M11</f>
        <v>88.6</v>
      </c>
      <c r="E20" s="645">
        <f>'HDD and CDD data'!M26</f>
        <v>22.4</v>
      </c>
      <c r="F20" s="432">
        <f>[13]Employment!B23</f>
        <v>5208.5</v>
      </c>
      <c r="G20" s="641">
        <f t="shared" si="8"/>
        <v>30</v>
      </c>
      <c r="H20" s="646">
        <f t="shared" si="3"/>
        <v>0.66666666666666663</v>
      </c>
      <c r="I20" s="645">
        <v>0</v>
      </c>
      <c r="J20" s="645">
        <f>'[14]Purchased Power Model'!I80</f>
        <v>352.08</v>
      </c>
      <c r="K20" s="647">
        <f t="shared" si="6"/>
        <v>27827.633333333339</v>
      </c>
      <c r="L20" s="641"/>
      <c r="M20" s="648"/>
      <c r="N20" s="643"/>
      <c r="O20" s="649">
        <f t="shared" si="2"/>
        <v>20124129.977961887</v>
      </c>
      <c r="P20" s="649">
        <f t="shared" si="4"/>
        <v>491447.71276189014</v>
      </c>
      <c r="Q20" s="650">
        <f t="shared" si="5"/>
        <v>2.5032122769745431E-2</v>
      </c>
      <c r="R20" s="652" t="s">
        <v>3</v>
      </c>
      <c r="S20" s="656">
        <v>36588.375426621373</v>
      </c>
      <c r="T20" s="657">
        <v>3042.6882711393591</v>
      </c>
      <c r="U20" s="658">
        <v>12.025016093061863</v>
      </c>
      <c r="V20" s="652">
        <v>6.8508248943307531E-22</v>
      </c>
      <c r="W20" s="657">
        <v>30559.678644731139</v>
      </c>
      <c r="X20" s="657">
        <v>42617.072208511607</v>
      </c>
      <c r="Y20" s="657">
        <v>30559.678644731139</v>
      </c>
      <c r="Z20" s="657">
        <v>42617.072208511607</v>
      </c>
    </row>
    <row r="21" spans="1:35" x14ac:dyDescent="0.2">
      <c r="A21" s="643">
        <f t="shared" si="7"/>
        <v>2004</v>
      </c>
      <c r="B21" s="729">
        <v>38169</v>
      </c>
      <c r="C21" s="645">
        <f>[12]Sheet1!K27</f>
        <v>20566145.868800003</v>
      </c>
      <c r="D21" s="645">
        <f>'HDD and CDD data'!M12</f>
        <v>25.7</v>
      </c>
      <c r="E21" s="645">
        <f>'HDD and CDD data'!M27</f>
        <v>41.1</v>
      </c>
      <c r="F21" s="432">
        <f>[13]Employment!B24</f>
        <v>5296.2</v>
      </c>
      <c r="G21" s="641">
        <f t="shared" si="8"/>
        <v>31</v>
      </c>
      <c r="H21" s="646">
        <f t="shared" si="3"/>
        <v>0</v>
      </c>
      <c r="I21" s="645">
        <v>0</v>
      </c>
      <c r="J21" s="645">
        <f>'[14]Purchased Power Model'!I81</f>
        <v>336.28800000000001</v>
      </c>
      <c r="K21" s="647">
        <f t="shared" si="6"/>
        <v>27849.866666666672</v>
      </c>
      <c r="L21" s="641"/>
      <c r="M21" s="648"/>
      <c r="N21" s="643"/>
      <c r="O21" s="649">
        <f t="shared" si="2"/>
        <v>21160695.955528267</v>
      </c>
      <c r="P21" s="649">
        <f t="shared" si="4"/>
        <v>594550.08672826365</v>
      </c>
      <c r="Q21" s="650">
        <f t="shared" si="5"/>
        <v>2.8909164143887042E-2</v>
      </c>
      <c r="R21" s="652" t="s">
        <v>397</v>
      </c>
      <c r="S21" s="656">
        <v>2736.3506921116159</v>
      </c>
      <c r="T21" s="657">
        <v>438.64947594724248</v>
      </c>
      <c r="U21" s="658">
        <v>6.2381259802091362</v>
      </c>
      <c r="V21" s="652">
        <v>8.0841961987661835E-9</v>
      </c>
      <c r="W21" s="657">
        <v>1867.222983859489</v>
      </c>
      <c r="X21" s="657">
        <v>3605.4784003637428</v>
      </c>
      <c r="Y21" s="657">
        <v>1867.222983859489</v>
      </c>
      <c r="Z21" s="657">
        <v>3605.4784003637428</v>
      </c>
    </row>
    <row r="22" spans="1:35" x14ac:dyDescent="0.2">
      <c r="A22" s="643">
        <f t="shared" si="7"/>
        <v>2004</v>
      </c>
      <c r="B22" s="729">
        <v>38200</v>
      </c>
      <c r="C22" s="645">
        <f>[12]Sheet1!K28</f>
        <v>20353558.482000001</v>
      </c>
      <c r="D22" s="645">
        <f>'HDD and CDD data'!M13</f>
        <v>66</v>
      </c>
      <c r="E22" s="645">
        <f>'HDD and CDD data'!M28</f>
        <v>23.8</v>
      </c>
      <c r="F22" s="432">
        <f>[13]Employment!B25</f>
        <v>5353.6</v>
      </c>
      <c r="G22" s="641">
        <f t="shared" si="8"/>
        <v>31</v>
      </c>
      <c r="H22" s="646">
        <f t="shared" si="3"/>
        <v>0</v>
      </c>
      <c r="I22" s="645">
        <v>0</v>
      </c>
      <c r="J22" s="645">
        <f>'[14]Purchased Power Model'!I82</f>
        <v>336.28800000000001</v>
      </c>
      <c r="K22" s="647">
        <f t="shared" si="6"/>
        <v>27872.100000000006</v>
      </c>
      <c r="L22" s="641"/>
      <c r="M22" s="648"/>
      <c r="N22" s="643"/>
      <c r="O22" s="649">
        <f t="shared" si="2"/>
        <v>20933560.515494108</v>
      </c>
      <c r="P22" s="649">
        <f t="shared" si="4"/>
        <v>580002.03349410743</v>
      </c>
      <c r="Q22" s="650">
        <f t="shared" si="5"/>
        <v>2.8496345442839473E-2</v>
      </c>
      <c r="R22" s="652" t="s">
        <v>4</v>
      </c>
      <c r="S22" s="656">
        <v>381398.00952425599</v>
      </c>
      <c r="T22" s="657">
        <v>67026.830878725959</v>
      </c>
      <c r="U22" s="658">
        <v>5.690228890790511</v>
      </c>
      <c r="V22" s="652">
        <v>1.0296751592272266E-7</v>
      </c>
      <c r="W22" s="657">
        <v>248592.93598066771</v>
      </c>
      <c r="X22" s="657">
        <v>514203.08306784427</v>
      </c>
      <c r="Y22" s="657">
        <v>248592.93598066771</v>
      </c>
      <c r="Z22" s="657">
        <v>514203.08306784427</v>
      </c>
    </row>
    <row r="23" spans="1:35" x14ac:dyDescent="0.2">
      <c r="A23" s="643">
        <f t="shared" si="7"/>
        <v>2004</v>
      </c>
      <c r="B23" s="729">
        <v>38231</v>
      </c>
      <c r="C23" s="645">
        <f>[12]Sheet1!K29</f>
        <v>19904491.605599999</v>
      </c>
      <c r="D23" s="645">
        <f>'HDD and CDD data'!M14</f>
        <v>72.3</v>
      </c>
      <c r="E23" s="645">
        <f>'HDD and CDD data'!M29</f>
        <v>9.1999999999999993</v>
      </c>
      <c r="F23" s="432">
        <f>[13]Employment!B26</f>
        <v>5304.4</v>
      </c>
      <c r="G23" s="641">
        <f t="shared" si="8"/>
        <v>30</v>
      </c>
      <c r="H23" s="646">
        <f t="shared" si="3"/>
        <v>0.33333333333333331</v>
      </c>
      <c r="I23" s="645">
        <v>0</v>
      </c>
      <c r="J23" s="645">
        <f>'[14]Purchased Power Model'!I83</f>
        <v>336.24</v>
      </c>
      <c r="K23" s="647">
        <f t="shared" si="6"/>
        <v>27894.333333333339</v>
      </c>
      <c r="L23" s="641"/>
      <c r="M23" s="648"/>
      <c r="N23" s="643"/>
      <c r="O23" s="649">
        <f t="shared" si="2"/>
        <v>19775235.24804274</v>
      </c>
      <c r="P23" s="649">
        <f t="shared" si="4"/>
        <v>-129256.3575572595</v>
      </c>
      <c r="Q23" s="650">
        <f t="shared" si="5"/>
        <v>-6.4938286351857418E-3</v>
      </c>
      <c r="R23" s="652" t="s">
        <v>18</v>
      </c>
      <c r="S23" s="656">
        <v>-439414.04625214863</v>
      </c>
      <c r="T23" s="657">
        <v>147050.36142716193</v>
      </c>
      <c r="U23" s="658">
        <v>-2.9881874616799391</v>
      </c>
      <c r="V23" s="652">
        <v>3.4492453309359831E-3</v>
      </c>
      <c r="W23" s="657">
        <v>-730775.4877513008</v>
      </c>
      <c r="X23" s="657">
        <v>-148052.60475299647</v>
      </c>
      <c r="Y23" s="657">
        <v>-730775.4877513008</v>
      </c>
      <c r="Z23" s="657">
        <v>-148052.60475299647</v>
      </c>
    </row>
    <row r="24" spans="1:35" x14ac:dyDescent="0.2">
      <c r="A24" s="643">
        <f t="shared" si="7"/>
        <v>2004</v>
      </c>
      <c r="B24" s="729">
        <v>38261</v>
      </c>
      <c r="C24" s="645">
        <f>[12]Sheet1!K30</f>
        <v>20193008.786800001</v>
      </c>
      <c r="D24" s="645">
        <f>'HDD and CDD data'!M15</f>
        <v>297.60000000000002</v>
      </c>
      <c r="E24" s="645">
        <f>'HDD and CDD data'!M30</f>
        <v>0</v>
      </c>
      <c r="F24" s="432">
        <f>[13]Employment!B27</f>
        <v>5229.2</v>
      </c>
      <c r="G24" s="641">
        <f t="shared" si="8"/>
        <v>31</v>
      </c>
      <c r="H24" s="646">
        <f t="shared" si="3"/>
        <v>1</v>
      </c>
      <c r="I24" s="645">
        <v>0</v>
      </c>
      <c r="J24" s="645">
        <f>'[14]Purchased Power Model'!I84</f>
        <v>319.92</v>
      </c>
      <c r="K24" s="647">
        <f t="shared" si="6"/>
        <v>27916.566666666673</v>
      </c>
      <c r="L24" s="641"/>
      <c r="M24" s="648"/>
      <c r="N24" s="643"/>
      <c r="O24" s="649">
        <f t="shared" si="2"/>
        <v>20532636.71085481</v>
      </c>
      <c r="P24" s="649">
        <f t="shared" si="4"/>
        <v>339627.92405480891</v>
      </c>
      <c r="Q24" s="650">
        <f t="shared" si="5"/>
        <v>1.6819084646604067E-2</v>
      </c>
      <c r="R24" s="652" t="s">
        <v>73</v>
      </c>
      <c r="S24" s="656">
        <v>-1.6938483809561022</v>
      </c>
      <c r="T24" s="657">
        <v>0.44936210604328147</v>
      </c>
      <c r="U24" s="658">
        <v>-3.7694508686341139</v>
      </c>
      <c r="V24" s="652">
        <v>2.6285363474822996E-4</v>
      </c>
      <c r="W24" s="657">
        <v>-2.5842017925437166</v>
      </c>
      <c r="X24" s="657">
        <v>-0.80349496936848785</v>
      </c>
      <c r="Y24" s="657">
        <v>-2.5842017925437166</v>
      </c>
      <c r="Z24" s="657">
        <v>-0.80349496936848785</v>
      </c>
    </row>
    <row r="25" spans="1:35" s="440" customFormat="1" ht="13.5" thickBot="1" x14ac:dyDescent="0.25">
      <c r="A25" s="643">
        <f t="shared" si="7"/>
        <v>2004</v>
      </c>
      <c r="B25" s="729">
        <v>38292</v>
      </c>
      <c r="C25" s="645">
        <f>[12]Sheet1!K31</f>
        <v>20633185.581999999</v>
      </c>
      <c r="D25" s="645">
        <f>'HDD and CDD data'!M16</f>
        <v>452.1</v>
      </c>
      <c r="E25" s="645">
        <f>'HDD and CDD data'!M31</f>
        <v>0</v>
      </c>
      <c r="F25" s="432">
        <f>[13]Employment!B28</f>
        <v>5143.7</v>
      </c>
      <c r="G25" s="641">
        <f t="shared" si="8"/>
        <v>30</v>
      </c>
      <c r="H25" s="646">
        <f t="shared" si="3"/>
        <v>1</v>
      </c>
      <c r="I25" s="645">
        <v>0</v>
      </c>
      <c r="J25" s="645">
        <f>'[14]Purchased Power Model'!I85</f>
        <v>352.08</v>
      </c>
      <c r="K25" s="647">
        <f t="shared" si="6"/>
        <v>27938.800000000007</v>
      </c>
      <c r="L25" s="641"/>
      <c r="M25" s="648"/>
      <c r="N25" s="643"/>
      <c r="O25" s="649">
        <f t="shared" si="2"/>
        <v>21224694.32063289</v>
      </c>
      <c r="P25" s="649">
        <f t="shared" si="4"/>
        <v>591508.73863289133</v>
      </c>
      <c r="Q25" s="650">
        <f t="shared" si="5"/>
        <v>2.8667833974648702E-2</v>
      </c>
      <c r="R25" s="653" t="s">
        <v>77</v>
      </c>
      <c r="S25" s="659">
        <v>10997.072090883077</v>
      </c>
      <c r="T25" s="660">
        <v>3126.9486013930773</v>
      </c>
      <c r="U25" s="661">
        <v>3.5168701161201708</v>
      </c>
      <c r="V25" s="653">
        <v>6.3172317988893193E-4</v>
      </c>
      <c r="W25" s="660">
        <v>4801.4242655159578</v>
      </c>
      <c r="X25" s="660">
        <v>17192.719916250197</v>
      </c>
      <c r="Y25" s="660">
        <v>4801.4242655159578</v>
      </c>
      <c r="Z25" s="660">
        <v>17192.719916250197</v>
      </c>
      <c r="AA25" s="293"/>
      <c r="AB25" s="293"/>
      <c r="AC25" s="293"/>
      <c r="AD25" s="293"/>
      <c r="AE25" s="293"/>
      <c r="AF25" s="293"/>
      <c r="AG25" s="293"/>
      <c r="AH25" s="293"/>
      <c r="AI25" s="293"/>
    </row>
    <row r="26" spans="1:35" x14ac:dyDescent="0.2">
      <c r="A26" s="643">
        <f t="shared" si="7"/>
        <v>2004</v>
      </c>
      <c r="B26" s="729">
        <v>38322</v>
      </c>
      <c r="C26" s="645">
        <f>[12]Sheet1!K32</f>
        <v>23437588.321600001</v>
      </c>
      <c r="D26" s="645">
        <f>'HDD and CDD data'!M17</f>
        <v>736</v>
      </c>
      <c r="E26" s="645">
        <f>'HDD and CDD data'!M32</f>
        <v>0</v>
      </c>
      <c r="F26" s="432">
        <f>[13]Employment!B29</f>
        <v>5114.1000000000004</v>
      </c>
      <c r="G26" s="641">
        <f t="shared" si="8"/>
        <v>31</v>
      </c>
      <c r="H26" s="646">
        <f t="shared" si="3"/>
        <v>0.66666666666666663</v>
      </c>
      <c r="I26" s="645">
        <v>0</v>
      </c>
      <c r="J26" s="645">
        <f>'[14]Purchased Power Model'!I86</f>
        <v>336.28800000000001</v>
      </c>
      <c r="K26" s="655">
        <f t="shared" si="6"/>
        <v>27961.03333333334</v>
      </c>
      <c r="L26" s="641"/>
      <c r="M26" s="648"/>
      <c r="N26" s="643"/>
      <c r="O26" s="649">
        <f t="shared" si="2"/>
        <v>23250452.036243424</v>
      </c>
      <c r="P26" s="649">
        <f t="shared" si="4"/>
        <v>-187136.28535657749</v>
      </c>
      <c r="Q26" s="650">
        <f t="shared" si="5"/>
        <v>-7.9844514200342592E-3</v>
      </c>
    </row>
    <row r="27" spans="1:35" x14ac:dyDescent="0.2">
      <c r="A27" s="643">
        <f t="shared" si="7"/>
        <v>2005</v>
      </c>
      <c r="B27" s="729">
        <v>38353</v>
      </c>
      <c r="C27" s="645">
        <f>[12]Sheet1!L21</f>
        <v>24494789.13002</v>
      </c>
      <c r="D27" s="645">
        <f>'HDD and CDD data'!N6</f>
        <v>837.6</v>
      </c>
      <c r="E27" s="645">
        <f>'HDD and CDD data'!N21</f>
        <v>0</v>
      </c>
      <c r="F27" s="432">
        <f>[13]Employment!B30</f>
        <v>5057.8</v>
      </c>
      <c r="G27" s="641">
        <f t="shared" si="8"/>
        <v>31</v>
      </c>
      <c r="H27" s="646">
        <f t="shared" si="3"/>
        <v>0</v>
      </c>
      <c r="I27" s="645">
        <v>0</v>
      </c>
      <c r="J27" s="645">
        <f>'[14]Purchased Power Model'!I87</f>
        <v>319.92</v>
      </c>
      <c r="K27" s="647">
        <f t="shared" si="6"/>
        <v>27983.266666666674</v>
      </c>
      <c r="L27" s="641"/>
      <c r="M27" s="648"/>
      <c r="N27" s="643"/>
      <c r="O27" s="649">
        <f t="shared" si="2"/>
        <v>23836527.582582224</v>
      </c>
      <c r="P27" s="649">
        <f t="shared" si="4"/>
        <v>-658261.54743777588</v>
      </c>
      <c r="Q27" s="650">
        <f t="shared" si="5"/>
        <v>-2.6873533956290826E-2</v>
      </c>
    </row>
    <row r="28" spans="1:35" x14ac:dyDescent="0.2">
      <c r="A28" s="643">
        <f t="shared" si="7"/>
        <v>2005</v>
      </c>
      <c r="B28" s="729">
        <v>38384</v>
      </c>
      <c r="C28" s="645">
        <f>[12]Sheet1!L22</f>
        <v>21058633.586040001</v>
      </c>
      <c r="D28" s="645">
        <f>'HDD and CDD data'!N7</f>
        <v>676.6</v>
      </c>
      <c r="E28" s="645">
        <f>'HDD and CDD data'!N22</f>
        <v>0</v>
      </c>
      <c r="F28" s="432">
        <f>[13]Employment!B31</f>
        <v>5025.8999999999996</v>
      </c>
      <c r="G28" s="641">
        <f t="shared" si="8"/>
        <v>28</v>
      </c>
      <c r="H28" s="646">
        <f t="shared" si="3"/>
        <v>0</v>
      </c>
      <c r="I28" s="645">
        <v>0</v>
      </c>
      <c r="J28" s="645">
        <f>'[14]Purchased Power Model'!I88</f>
        <v>319.87200000000001</v>
      </c>
      <c r="K28" s="647">
        <f t="shared" si="6"/>
        <v>28005.500000000007</v>
      </c>
      <c r="L28" s="641"/>
      <c r="M28" s="648"/>
      <c r="N28" s="643"/>
      <c r="O28" s="649">
        <f t="shared" si="2"/>
        <v>21610643.031932555</v>
      </c>
      <c r="P28" s="649">
        <f t="shared" si="4"/>
        <v>552009.44589255378</v>
      </c>
      <c r="Q28" s="650">
        <f t="shared" si="5"/>
        <v>2.6212975482819877E-2</v>
      </c>
    </row>
    <row r="29" spans="1:35" ht="15.75" customHeight="1" x14ac:dyDescent="0.2">
      <c r="A29" s="643">
        <f t="shared" si="7"/>
        <v>2005</v>
      </c>
      <c r="B29" s="729">
        <v>38412</v>
      </c>
      <c r="C29" s="645">
        <f>[12]Sheet1!L23</f>
        <v>22369154.19368</v>
      </c>
      <c r="D29" s="645">
        <f>'HDD and CDD data'!N8</f>
        <v>674.5</v>
      </c>
      <c r="E29" s="645">
        <f>'HDD and CDD data'!N23</f>
        <v>0</v>
      </c>
      <c r="F29" s="432">
        <f>[13]Employment!B32</f>
        <v>4993.7</v>
      </c>
      <c r="G29" s="641">
        <f t="shared" si="8"/>
        <v>31</v>
      </c>
      <c r="H29" s="646">
        <f t="shared" si="3"/>
        <v>0.33333333333333331</v>
      </c>
      <c r="I29" s="645">
        <v>0</v>
      </c>
      <c r="J29" s="645">
        <f>'[14]Purchased Power Model'!I89</f>
        <v>351.91199999999998</v>
      </c>
      <c r="K29" s="647">
        <f t="shared" si="6"/>
        <v>28027.733333333341</v>
      </c>
      <c r="L29" s="641"/>
      <c r="M29" s="648"/>
      <c r="N29" s="643"/>
      <c r="O29" s="649">
        <f t="shared" si="2"/>
        <v>22859637.847405657</v>
      </c>
      <c r="P29" s="649">
        <f t="shared" si="4"/>
        <v>490483.65372565761</v>
      </c>
      <c r="Q29" s="650">
        <f t="shared" si="5"/>
        <v>2.1926785853362076E-2</v>
      </c>
    </row>
    <row r="30" spans="1:35" x14ac:dyDescent="0.2">
      <c r="A30" s="293">
        <f t="shared" si="7"/>
        <v>2005</v>
      </c>
      <c r="B30" s="729">
        <v>38443</v>
      </c>
      <c r="C30" s="645">
        <f>[12]Sheet1!L24</f>
        <v>19733703.295079999</v>
      </c>
      <c r="D30" s="645">
        <f>'HDD and CDD data'!N9</f>
        <v>377</v>
      </c>
      <c r="E30" s="645">
        <f>'HDD and CDD data'!N24</f>
        <v>0</v>
      </c>
      <c r="F30" s="432">
        <f>[13]Employment!B33</f>
        <v>5043</v>
      </c>
      <c r="G30" s="641">
        <f t="shared" si="8"/>
        <v>30</v>
      </c>
      <c r="H30" s="646">
        <f t="shared" si="3"/>
        <v>1</v>
      </c>
      <c r="I30" s="645">
        <v>0</v>
      </c>
      <c r="J30" s="645">
        <f>'[14]Purchased Power Model'!I90</f>
        <v>336.24</v>
      </c>
      <c r="K30" s="647">
        <f t="shared" si="6"/>
        <v>28049.966666666674</v>
      </c>
      <c r="L30" s="641"/>
      <c r="M30" s="648"/>
      <c r="N30" s="643"/>
      <c r="O30" s="649">
        <f t="shared" si="2"/>
        <v>20311348.519589607</v>
      </c>
      <c r="P30" s="649">
        <f t="shared" si="4"/>
        <v>577645.224509608</v>
      </c>
      <c r="Q30" s="650">
        <f t="shared" si="5"/>
        <v>2.9272013259347338E-2</v>
      </c>
    </row>
    <row r="31" spans="1:35" x14ac:dyDescent="0.2">
      <c r="A31" s="293">
        <f t="shared" si="7"/>
        <v>2005</v>
      </c>
      <c r="B31" s="729">
        <v>38473</v>
      </c>
      <c r="C31" s="645">
        <f>[12]Sheet1!L25</f>
        <v>19532908.368379999</v>
      </c>
      <c r="D31" s="645">
        <f>'HDD and CDD data'!N10</f>
        <v>269.3</v>
      </c>
      <c r="E31" s="645">
        <f>'HDD and CDD data'!N25</f>
        <v>0</v>
      </c>
      <c r="F31" s="432">
        <f>[13]Employment!B34</f>
        <v>5122.1000000000004</v>
      </c>
      <c r="G31" s="641">
        <f t="shared" si="8"/>
        <v>31</v>
      </c>
      <c r="H31" s="646">
        <f t="shared" si="3"/>
        <v>1</v>
      </c>
      <c r="I31" s="645">
        <v>0</v>
      </c>
      <c r="J31" s="645">
        <f>'[14]Purchased Power Model'!I91</f>
        <v>336.28800000000001</v>
      </c>
      <c r="K31" s="647">
        <f t="shared" si="6"/>
        <v>28072.200000000008</v>
      </c>
      <c r="L31" s="641"/>
      <c r="M31" s="648"/>
      <c r="N31" s="643"/>
      <c r="O31" s="649">
        <f t="shared" si="2"/>
        <v>20244874.198907457</v>
      </c>
      <c r="P31" s="649">
        <f t="shared" si="4"/>
        <v>711965.83052745834</v>
      </c>
      <c r="Q31" s="650">
        <f t="shared" si="5"/>
        <v>3.6449555647329678E-2</v>
      </c>
      <c r="R31" s="643"/>
      <c r="S31" s="643"/>
      <c r="T31" s="643"/>
      <c r="U31" s="643"/>
      <c r="V31" s="643"/>
      <c r="W31" s="643"/>
      <c r="X31" s="643"/>
      <c r="Y31" s="643"/>
      <c r="Z31" s="643"/>
      <c r="AA31" s="643"/>
    </row>
    <row r="32" spans="1:35" x14ac:dyDescent="0.2">
      <c r="A32" s="293">
        <f t="shared" si="7"/>
        <v>2005</v>
      </c>
      <c r="B32" s="729">
        <v>38504</v>
      </c>
      <c r="C32" s="645">
        <f>[12]Sheet1!L26</f>
        <v>22341825.544860002</v>
      </c>
      <c r="D32" s="645">
        <f>'HDD and CDD data'!N11</f>
        <v>23</v>
      </c>
      <c r="E32" s="645">
        <f>'HDD and CDD data'!N26</f>
        <v>95</v>
      </c>
      <c r="F32" s="432">
        <f>[13]Employment!B35</f>
        <v>5236.3</v>
      </c>
      <c r="G32" s="641">
        <f t="shared" si="8"/>
        <v>30</v>
      </c>
      <c r="H32" s="646">
        <f t="shared" si="3"/>
        <v>0.66666666666666663</v>
      </c>
      <c r="I32" s="645">
        <v>0</v>
      </c>
      <c r="J32" s="645">
        <f>'[14]Purchased Power Model'!I92</f>
        <v>352.08</v>
      </c>
      <c r="K32" s="647">
        <f t="shared" si="6"/>
        <v>28094.433333333342</v>
      </c>
      <c r="L32" s="641"/>
      <c r="M32" s="648"/>
      <c r="N32" s="643"/>
      <c r="O32" s="649">
        <f t="shared" si="2"/>
        <v>22451559.603328694</v>
      </c>
      <c r="P32" s="649">
        <f t="shared" si="4"/>
        <v>109734.058468692</v>
      </c>
      <c r="Q32" s="650">
        <f t="shared" si="5"/>
        <v>4.9115976780123773E-3</v>
      </c>
      <c r="R32" s="643"/>
      <c r="S32" s="643"/>
      <c r="T32" s="643"/>
      <c r="U32" s="643"/>
      <c r="V32" s="643"/>
      <c r="W32" s="643"/>
      <c r="X32" s="643"/>
      <c r="Y32" s="643"/>
      <c r="Z32" s="643"/>
      <c r="AA32" s="643"/>
    </row>
    <row r="33" spans="1:28" x14ac:dyDescent="0.2">
      <c r="A33" s="293">
        <f t="shared" si="7"/>
        <v>2005</v>
      </c>
      <c r="B33" s="729">
        <v>38534</v>
      </c>
      <c r="C33" s="645">
        <f>[12]Sheet1!L27</f>
        <v>22538749.334600002</v>
      </c>
      <c r="D33" s="645">
        <f>'HDD and CDD data'!N12</f>
        <v>9.5</v>
      </c>
      <c r="E33" s="645">
        <f>'HDD and CDD data'!N27</f>
        <v>98.5</v>
      </c>
      <c r="F33" s="432">
        <f>[13]Employment!B36</f>
        <v>5342</v>
      </c>
      <c r="G33" s="641">
        <f t="shared" si="8"/>
        <v>31</v>
      </c>
      <c r="H33" s="646">
        <f t="shared" si="3"/>
        <v>0</v>
      </c>
      <c r="I33" s="645">
        <v>0</v>
      </c>
      <c r="J33" s="645">
        <f>'[14]Purchased Power Model'!I93</f>
        <v>319.92</v>
      </c>
      <c r="K33" s="647">
        <f t="shared" si="6"/>
        <v>28116.666666666675</v>
      </c>
      <c r="L33" s="641"/>
      <c r="M33" s="648"/>
      <c r="N33" s="643"/>
      <c r="O33" s="649">
        <f t="shared" si="2"/>
        <v>23106188.870708376</v>
      </c>
      <c r="P33" s="649">
        <f t="shared" si="4"/>
        <v>567439.5361083746</v>
      </c>
      <c r="Q33" s="650">
        <f t="shared" si="5"/>
        <v>2.5176176711689979E-2</v>
      </c>
      <c r="R33" s="662"/>
      <c r="S33" s="662"/>
      <c r="T33" s="643"/>
      <c r="U33" s="643"/>
      <c r="V33" s="643"/>
      <c r="W33" s="643"/>
      <c r="X33" s="643"/>
      <c r="Y33" s="643"/>
      <c r="Z33" s="643"/>
      <c r="AA33" s="643"/>
    </row>
    <row r="34" spans="1:28" x14ac:dyDescent="0.2">
      <c r="A34" s="293">
        <f t="shared" si="7"/>
        <v>2005</v>
      </c>
      <c r="B34" s="729">
        <v>38565</v>
      </c>
      <c r="C34" s="645">
        <f>[12]Sheet1!L28</f>
        <v>22427308.322919998</v>
      </c>
      <c r="D34" s="645">
        <f>'HDD and CDD data'!N13</f>
        <v>13</v>
      </c>
      <c r="E34" s="645">
        <f>'HDD and CDD data'!N28</f>
        <v>62.5</v>
      </c>
      <c r="F34" s="432">
        <f>[13]Employment!B37</f>
        <v>5416.4</v>
      </c>
      <c r="G34" s="641">
        <f t="shared" si="8"/>
        <v>31</v>
      </c>
      <c r="H34" s="646">
        <f t="shared" si="3"/>
        <v>0</v>
      </c>
      <c r="I34" s="645">
        <v>0</v>
      </c>
      <c r="J34" s="645">
        <f>'[14]Purchased Power Model'!I94</f>
        <v>351.91199999999998</v>
      </c>
      <c r="K34" s="647">
        <f t="shared" si="6"/>
        <v>28138.900000000009</v>
      </c>
      <c r="L34" s="641"/>
      <c r="M34" s="648"/>
      <c r="N34" s="643"/>
      <c r="O34" s="649">
        <f t="shared" si="2"/>
        <v>22366016.113599382</v>
      </c>
      <c r="P34" s="649">
        <f t="shared" si="4"/>
        <v>-61292.209320615977</v>
      </c>
      <c r="Q34" s="650">
        <f t="shared" si="5"/>
        <v>-2.732927573746212E-3</v>
      </c>
      <c r="R34" s="652"/>
      <c r="S34" s="652"/>
      <c r="T34" s="643"/>
      <c r="U34" s="643"/>
      <c r="V34" s="643"/>
      <c r="W34" s="643"/>
      <c r="X34" s="643"/>
      <c r="Y34" s="643"/>
      <c r="Z34" s="643"/>
      <c r="AA34" s="643"/>
    </row>
    <row r="35" spans="1:28" x14ac:dyDescent="0.2">
      <c r="A35" s="293">
        <f t="shared" si="7"/>
        <v>2005</v>
      </c>
      <c r="B35" s="729">
        <v>38596</v>
      </c>
      <c r="C35" s="645">
        <f>[12]Sheet1!L29</f>
        <v>20345712.434980001</v>
      </c>
      <c r="D35" s="645">
        <f>'HDD and CDD data'!N14</f>
        <v>68.099999999999994</v>
      </c>
      <c r="E35" s="645">
        <f>'HDD and CDD data'!N29</f>
        <v>17.3</v>
      </c>
      <c r="F35" s="432">
        <f>[13]Employment!B38</f>
        <v>5396</v>
      </c>
      <c r="G35" s="641">
        <f t="shared" si="8"/>
        <v>30</v>
      </c>
      <c r="H35" s="646">
        <f t="shared" si="3"/>
        <v>0.33333333333333331</v>
      </c>
      <c r="I35" s="645">
        <v>0</v>
      </c>
      <c r="J35" s="645">
        <f>'[14]Purchased Power Model'!I95</f>
        <v>336.24</v>
      </c>
      <c r="K35" s="647">
        <f t="shared" si="6"/>
        <v>28161.133333333342</v>
      </c>
      <c r="L35" s="641"/>
      <c r="M35" s="648"/>
      <c r="N35" s="643"/>
      <c r="O35" s="649">
        <f t="shared" ref="O35:O66" si="9">$S$18+D35*$S$19+E35*$S$20+F35*$S$21+G35*$S$22+H35*$S$23+I35*$S$24+J35*$S$25+K35*$S$27</f>
        <v>20296323.68868611</v>
      </c>
      <c r="P35" s="649">
        <f t="shared" si="4"/>
        <v>-49388.746293891221</v>
      </c>
      <c r="Q35" s="650">
        <f t="shared" si="5"/>
        <v>-2.427476867754116E-3</v>
      </c>
      <c r="R35" s="652"/>
      <c r="S35" s="652"/>
      <c r="T35" s="643"/>
      <c r="U35" s="643"/>
      <c r="V35" s="643"/>
      <c r="W35" s="643"/>
      <c r="X35" s="643"/>
      <c r="Y35" s="643"/>
      <c r="Z35" s="643"/>
      <c r="AA35" s="643"/>
    </row>
    <row r="36" spans="1:28" x14ac:dyDescent="0.2">
      <c r="A36" s="293">
        <f t="shared" si="7"/>
        <v>2005</v>
      </c>
      <c r="B36" s="729">
        <v>38626</v>
      </c>
      <c r="C36" s="645">
        <f>[12]Sheet1!L30</f>
        <v>20926771.886939999</v>
      </c>
      <c r="D36" s="645">
        <f>'HDD and CDD data'!N15</f>
        <v>274</v>
      </c>
      <c r="E36" s="645">
        <f>'HDD and CDD data'!N30</f>
        <v>5</v>
      </c>
      <c r="F36" s="432">
        <f>[13]Employment!B39</f>
        <v>5335.3</v>
      </c>
      <c r="G36" s="641">
        <f t="shared" si="8"/>
        <v>31</v>
      </c>
      <c r="H36" s="646">
        <f t="shared" si="3"/>
        <v>1</v>
      </c>
      <c r="I36" s="645">
        <v>0</v>
      </c>
      <c r="J36" s="645">
        <f>'[14]Purchased Power Model'!I96</f>
        <v>319.92</v>
      </c>
      <c r="K36" s="647">
        <f t="shared" si="6"/>
        <v>28183.366666666676</v>
      </c>
      <c r="L36" s="641"/>
      <c r="M36" s="648"/>
      <c r="N36" s="643"/>
      <c r="O36" s="649">
        <f t="shared" si="9"/>
        <v>20860219.653671265</v>
      </c>
      <c r="P36" s="649">
        <f t="shared" si="4"/>
        <v>-66552.233268734068</v>
      </c>
      <c r="Q36" s="650">
        <f t="shared" si="5"/>
        <v>-3.1802436433240834E-3</v>
      </c>
      <c r="R36" s="652"/>
      <c r="S36" s="652"/>
      <c r="T36" s="643"/>
      <c r="U36" s="643"/>
      <c r="V36" s="643"/>
      <c r="W36" s="643"/>
      <c r="X36" s="643"/>
      <c r="Y36" s="643"/>
      <c r="Z36" s="643"/>
      <c r="AA36" s="643"/>
    </row>
    <row r="37" spans="1:28" ht="20.25" x14ac:dyDescent="0.35">
      <c r="A37" s="293">
        <f t="shared" si="7"/>
        <v>2005</v>
      </c>
      <c r="B37" s="729">
        <v>38657</v>
      </c>
      <c r="C37" s="645">
        <f>[12]Sheet1!L31</f>
        <v>21836094.45586</v>
      </c>
      <c r="D37" s="645">
        <f>'HDD and CDD data'!N16</f>
        <v>445.4</v>
      </c>
      <c r="E37" s="645">
        <f>'HDD and CDD data'!N31</f>
        <v>0</v>
      </c>
      <c r="F37" s="432">
        <f>[13]Employment!B40</f>
        <v>5247.1</v>
      </c>
      <c r="G37" s="641">
        <f t="shared" si="8"/>
        <v>30</v>
      </c>
      <c r="H37" s="646">
        <f t="shared" si="3"/>
        <v>1</v>
      </c>
      <c r="I37" s="645">
        <v>0</v>
      </c>
      <c r="J37" s="645">
        <f>'[14]Purchased Power Model'!I97</f>
        <v>352.08</v>
      </c>
      <c r="K37" s="647">
        <f t="shared" si="6"/>
        <v>28205.600000000009</v>
      </c>
      <c r="L37" s="641"/>
      <c r="M37" s="648"/>
      <c r="N37" s="643"/>
      <c r="O37" s="649">
        <f t="shared" si="9"/>
        <v>21466273.046755582</v>
      </c>
      <c r="P37" s="649">
        <f t="shared" si="4"/>
        <v>-369821.40910441801</v>
      </c>
      <c r="Q37" s="650">
        <f t="shared" si="5"/>
        <v>-1.6936243331058299E-2</v>
      </c>
      <c r="R37" s="652"/>
      <c r="S37" s="663" t="s">
        <v>469</v>
      </c>
      <c r="T37" s="663" t="s">
        <v>470</v>
      </c>
      <c r="U37" s="663" t="s">
        <v>471</v>
      </c>
      <c r="V37" s="643"/>
      <c r="W37" s="643"/>
      <c r="X37" s="643"/>
      <c r="Y37" s="643"/>
      <c r="Z37" s="643"/>
      <c r="AA37" s="643"/>
    </row>
    <row r="38" spans="1:28" ht="12" customHeight="1" x14ac:dyDescent="0.2">
      <c r="A38" s="293">
        <f t="shared" si="7"/>
        <v>2005</v>
      </c>
      <c r="B38" s="729">
        <v>38687</v>
      </c>
      <c r="C38" s="645">
        <f>[12]Sheet1!L32</f>
        <v>23914454.146359999</v>
      </c>
      <c r="D38" s="645">
        <f>'HDD and CDD data'!N17</f>
        <v>724.7</v>
      </c>
      <c r="E38" s="645">
        <f>'HDD and CDD data'!N32</f>
        <v>0</v>
      </c>
      <c r="F38" s="432">
        <f>[13]Employment!B41</f>
        <v>5224.1000000000004</v>
      </c>
      <c r="G38" s="641">
        <f t="shared" si="8"/>
        <v>31</v>
      </c>
      <c r="H38" s="646">
        <f t="shared" si="3"/>
        <v>0.66666666666666663</v>
      </c>
      <c r="I38" s="645">
        <v>0</v>
      </c>
      <c r="J38" s="645">
        <f>'[14]Purchased Power Model'!I98</f>
        <v>319.92</v>
      </c>
      <c r="K38" s="647">
        <f t="shared" si="6"/>
        <v>28227.833333333343</v>
      </c>
      <c r="L38" s="641"/>
      <c r="M38" s="648"/>
      <c r="N38" s="643"/>
      <c r="O38" s="649">
        <f t="shared" si="9"/>
        <v>23301694.227363676</v>
      </c>
      <c r="P38" s="649">
        <f t="shared" si="4"/>
        <v>-612759.9189963229</v>
      </c>
      <c r="Q38" s="650">
        <f t="shared" si="5"/>
        <v>-2.5622994162699326E-2</v>
      </c>
      <c r="R38" s="652"/>
      <c r="S38" s="652"/>
      <c r="T38" s="643"/>
      <c r="U38" s="643"/>
      <c r="V38" s="643"/>
      <c r="W38" s="643"/>
      <c r="X38" s="643"/>
      <c r="Y38" s="643"/>
      <c r="Z38" s="643"/>
      <c r="AA38" s="643"/>
    </row>
    <row r="39" spans="1:28" x14ac:dyDescent="0.2">
      <c r="A39" s="293">
        <f t="shared" si="7"/>
        <v>2006</v>
      </c>
      <c r="B39" s="729">
        <v>38718</v>
      </c>
      <c r="C39" s="645">
        <f>[12]Sheet1!M21</f>
        <v>23585721.391399998</v>
      </c>
      <c r="D39" s="645">
        <f>'HDD and CDD data'!O6</f>
        <v>626.6</v>
      </c>
      <c r="E39" s="645">
        <f>'HDD and CDD data'!O21</f>
        <v>0</v>
      </c>
      <c r="F39" s="432">
        <f>[13]Employment!B42</f>
        <v>5175.3</v>
      </c>
      <c r="G39" s="641">
        <f t="shared" si="8"/>
        <v>31</v>
      </c>
      <c r="H39" s="646">
        <f t="shared" si="3"/>
        <v>0</v>
      </c>
      <c r="I39" s="645">
        <f>'CDM Data'!C16</f>
        <v>66425.721138816312</v>
      </c>
      <c r="J39" s="645">
        <f>'[14]Purchased Power Model'!I99</f>
        <v>336.28800000000001</v>
      </c>
      <c r="K39" s="647">
        <f t="shared" si="6"/>
        <v>28250.066666666677</v>
      </c>
      <c r="L39" s="641"/>
      <c r="M39" s="648"/>
      <c r="N39" s="643"/>
      <c r="O39" s="649">
        <f t="shared" si="9"/>
        <v>22923004.454506725</v>
      </c>
      <c r="P39" s="649">
        <f t="shared" si="4"/>
        <v>-662716.93689327314</v>
      </c>
      <c r="Q39" s="650">
        <f t="shared" si="5"/>
        <v>-2.8098226291052429E-2</v>
      </c>
      <c r="R39" s="643"/>
      <c r="S39" s="643"/>
      <c r="T39" s="643"/>
      <c r="U39" s="643"/>
      <c r="V39" s="643"/>
      <c r="W39" s="643"/>
      <c r="X39" s="643"/>
      <c r="Y39" s="643"/>
      <c r="Z39" s="643"/>
      <c r="AA39" s="643"/>
    </row>
    <row r="40" spans="1:28" x14ac:dyDescent="0.2">
      <c r="A40" s="293">
        <f t="shared" si="7"/>
        <v>2006</v>
      </c>
      <c r="B40" s="729">
        <v>38749</v>
      </c>
      <c r="C40" s="645">
        <f>[12]Sheet1!M22</f>
        <v>21843853.559599999</v>
      </c>
      <c r="D40" s="645">
        <f>'HDD and CDD data'!O7</f>
        <v>684.8</v>
      </c>
      <c r="E40" s="645">
        <f>'HDD and CDD data'!O22</f>
        <v>0</v>
      </c>
      <c r="F40" s="432">
        <f>[13]Employment!B43</f>
        <v>5136.2</v>
      </c>
      <c r="G40" s="641">
        <f t="shared" si="8"/>
        <v>28</v>
      </c>
      <c r="H40" s="646">
        <f t="shared" si="3"/>
        <v>0</v>
      </c>
      <c r="I40" s="645">
        <f>'CDM Data'!C17</f>
        <v>66425.721138816312</v>
      </c>
      <c r="J40" s="645">
        <f>'[14]Purchased Power Model'!I100</f>
        <v>319.87200000000001</v>
      </c>
      <c r="K40" s="647">
        <f t="shared" si="6"/>
        <v>28272.30000000001</v>
      </c>
      <c r="L40" s="641"/>
      <c r="M40" s="648"/>
      <c r="N40" s="643"/>
      <c r="O40" s="649">
        <f t="shared" si="9"/>
        <v>21850567.035548463</v>
      </c>
      <c r="P40" s="649">
        <f t="shared" si="4"/>
        <v>6713.4759484641254</v>
      </c>
      <c r="Q40" s="650">
        <f t="shared" si="5"/>
        <v>3.0733935887945318E-4</v>
      </c>
      <c r="AA40" s="643"/>
    </row>
    <row r="41" spans="1:28" x14ac:dyDescent="0.2">
      <c r="A41" s="293">
        <f t="shared" si="7"/>
        <v>2006</v>
      </c>
      <c r="B41" s="729">
        <v>38777</v>
      </c>
      <c r="C41" s="645">
        <f>[12]Sheet1!M23</f>
        <v>23107893.602400001</v>
      </c>
      <c r="D41" s="645">
        <f>'HDD and CDD data'!O8</f>
        <v>597.79999999999995</v>
      </c>
      <c r="E41" s="645">
        <f>'HDD and CDD data'!O23</f>
        <v>0</v>
      </c>
      <c r="F41" s="432">
        <f>[13]Employment!B44</f>
        <v>5107.1000000000004</v>
      </c>
      <c r="G41" s="641">
        <f t="shared" si="8"/>
        <v>31</v>
      </c>
      <c r="H41" s="646">
        <f t="shared" si="3"/>
        <v>0.33333333333333331</v>
      </c>
      <c r="I41" s="645">
        <f>'CDM Data'!C18</f>
        <v>66425.721138816312</v>
      </c>
      <c r="J41" s="645">
        <f>'[14]Purchased Power Model'!I101</f>
        <v>368.28</v>
      </c>
      <c r="K41" s="647">
        <f t="shared" si="6"/>
        <v>28294.533333333344</v>
      </c>
      <c r="L41" s="641"/>
      <c r="M41" s="648"/>
      <c r="N41" s="643"/>
      <c r="O41" s="649">
        <f t="shared" si="9"/>
        <v>22763946.327733357</v>
      </c>
      <c r="P41" s="649">
        <f t="shared" si="4"/>
        <v>-343947.27466664463</v>
      </c>
      <c r="Q41" s="650">
        <f t="shared" si="5"/>
        <v>-1.4884406194034147E-2</v>
      </c>
      <c r="R41" s="643"/>
      <c r="S41" s="643"/>
      <c r="T41" s="643"/>
      <c r="U41" s="643"/>
      <c r="V41" s="643"/>
      <c r="W41" s="643"/>
      <c r="X41" s="643"/>
      <c r="Y41" s="643"/>
      <c r="Z41" s="643"/>
      <c r="AA41" s="643"/>
    </row>
    <row r="42" spans="1:28" x14ac:dyDescent="0.2">
      <c r="A42" s="293">
        <f t="shared" si="7"/>
        <v>2006</v>
      </c>
      <c r="B42" s="729">
        <v>38808</v>
      </c>
      <c r="C42" s="645">
        <f>[12]Sheet1!M24</f>
        <v>19931900.296599999</v>
      </c>
      <c r="D42" s="645">
        <f>'HDD and CDD data'!O9</f>
        <v>351.6</v>
      </c>
      <c r="E42" s="645">
        <f>'HDD and CDD data'!O24</f>
        <v>0</v>
      </c>
      <c r="F42" s="432">
        <f>[13]Employment!B45</f>
        <v>5137.7</v>
      </c>
      <c r="G42" s="641">
        <f t="shared" si="8"/>
        <v>30</v>
      </c>
      <c r="H42" s="646">
        <f t="shared" si="3"/>
        <v>1</v>
      </c>
      <c r="I42" s="645">
        <f>'CDM Data'!C19</f>
        <v>66425.721138816312</v>
      </c>
      <c r="J42" s="645">
        <f>'[14]Purchased Power Model'!I102</f>
        <v>303.83999999999997</v>
      </c>
      <c r="K42" s="647">
        <f t="shared" si="6"/>
        <v>28316.766666666677</v>
      </c>
      <c r="L42" s="641"/>
      <c r="M42" s="648"/>
      <c r="N42" s="643"/>
      <c r="O42" s="649">
        <f t="shared" si="9"/>
        <v>19944863.326986432</v>
      </c>
      <c r="P42" s="649">
        <f t="shared" si="4"/>
        <v>12963.030386433005</v>
      </c>
      <c r="Q42" s="650">
        <f t="shared" si="5"/>
        <v>6.5036600592690349E-4</v>
      </c>
      <c r="R42" s="662"/>
      <c r="S42" s="662"/>
      <c r="T42" s="643"/>
      <c r="U42" s="643"/>
      <c r="V42" s="643"/>
      <c r="W42" s="643"/>
      <c r="X42" s="643"/>
      <c r="Y42" s="643"/>
      <c r="Z42" s="643"/>
      <c r="AA42" s="643"/>
      <c r="AB42" s="643"/>
    </row>
    <row r="43" spans="1:28" x14ac:dyDescent="0.2">
      <c r="A43" s="293">
        <f t="shared" si="7"/>
        <v>2006</v>
      </c>
      <c r="B43" s="729">
        <v>38838</v>
      </c>
      <c r="C43" s="645">
        <f>[12]Sheet1!M25</f>
        <v>20891060.2042</v>
      </c>
      <c r="D43" s="645">
        <f>'HDD and CDD data'!O10</f>
        <v>185.4</v>
      </c>
      <c r="E43" s="645">
        <f>'HDD and CDD data'!O25</f>
        <v>14.1</v>
      </c>
      <c r="F43" s="432">
        <f>[13]Employment!B46</f>
        <v>5243.8</v>
      </c>
      <c r="G43" s="641">
        <f t="shared" si="8"/>
        <v>31</v>
      </c>
      <c r="H43" s="646">
        <f t="shared" si="3"/>
        <v>1</v>
      </c>
      <c r="I43" s="645">
        <f>'CDM Data'!C20</f>
        <v>66425.721138816312</v>
      </c>
      <c r="J43" s="645">
        <f>'[14]Purchased Power Model'!I103</f>
        <v>351.91199999999998</v>
      </c>
      <c r="K43" s="655">
        <f t="shared" si="6"/>
        <v>28339.000000000011</v>
      </c>
      <c r="L43" s="641"/>
      <c r="M43" s="648"/>
      <c r="N43" s="643"/>
      <c r="O43" s="649">
        <f t="shared" si="9"/>
        <v>20635162.164071377</v>
      </c>
      <c r="P43" s="649">
        <f t="shared" si="4"/>
        <v>-255898.0401286222</v>
      </c>
      <c r="Q43" s="650">
        <f t="shared" si="5"/>
        <v>-1.2249164840239928E-2</v>
      </c>
      <c r="R43" s="652"/>
      <c r="S43" s="652"/>
      <c r="T43" s="643"/>
      <c r="U43" s="643"/>
      <c r="V43" s="643"/>
      <c r="W43" s="643"/>
      <c r="X43" s="643"/>
      <c r="Y43" s="643"/>
      <c r="Z43" s="643"/>
      <c r="AA43" s="643"/>
      <c r="AB43" s="643"/>
    </row>
    <row r="44" spans="1:28" x14ac:dyDescent="0.2">
      <c r="A44" s="293">
        <f t="shared" si="7"/>
        <v>2006</v>
      </c>
      <c r="B44" s="729">
        <v>38869</v>
      </c>
      <c r="C44" s="645">
        <f>[12]Sheet1!M26</f>
        <v>21425326.924199998</v>
      </c>
      <c r="D44" s="645">
        <f>'HDD and CDD data'!O11</f>
        <v>49.6</v>
      </c>
      <c r="E44" s="645">
        <f>'HDD and CDD data'!O26</f>
        <v>34.200000000000003</v>
      </c>
      <c r="F44" s="432">
        <f>[13]Employment!B47</f>
        <v>5352.8</v>
      </c>
      <c r="G44" s="641">
        <f t="shared" si="8"/>
        <v>30</v>
      </c>
      <c r="H44" s="646">
        <f t="shared" si="3"/>
        <v>0.66666666666666663</v>
      </c>
      <c r="I44" s="645">
        <f>'CDM Data'!C21</f>
        <v>66425.721138816312</v>
      </c>
      <c r="J44" s="645">
        <f>'[14]Purchased Power Model'!I104</f>
        <v>352.08</v>
      </c>
      <c r="K44" s="647">
        <f>K43+$I$229</f>
        <v>28357.616666666676</v>
      </c>
      <c r="L44" s="641"/>
      <c r="M44" s="648"/>
      <c r="N44" s="643"/>
      <c r="O44" s="649">
        <f t="shared" si="9"/>
        <v>20597461.249644335</v>
      </c>
      <c r="P44" s="649">
        <f t="shared" si="4"/>
        <v>-827865.67455566302</v>
      </c>
      <c r="Q44" s="650">
        <f t="shared" si="5"/>
        <v>-3.8639581906243177E-2</v>
      </c>
      <c r="R44" s="652"/>
      <c r="S44" s="652"/>
      <c r="T44" s="643"/>
      <c r="U44" s="643"/>
      <c r="V44" s="643"/>
      <c r="W44" s="643"/>
      <c r="X44" s="643"/>
      <c r="Y44" s="643"/>
      <c r="Z44" s="643"/>
      <c r="AA44" s="643"/>
      <c r="AB44" s="643"/>
    </row>
    <row r="45" spans="1:28" x14ac:dyDescent="0.2">
      <c r="A45" s="293">
        <f t="shared" si="7"/>
        <v>2006</v>
      </c>
      <c r="B45" s="729">
        <v>38899</v>
      </c>
      <c r="C45" s="645">
        <f>[12]Sheet1!M27</f>
        <v>23554559.241999999</v>
      </c>
      <c r="D45" s="645">
        <f>'HDD and CDD data'!O12</f>
        <v>6.3</v>
      </c>
      <c r="E45" s="645">
        <f>'HDD and CDD data'!O27</f>
        <v>101.9</v>
      </c>
      <c r="F45" s="432">
        <f>[13]Employment!B48</f>
        <v>5464.8</v>
      </c>
      <c r="G45" s="641">
        <f t="shared" si="8"/>
        <v>31</v>
      </c>
      <c r="H45" s="646">
        <f t="shared" si="3"/>
        <v>0</v>
      </c>
      <c r="I45" s="645">
        <f>'CDM Data'!C22</f>
        <v>66425.721138816312</v>
      </c>
      <c r="J45" s="645">
        <f>'[14]Purchased Power Model'!I105</f>
        <v>319.92</v>
      </c>
      <c r="K45" s="647">
        <f t="shared" ref="K45:K108" si="10">K44+$I$229</f>
        <v>28376.233333333341</v>
      </c>
      <c r="L45" s="641"/>
      <c r="M45" s="648"/>
      <c r="N45" s="643"/>
      <c r="O45" s="649">
        <f t="shared" si="9"/>
        <v>23434344.112928461</v>
      </c>
      <c r="P45" s="649">
        <f t="shared" si="4"/>
        <v>-120215.12907153741</v>
      </c>
      <c r="Q45" s="650">
        <f t="shared" si="5"/>
        <v>-5.1036883278708315E-3</v>
      </c>
      <c r="R45" s="652"/>
      <c r="S45" s="652"/>
      <c r="T45" s="643"/>
      <c r="U45" s="643"/>
      <c r="V45" s="643"/>
      <c r="W45" s="643"/>
      <c r="X45" s="643"/>
      <c r="Y45" s="643"/>
      <c r="Z45" s="643"/>
      <c r="AA45" s="643"/>
      <c r="AB45" s="643"/>
    </row>
    <row r="46" spans="1:28" x14ac:dyDescent="0.2">
      <c r="A46" s="293">
        <f t="shared" si="7"/>
        <v>2006</v>
      </c>
      <c r="B46" s="729">
        <v>38930</v>
      </c>
      <c r="C46" s="645">
        <f>[12]Sheet1!M28</f>
        <v>22408423.2522</v>
      </c>
      <c r="D46" s="645">
        <f>'HDD and CDD data'!O13</f>
        <v>28</v>
      </c>
      <c r="E46" s="645">
        <f>'HDD and CDD data'!O28</f>
        <v>51.8</v>
      </c>
      <c r="F46" s="432">
        <f>[13]Employment!B49</f>
        <v>5505.8</v>
      </c>
      <c r="G46" s="641">
        <f t="shared" si="8"/>
        <v>31</v>
      </c>
      <c r="H46" s="646">
        <f t="shared" si="3"/>
        <v>0</v>
      </c>
      <c r="I46" s="645">
        <f>'CDM Data'!C23</f>
        <v>66425.721138816312</v>
      </c>
      <c r="J46" s="645">
        <f>'[14]Purchased Power Model'!I106</f>
        <v>351.91199999999998</v>
      </c>
      <c r="K46" s="647">
        <f t="shared" si="10"/>
        <v>28394.850000000006</v>
      </c>
      <c r="L46" s="641"/>
      <c r="M46" s="648"/>
      <c r="N46" s="643"/>
      <c r="O46" s="649">
        <f t="shared" si="9"/>
        <v>22199232.018596243</v>
      </c>
      <c r="P46" s="649">
        <f t="shared" si="4"/>
        <v>-209191.23360375687</v>
      </c>
      <c r="Q46" s="650">
        <f t="shared" si="5"/>
        <v>-9.3353838978036535E-3</v>
      </c>
      <c r="R46" s="652"/>
      <c r="S46" s="652"/>
      <c r="T46" s="643"/>
      <c r="U46" s="643"/>
      <c r="V46" s="643"/>
      <c r="W46" s="643"/>
      <c r="X46" s="643"/>
      <c r="Y46" s="643"/>
      <c r="Z46" s="643"/>
      <c r="AA46" s="643"/>
      <c r="AB46" s="643"/>
    </row>
    <row r="47" spans="1:28" x14ac:dyDescent="0.2">
      <c r="A47" s="293">
        <f t="shared" si="7"/>
        <v>2006</v>
      </c>
      <c r="B47" s="729">
        <v>38961</v>
      </c>
      <c r="C47" s="645">
        <f>[12]Sheet1!M29</f>
        <v>20044532.428599998</v>
      </c>
      <c r="D47" s="645">
        <f>'HDD and CDD data'!O14</f>
        <v>137.5</v>
      </c>
      <c r="E47" s="645">
        <f>'HDD and CDD data'!O29</f>
        <v>2.2999999999999998</v>
      </c>
      <c r="F47" s="432">
        <f>[13]Employment!B50</f>
        <v>5456.2</v>
      </c>
      <c r="G47" s="641">
        <f t="shared" si="8"/>
        <v>30</v>
      </c>
      <c r="H47" s="646">
        <f t="shared" si="3"/>
        <v>0.33333333333333331</v>
      </c>
      <c r="I47" s="645">
        <f>'CDM Data'!C24</f>
        <v>66425.721138816312</v>
      </c>
      <c r="J47" s="645">
        <f>'[14]Purchased Power Model'!I107</f>
        <v>319.68</v>
      </c>
      <c r="K47" s="647">
        <f t="shared" si="10"/>
        <v>28413.466666666671</v>
      </c>
      <c r="L47" s="641"/>
      <c r="M47" s="648"/>
      <c r="N47" s="643"/>
      <c r="O47" s="649">
        <f t="shared" si="9"/>
        <v>20046014.60860125</v>
      </c>
      <c r="P47" s="649">
        <f t="shared" si="4"/>
        <v>1482.1800012513995</v>
      </c>
      <c r="Q47" s="650">
        <f t="shared" si="5"/>
        <v>7.3944353979372E-5</v>
      </c>
      <c r="R47" s="652"/>
      <c r="S47" s="652"/>
      <c r="T47" s="643"/>
      <c r="U47" s="643"/>
      <c r="V47" s="643"/>
      <c r="W47" s="643"/>
      <c r="X47" s="643"/>
      <c r="Y47" s="643"/>
      <c r="Z47" s="643"/>
      <c r="AA47" s="643"/>
      <c r="AB47" s="643"/>
    </row>
    <row r="48" spans="1:28" x14ac:dyDescent="0.2">
      <c r="A48" s="293">
        <f t="shared" si="7"/>
        <v>2006</v>
      </c>
      <c r="B48" s="729">
        <v>38991</v>
      </c>
      <c r="C48" s="645">
        <f>[12]Sheet1!M30</f>
        <v>21370547.82124</v>
      </c>
      <c r="D48" s="645">
        <f>'HDD and CDD data'!O15</f>
        <v>331.3</v>
      </c>
      <c r="E48" s="645">
        <f>'HDD and CDD data'!O30</f>
        <v>0.3</v>
      </c>
      <c r="F48" s="432">
        <f>[13]Employment!B51</f>
        <v>5374.9</v>
      </c>
      <c r="G48" s="641">
        <f t="shared" si="8"/>
        <v>31</v>
      </c>
      <c r="H48" s="646">
        <f t="shared" si="3"/>
        <v>1</v>
      </c>
      <c r="I48" s="645">
        <f>'CDM Data'!C25</f>
        <v>66425.721138816312</v>
      </c>
      <c r="J48" s="645">
        <f>'[14]Purchased Power Model'!I108</f>
        <v>336.28800000000001</v>
      </c>
      <c r="K48" s="647">
        <f t="shared" si="10"/>
        <v>28432.083333333336</v>
      </c>
      <c r="L48" s="641"/>
      <c r="M48" s="648"/>
      <c r="N48" s="643"/>
      <c r="O48" s="649">
        <f t="shared" si="9"/>
        <v>21217818.797249015</v>
      </c>
      <c r="P48" s="649">
        <f t="shared" si="4"/>
        <v>-152729.02399098501</v>
      </c>
      <c r="Q48" s="650">
        <f t="shared" si="5"/>
        <v>-7.1467060773794935E-3</v>
      </c>
      <c r="R48" s="643"/>
      <c r="S48" s="643"/>
      <c r="T48" s="643"/>
      <c r="U48" s="643"/>
      <c r="V48" s="643"/>
      <c r="W48" s="643"/>
      <c r="X48" s="643"/>
      <c r="Y48" s="643"/>
      <c r="Z48" s="643"/>
      <c r="AA48" s="643"/>
      <c r="AB48" s="643"/>
    </row>
    <row r="49" spans="1:28" x14ac:dyDescent="0.2">
      <c r="A49" s="293">
        <f t="shared" si="7"/>
        <v>2006</v>
      </c>
      <c r="B49" s="729">
        <v>39022</v>
      </c>
      <c r="C49" s="645">
        <f>[12]Sheet1!M31</f>
        <v>21803236.228259999</v>
      </c>
      <c r="D49" s="645">
        <f>'HDD and CDD data'!O16</f>
        <v>418.4</v>
      </c>
      <c r="E49" s="645">
        <f>'HDD and CDD data'!O31</f>
        <v>0</v>
      </c>
      <c r="F49" s="432">
        <f>[13]Employment!B52</f>
        <v>5278.7</v>
      </c>
      <c r="G49" s="641">
        <f t="shared" si="8"/>
        <v>30</v>
      </c>
      <c r="H49" s="646">
        <f t="shared" si="3"/>
        <v>1</v>
      </c>
      <c r="I49" s="645">
        <f>'CDM Data'!C26</f>
        <v>66425.721138816312</v>
      </c>
      <c r="J49" s="645">
        <f>'[14]Purchased Power Model'!I109</f>
        <v>352.08</v>
      </c>
      <c r="K49" s="647">
        <f t="shared" si="10"/>
        <v>28450.7</v>
      </c>
      <c r="L49" s="641"/>
      <c r="M49" s="648"/>
      <c r="N49" s="643"/>
      <c r="O49" s="649">
        <f t="shared" si="9"/>
        <v>21273552.261716321</v>
      </c>
      <c r="P49" s="649">
        <f t="shared" si="4"/>
        <v>-529683.96654367819</v>
      </c>
      <c r="Q49" s="650">
        <f t="shared" si="5"/>
        <v>-2.4293823219561084E-2</v>
      </c>
      <c r="R49" s="643"/>
      <c r="S49" s="643"/>
      <c r="T49" s="643"/>
      <c r="U49" s="643"/>
      <c r="V49" s="643"/>
      <c r="W49" s="643"/>
      <c r="X49" s="643"/>
      <c r="Y49" s="643"/>
      <c r="Z49" s="643"/>
      <c r="AA49" s="643"/>
      <c r="AB49" s="643"/>
    </row>
    <row r="50" spans="1:28" x14ac:dyDescent="0.2">
      <c r="A50" s="293">
        <f t="shared" si="7"/>
        <v>2006</v>
      </c>
      <c r="B50" s="729">
        <v>39052</v>
      </c>
      <c r="C50" s="645">
        <f>[12]Sheet1!M32</f>
        <v>23123833.453760002</v>
      </c>
      <c r="D50" s="645">
        <f>'HDD and CDD data'!O17</f>
        <v>548</v>
      </c>
      <c r="E50" s="645">
        <f>'HDD and CDD data'!O32</f>
        <v>0</v>
      </c>
      <c r="F50" s="432">
        <f>[13]Employment!B53</f>
        <v>5263.7</v>
      </c>
      <c r="G50" s="641">
        <f t="shared" si="8"/>
        <v>31</v>
      </c>
      <c r="H50" s="646">
        <f t="shared" si="3"/>
        <v>0.66666666666666663</v>
      </c>
      <c r="I50" s="645">
        <f>'CDM Data'!C27</f>
        <v>66425.721138816312</v>
      </c>
      <c r="J50" s="645">
        <f>'[14]Purchased Power Model'!I110</f>
        <v>304.29599999999999</v>
      </c>
      <c r="K50" s="647">
        <f t="shared" si="10"/>
        <v>28469.316666666666</v>
      </c>
      <c r="L50" s="641"/>
      <c r="M50" s="648"/>
      <c r="N50" s="643"/>
      <c r="O50" s="649">
        <f t="shared" si="9"/>
        <v>22034929.227003634</v>
      </c>
      <c r="P50" s="649">
        <f t="shared" si="4"/>
        <v>-1088904.2267563678</v>
      </c>
      <c r="Q50" s="650">
        <f t="shared" si="5"/>
        <v>-4.7090125819052239E-2</v>
      </c>
      <c r="R50" s="664"/>
      <c r="S50" s="664"/>
      <c r="T50" s="664"/>
      <c r="U50" s="664"/>
      <c r="V50" s="664"/>
      <c r="W50" s="664"/>
      <c r="X50" s="643"/>
      <c r="Y50" s="643"/>
      <c r="Z50" s="643"/>
      <c r="AA50" s="643"/>
      <c r="AB50" s="643"/>
    </row>
    <row r="51" spans="1:28" x14ac:dyDescent="0.2">
      <c r="A51" s="293">
        <f t="shared" si="7"/>
        <v>2007</v>
      </c>
      <c r="B51" s="729">
        <v>39083</v>
      </c>
      <c r="C51" s="645">
        <f>[12]Sheet1!N21</f>
        <v>24585298.502999999</v>
      </c>
      <c r="D51" s="645">
        <f>'HDD and CDD data'!P6</f>
        <v>697.39999999999986</v>
      </c>
      <c r="E51" s="645">
        <f>'HDD and CDD data'!P21</f>
        <v>0</v>
      </c>
      <c r="F51" s="432">
        <f>[13]Employment!B54</f>
        <v>5216.5</v>
      </c>
      <c r="G51" s="641">
        <f t="shared" si="8"/>
        <v>31</v>
      </c>
      <c r="H51" s="646">
        <f t="shared" si="3"/>
        <v>0</v>
      </c>
      <c r="I51" s="645">
        <f>'CDM Data'!C28</f>
        <v>116091.34408735466</v>
      </c>
      <c r="J51" s="645">
        <f>'[14]Purchased Power Model'!I111</f>
        <v>351.91199999999998</v>
      </c>
      <c r="K51" s="647">
        <f t="shared" si="10"/>
        <v>28487.933333333331</v>
      </c>
      <c r="L51" s="641"/>
      <c r="M51" s="648"/>
      <c r="N51" s="643"/>
      <c r="O51" s="649">
        <f t="shared" si="9"/>
        <v>23560491.550598212</v>
      </c>
      <c r="P51" s="649">
        <f t="shared" si="4"/>
        <v>-1024806.952401787</v>
      </c>
      <c r="Q51" s="650">
        <f t="shared" si="5"/>
        <v>-4.1683730310483558E-2</v>
      </c>
      <c r="R51" s="652"/>
      <c r="S51" s="652"/>
      <c r="T51" s="652"/>
      <c r="U51" s="652"/>
      <c r="V51" s="652"/>
      <c r="W51" s="652"/>
      <c r="X51" s="643"/>
      <c r="Y51" s="643"/>
      <c r="Z51" s="643"/>
      <c r="AA51" s="643"/>
      <c r="AB51" s="643"/>
    </row>
    <row r="52" spans="1:28" x14ac:dyDescent="0.2">
      <c r="A52" s="293">
        <f t="shared" si="7"/>
        <v>2007</v>
      </c>
      <c r="B52" s="729">
        <v>39114</v>
      </c>
      <c r="C52" s="645">
        <f>[12]Sheet1!N22</f>
        <v>23174346.925019998</v>
      </c>
      <c r="D52" s="645">
        <f>'HDD and CDD data'!P7</f>
        <v>781</v>
      </c>
      <c r="E52" s="645">
        <f>'HDD and CDD data'!P22</f>
        <v>0</v>
      </c>
      <c r="F52" s="432">
        <f>[13]Employment!B55</f>
        <v>5184.8999999999996</v>
      </c>
      <c r="G52" s="641">
        <f t="shared" si="8"/>
        <v>28</v>
      </c>
      <c r="H52" s="646">
        <f t="shared" si="3"/>
        <v>0</v>
      </c>
      <c r="I52" s="645">
        <f>'CDM Data'!C29</f>
        <v>116091.34408735466</v>
      </c>
      <c r="J52" s="645">
        <f>'[14]Purchased Power Model'!I112</f>
        <v>319.87200000000001</v>
      </c>
      <c r="K52" s="647">
        <f t="shared" si="10"/>
        <v>28506.549999999996</v>
      </c>
      <c r="L52" s="641"/>
      <c r="M52" s="648"/>
      <c r="N52" s="643"/>
      <c r="O52" s="649">
        <f t="shared" si="9"/>
        <v>22493555.874679536</v>
      </c>
      <c r="P52" s="649">
        <f t="shared" si="4"/>
        <v>-680791.05034046248</v>
      </c>
      <c r="Q52" s="650">
        <f t="shared" si="5"/>
        <v>-2.9376924948225913E-2</v>
      </c>
      <c r="R52" s="652"/>
      <c r="S52" s="652"/>
      <c r="T52" s="652"/>
      <c r="U52" s="652"/>
      <c r="V52" s="652"/>
      <c r="W52" s="652"/>
      <c r="X52" s="643"/>
      <c r="Y52" s="643"/>
      <c r="Z52" s="643"/>
      <c r="AA52" s="643"/>
      <c r="AB52" s="643"/>
    </row>
    <row r="53" spans="1:28" x14ac:dyDescent="0.2">
      <c r="A53" s="293">
        <f t="shared" si="7"/>
        <v>2007</v>
      </c>
      <c r="B53" s="729">
        <v>39142</v>
      </c>
      <c r="C53" s="645">
        <f>[12]Sheet1!N23</f>
        <v>23451498.216060001</v>
      </c>
      <c r="D53" s="645">
        <f>'HDD and CDD data'!P8</f>
        <v>594.80000000000018</v>
      </c>
      <c r="E53" s="645">
        <f>'HDD and CDD data'!P23</f>
        <v>0</v>
      </c>
      <c r="F53" s="432">
        <f>[13]Employment!B56</f>
        <v>5167.7</v>
      </c>
      <c r="G53" s="641">
        <f t="shared" si="8"/>
        <v>31</v>
      </c>
      <c r="H53" s="646">
        <f t="shared" si="3"/>
        <v>0.33333333333333331</v>
      </c>
      <c r="I53" s="645">
        <f>'CDM Data'!C30</f>
        <v>116091.34408735466</v>
      </c>
      <c r="J53" s="645">
        <f>'[14]Purchased Power Model'!I113</f>
        <v>351.91199999999998</v>
      </c>
      <c r="K53" s="647">
        <f t="shared" si="10"/>
        <v>28525.166666666661</v>
      </c>
      <c r="L53" s="641"/>
      <c r="M53" s="648"/>
      <c r="N53" s="643"/>
      <c r="O53" s="649">
        <f t="shared" si="9"/>
        <v>22647123.694592841</v>
      </c>
      <c r="P53" s="649">
        <f t="shared" si="4"/>
        <v>-804374.52146716043</v>
      </c>
      <c r="Q53" s="650">
        <f t="shared" si="5"/>
        <v>-3.4299493962236943E-2</v>
      </c>
      <c r="R53" s="652"/>
      <c r="S53" s="652"/>
      <c r="T53" s="652"/>
      <c r="U53" s="652"/>
      <c r="V53" s="652"/>
      <c r="W53" s="652"/>
      <c r="X53" s="643"/>
      <c r="Y53" s="643"/>
      <c r="Z53" s="643"/>
      <c r="AA53" s="643"/>
      <c r="AB53" s="643"/>
    </row>
    <row r="54" spans="1:28" x14ac:dyDescent="0.2">
      <c r="A54" s="293">
        <f t="shared" si="7"/>
        <v>2007</v>
      </c>
      <c r="B54" s="729">
        <v>39173</v>
      </c>
      <c r="C54" s="645">
        <f>[12]Sheet1!N24</f>
        <v>21387887.639460001</v>
      </c>
      <c r="D54" s="645">
        <f>'HDD and CDD data'!P9</f>
        <v>427.99999999999989</v>
      </c>
      <c r="E54" s="645">
        <f>'HDD and CDD data'!P24</f>
        <v>0</v>
      </c>
      <c r="F54" s="432">
        <f>[13]Employment!B57</f>
        <v>5197.5</v>
      </c>
      <c r="G54" s="641">
        <f t="shared" si="8"/>
        <v>30</v>
      </c>
      <c r="H54" s="646">
        <f t="shared" si="3"/>
        <v>1</v>
      </c>
      <c r="I54" s="645">
        <f>'CDM Data'!C31</f>
        <v>116091.34408735466</v>
      </c>
      <c r="J54" s="645">
        <f>'[14]Purchased Power Model'!I114</f>
        <v>319.68</v>
      </c>
      <c r="K54" s="647">
        <f t="shared" si="10"/>
        <v>28543.783333333326</v>
      </c>
      <c r="L54" s="641"/>
      <c r="M54" s="648"/>
      <c r="N54" s="643"/>
      <c r="O54" s="649">
        <f t="shared" si="9"/>
        <v>20670191.411802415</v>
      </c>
      <c r="P54" s="649">
        <f t="shared" si="4"/>
        <v>-717696.22765758634</v>
      </c>
      <c r="Q54" s="650">
        <f t="shared" si="5"/>
        <v>-3.3556199647012293E-2</v>
      </c>
      <c r="R54" s="643"/>
      <c r="S54" s="643"/>
      <c r="T54" s="643"/>
      <c r="U54" s="643"/>
      <c r="V54" s="643"/>
      <c r="W54" s="643"/>
      <c r="X54" s="643"/>
      <c r="Y54" s="643"/>
      <c r="Z54" s="643"/>
      <c r="AA54" s="643"/>
      <c r="AB54" s="643"/>
    </row>
    <row r="55" spans="1:28" x14ac:dyDescent="0.2">
      <c r="A55" s="293">
        <f t="shared" si="7"/>
        <v>2007</v>
      </c>
      <c r="B55" s="729">
        <v>39203</v>
      </c>
      <c r="C55" s="645">
        <f>[12]Sheet1!N25</f>
        <v>21169941.297019999</v>
      </c>
      <c r="D55" s="645">
        <f>'HDD and CDD data'!P10</f>
        <v>174.89999999999998</v>
      </c>
      <c r="E55" s="645">
        <f>'HDD and CDD data'!P25</f>
        <v>12.100000000000001</v>
      </c>
      <c r="F55" s="432">
        <f>[13]Employment!B58</f>
        <v>5280.6</v>
      </c>
      <c r="G55" s="641">
        <f t="shared" si="8"/>
        <v>31</v>
      </c>
      <c r="H55" s="646">
        <f t="shared" si="3"/>
        <v>1</v>
      </c>
      <c r="I55" s="645">
        <f>'CDM Data'!C32</f>
        <v>116091.34408735466</v>
      </c>
      <c r="J55" s="645">
        <f>'[14]Purchased Power Model'!I115</f>
        <v>351.91199999999998</v>
      </c>
      <c r="K55" s="647">
        <f t="shared" si="10"/>
        <v>28562.399999999991</v>
      </c>
      <c r="L55" s="641"/>
      <c r="M55" s="648"/>
      <c r="N55" s="643"/>
      <c r="O55" s="649">
        <f t="shared" si="9"/>
        <v>20513739.274393056</v>
      </c>
      <c r="P55" s="649">
        <f t="shared" si="4"/>
        <v>-656202.02262694389</v>
      </c>
      <c r="Q55" s="650">
        <f t="shared" si="5"/>
        <v>-3.0996874928477698E-2</v>
      </c>
      <c r="R55" s="664"/>
      <c r="S55" s="664"/>
      <c r="T55" s="664"/>
      <c r="U55" s="664"/>
      <c r="V55" s="664"/>
      <c r="W55" s="664"/>
      <c r="X55" s="664"/>
      <c r="Y55" s="664"/>
      <c r="Z55" s="664"/>
      <c r="AA55" s="643"/>
      <c r="AB55" s="643"/>
    </row>
    <row r="56" spans="1:28" x14ac:dyDescent="0.2">
      <c r="A56" s="293">
        <f t="shared" si="7"/>
        <v>2007</v>
      </c>
      <c r="B56" s="729">
        <v>39234</v>
      </c>
      <c r="C56" s="645">
        <f>[12]Sheet1!N26</f>
        <v>22510148.184860002</v>
      </c>
      <c r="D56" s="645">
        <f>'HDD and CDD data'!P11</f>
        <v>45.800000000000004</v>
      </c>
      <c r="E56" s="645">
        <f>'HDD and CDD data'!P26</f>
        <v>48.2</v>
      </c>
      <c r="F56" s="432">
        <f>[13]Employment!B59</f>
        <v>5391.3</v>
      </c>
      <c r="G56" s="641">
        <f t="shared" si="8"/>
        <v>30</v>
      </c>
      <c r="H56" s="646">
        <f t="shared" si="3"/>
        <v>0.66666666666666663</v>
      </c>
      <c r="I56" s="645">
        <f>'CDM Data'!C33</f>
        <v>116091.34408735466</v>
      </c>
      <c r="J56" s="645">
        <f>'[14]Purchased Power Model'!I116</f>
        <v>336.24</v>
      </c>
      <c r="K56" s="647">
        <f t="shared" si="10"/>
        <v>28581.016666666656</v>
      </c>
      <c r="L56" s="641"/>
      <c r="M56" s="648"/>
      <c r="N56" s="643"/>
      <c r="O56" s="649">
        <f t="shared" si="9"/>
        <v>20933270.476490613</v>
      </c>
      <c r="P56" s="649">
        <f t="shared" si="4"/>
        <v>-1576877.7083693892</v>
      </c>
      <c r="Q56" s="650">
        <f t="shared" si="5"/>
        <v>-7.005185818501071E-2</v>
      </c>
      <c r="R56" s="652"/>
      <c r="S56" s="652"/>
      <c r="T56" s="652"/>
      <c r="U56" s="652"/>
      <c r="V56" s="652"/>
      <c r="W56" s="652"/>
      <c r="X56" s="652"/>
      <c r="Y56" s="652"/>
      <c r="Z56" s="652"/>
      <c r="AA56" s="643"/>
      <c r="AB56" s="643"/>
    </row>
    <row r="57" spans="1:28" x14ac:dyDescent="0.2">
      <c r="A57" s="293">
        <f t="shared" si="7"/>
        <v>2007</v>
      </c>
      <c r="B57" s="729">
        <v>39264</v>
      </c>
      <c r="C57" s="645">
        <f>[12]Sheet1!N27</f>
        <v>22160756.218959998</v>
      </c>
      <c r="D57" s="645">
        <f>'HDD and CDD data'!P12</f>
        <v>27.599999999999994</v>
      </c>
      <c r="E57" s="645">
        <f>'HDD and CDD data'!P27</f>
        <v>56.599999999999987</v>
      </c>
      <c r="F57" s="432">
        <f>[13]Employment!B60</f>
        <v>5513.8</v>
      </c>
      <c r="G57" s="641">
        <f t="shared" si="8"/>
        <v>31</v>
      </c>
      <c r="H57" s="646">
        <f t="shared" si="3"/>
        <v>0</v>
      </c>
      <c r="I57" s="645">
        <f>'CDM Data'!C34</f>
        <v>116091.34408735466</v>
      </c>
      <c r="J57" s="645">
        <f>'[14]Purchased Power Model'!I117</f>
        <v>336.28800000000001</v>
      </c>
      <c r="K57" s="647">
        <f t="shared" si="10"/>
        <v>28599.63333333332</v>
      </c>
      <c r="L57" s="641"/>
      <c r="M57" s="648"/>
      <c r="N57" s="643"/>
      <c r="O57" s="649">
        <f t="shared" si="9"/>
        <v>22138333.486935291</v>
      </c>
      <c r="P57" s="649">
        <f t="shared" si="4"/>
        <v>-22422.7320247069</v>
      </c>
      <c r="Q57" s="650">
        <f t="shared" si="5"/>
        <v>-1.0118216094775125E-3</v>
      </c>
      <c r="R57" s="652"/>
      <c r="S57" s="652"/>
      <c r="T57" s="652"/>
      <c r="U57" s="652"/>
      <c r="V57" s="652"/>
      <c r="W57" s="652"/>
      <c r="X57" s="652"/>
      <c r="Y57" s="652"/>
      <c r="Z57" s="652"/>
      <c r="AA57" s="643"/>
      <c r="AB57" s="643"/>
    </row>
    <row r="58" spans="1:28" x14ac:dyDescent="0.2">
      <c r="A58" s="293">
        <f t="shared" si="7"/>
        <v>2007</v>
      </c>
      <c r="B58" s="729">
        <v>39295</v>
      </c>
      <c r="C58" s="645">
        <f>[12]Sheet1!N28</f>
        <v>22644189.535700001</v>
      </c>
      <c r="D58" s="645">
        <f>'HDD and CDD data'!P13</f>
        <v>24.6</v>
      </c>
      <c r="E58" s="645">
        <f>'HDD and CDD data'!P28</f>
        <v>66.699999999999989</v>
      </c>
      <c r="F58" s="432">
        <f>[13]Employment!B61</f>
        <v>5582.2</v>
      </c>
      <c r="G58" s="641">
        <f t="shared" si="8"/>
        <v>31</v>
      </c>
      <c r="H58" s="646">
        <f t="shared" si="3"/>
        <v>0</v>
      </c>
      <c r="I58" s="645">
        <f>'CDM Data'!C35</f>
        <v>116091.34408735466</v>
      </c>
      <c r="J58" s="645">
        <f>'[14]Purchased Power Model'!I118</f>
        <v>351.91199999999998</v>
      </c>
      <c r="K58" s="647">
        <f t="shared" si="10"/>
        <v>28618.249999999985</v>
      </c>
      <c r="L58" s="641"/>
      <c r="M58" s="648"/>
      <c r="N58" s="643"/>
      <c r="O58" s="649">
        <f t="shared" si="9"/>
        <v>22848341.346354205</v>
      </c>
      <c r="P58" s="649">
        <f t="shared" si="4"/>
        <v>204151.81065420434</v>
      </c>
      <c r="Q58" s="650">
        <f t="shared" si="5"/>
        <v>9.0156377790578928E-3</v>
      </c>
      <c r="R58" s="652"/>
      <c r="S58" s="652"/>
      <c r="T58" s="652"/>
      <c r="U58" s="652"/>
      <c r="V58" s="652"/>
      <c r="W58" s="652"/>
      <c r="X58" s="652"/>
      <c r="Y58" s="652"/>
      <c r="Z58" s="652"/>
      <c r="AA58" s="643"/>
      <c r="AB58" s="643"/>
    </row>
    <row r="59" spans="1:28" x14ac:dyDescent="0.2">
      <c r="A59" s="293">
        <f t="shared" si="7"/>
        <v>2007</v>
      </c>
      <c r="B59" s="729">
        <v>39326</v>
      </c>
      <c r="C59" s="645">
        <f>[12]Sheet1!N29</f>
        <v>20748466.241979998</v>
      </c>
      <c r="D59" s="645">
        <f>'HDD and CDD data'!P14</f>
        <v>91.500000000000014</v>
      </c>
      <c r="E59" s="645">
        <f>'HDD and CDD data'!P29</f>
        <v>21.6</v>
      </c>
      <c r="F59" s="432">
        <f>[13]Employment!B62</f>
        <v>5544.2</v>
      </c>
      <c r="G59" s="641">
        <f t="shared" si="8"/>
        <v>30</v>
      </c>
      <c r="H59" s="646">
        <f t="shared" si="3"/>
        <v>0.33333333333333331</v>
      </c>
      <c r="I59" s="645">
        <f>'CDM Data'!C36</f>
        <v>116091.34408735466</v>
      </c>
      <c r="J59" s="645">
        <f>'[14]Purchased Power Model'!I119</f>
        <v>303.83999999999997</v>
      </c>
      <c r="K59" s="647">
        <f t="shared" si="10"/>
        <v>28636.86666666665</v>
      </c>
      <c r="L59" s="641"/>
      <c r="M59" s="648"/>
      <c r="N59" s="643"/>
      <c r="O59" s="649">
        <f t="shared" si="9"/>
        <v>20450685.722432666</v>
      </c>
      <c r="P59" s="649">
        <f t="shared" si="4"/>
        <v>-297780.51954733208</v>
      </c>
      <c r="Q59" s="650">
        <f t="shared" si="5"/>
        <v>-1.4351929249827542E-2</v>
      </c>
      <c r="R59" s="652"/>
      <c r="S59" s="652"/>
      <c r="T59" s="652"/>
      <c r="U59" s="652"/>
      <c r="V59" s="652"/>
      <c r="W59" s="652"/>
      <c r="X59" s="652"/>
      <c r="Y59" s="652"/>
      <c r="Z59" s="652"/>
      <c r="AA59" s="643"/>
      <c r="AB59" s="643"/>
    </row>
    <row r="60" spans="1:28" x14ac:dyDescent="0.2">
      <c r="A60" s="293">
        <f t="shared" si="7"/>
        <v>2007</v>
      </c>
      <c r="B60" s="729">
        <v>39356</v>
      </c>
      <c r="C60" s="645">
        <f>[12]Sheet1!N30</f>
        <v>21275717.426599998</v>
      </c>
      <c r="D60" s="645">
        <f>'HDD and CDD data'!P15</f>
        <v>193.4</v>
      </c>
      <c r="E60" s="645">
        <f>'HDD and CDD data'!P30</f>
        <v>8.3000000000000007</v>
      </c>
      <c r="F60" s="432">
        <f>[13]Employment!B63</f>
        <v>5479.1</v>
      </c>
      <c r="G60" s="641">
        <f t="shared" si="8"/>
        <v>31</v>
      </c>
      <c r="H60" s="646">
        <f t="shared" si="3"/>
        <v>1</v>
      </c>
      <c r="I60" s="645">
        <f>'CDM Data'!C37</f>
        <v>116091.34408735466</v>
      </c>
      <c r="J60" s="645">
        <f>'[14]Purchased Power Model'!I120</f>
        <v>351.91199999999998</v>
      </c>
      <c r="K60" s="647">
        <f t="shared" si="10"/>
        <v>28655.483333333315</v>
      </c>
      <c r="L60" s="641"/>
      <c r="M60" s="648"/>
      <c r="N60" s="643"/>
      <c r="O60" s="649">
        <f t="shared" si="9"/>
        <v>21032071.866972551</v>
      </c>
      <c r="P60" s="649">
        <f t="shared" si="4"/>
        <v>-243645.55962744728</v>
      </c>
      <c r="Q60" s="650">
        <f t="shared" si="5"/>
        <v>-1.1451814044250703E-2</v>
      </c>
      <c r="R60" s="652"/>
      <c r="S60" s="652"/>
      <c r="T60" s="652"/>
      <c r="U60" s="652"/>
      <c r="V60" s="652"/>
      <c r="W60" s="652"/>
      <c r="X60" s="652"/>
      <c r="Y60" s="652"/>
      <c r="Z60" s="652"/>
      <c r="AA60" s="643"/>
      <c r="AB60" s="643"/>
    </row>
    <row r="61" spans="1:28" x14ac:dyDescent="0.2">
      <c r="A61" s="293">
        <f t="shared" si="7"/>
        <v>2007</v>
      </c>
      <c r="B61" s="729">
        <v>39387</v>
      </c>
      <c r="C61" s="645">
        <f>[12]Sheet1!N31</f>
        <v>22157185.579820003</v>
      </c>
      <c r="D61" s="645">
        <f>'HDD and CDD data'!P16</f>
        <v>535.70000000000005</v>
      </c>
      <c r="E61" s="645">
        <f>'HDD and CDD data'!P31</f>
        <v>0</v>
      </c>
      <c r="F61" s="432">
        <f>[13]Employment!B64</f>
        <v>5395.6</v>
      </c>
      <c r="G61" s="641">
        <f t="shared" si="8"/>
        <v>30</v>
      </c>
      <c r="H61" s="646">
        <f t="shared" si="3"/>
        <v>1</v>
      </c>
      <c r="I61" s="645">
        <f>'CDM Data'!C38</f>
        <v>116091.34408735466</v>
      </c>
      <c r="J61" s="645">
        <f>'[14]Purchased Power Model'!I121</f>
        <v>352.08</v>
      </c>
      <c r="K61" s="647">
        <f t="shared" si="10"/>
        <v>28674.09999999998</v>
      </c>
      <c r="L61" s="641"/>
      <c r="M61" s="648"/>
      <c r="N61" s="643"/>
      <c r="O61" s="649">
        <f t="shared" si="9"/>
        <v>22233413.149067141</v>
      </c>
      <c r="P61" s="649">
        <f t="shared" si="4"/>
        <v>76227.569247137755</v>
      </c>
      <c r="Q61" s="650">
        <f t="shared" si="5"/>
        <v>3.4403091932651945E-3</v>
      </c>
      <c r="R61" s="652"/>
      <c r="S61" s="652"/>
      <c r="T61" s="652"/>
      <c r="U61" s="652"/>
      <c r="V61" s="652"/>
      <c r="W61" s="652"/>
      <c r="X61" s="652"/>
      <c r="Y61" s="652"/>
      <c r="Z61" s="652"/>
      <c r="AA61" s="643"/>
      <c r="AB61" s="643"/>
    </row>
    <row r="62" spans="1:28" x14ac:dyDescent="0.2">
      <c r="A62" s="293">
        <f t="shared" si="7"/>
        <v>2007</v>
      </c>
      <c r="B62" s="729">
        <v>39417</v>
      </c>
      <c r="C62" s="645">
        <f>[12]Sheet1!N32</f>
        <v>23352495.094760001</v>
      </c>
      <c r="D62" s="645">
        <f>'HDD and CDD data'!P17</f>
        <v>688.8</v>
      </c>
      <c r="E62" s="645">
        <f>'HDD and CDD data'!P32</f>
        <v>0</v>
      </c>
      <c r="F62" s="432">
        <f>[13]Employment!B65</f>
        <v>5374.1</v>
      </c>
      <c r="G62" s="641">
        <f t="shared" si="8"/>
        <v>31</v>
      </c>
      <c r="H62" s="646">
        <f t="shared" si="3"/>
        <v>0.66666666666666663</v>
      </c>
      <c r="I62" s="645">
        <f>'CDM Data'!C39</f>
        <v>116091.34408735466</v>
      </c>
      <c r="J62" s="645">
        <f>'[14]Purchased Power Model'!I122</f>
        <v>304.29599999999999</v>
      </c>
      <c r="K62" s="647">
        <f t="shared" si="10"/>
        <v>28692.716666666645</v>
      </c>
      <c r="L62" s="641"/>
      <c r="M62" s="648"/>
      <c r="N62" s="643"/>
      <c r="O62" s="649">
        <f t="shared" si="9"/>
        <v>23122072.265136141</v>
      </c>
      <c r="P62" s="649">
        <f t="shared" si="4"/>
        <v>-230422.82962385938</v>
      </c>
      <c r="Q62" s="650">
        <f t="shared" si="5"/>
        <v>-9.867161033065083E-3</v>
      </c>
      <c r="R62" s="652"/>
      <c r="S62" s="652"/>
      <c r="T62" s="652"/>
      <c r="U62" s="652"/>
      <c r="V62" s="652"/>
      <c r="W62" s="652"/>
      <c r="X62" s="652"/>
      <c r="Y62" s="652"/>
      <c r="Z62" s="652"/>
      <c r="AA62" s="643"/>
      <c r="AB62" s="643"/>
    </row>
    <row r="63" spans="1:28" x14ac:dyDescent="0.2">
      <c r="A63" s="293">
        <f t="shared" si="7"/>
        <v>2008</v>
      </c>
      <c r="B63" s="729">
        <v>39448</v>
      </c>
      <c r="C63" s="645">
        <f>[12]Sheet1!O21</f>
        <v>24201170.460000001</v>
      </c>
      <c r="D63" s="645">
        <f>'HDD and CDD data'!Q6</f>
        <v>669.5</v>
      </c>
      <c r="E63" s="645">
        <f>'HDD and CDD data'!Q21</f>
        <v>0</v>
      </c>
      <c r="F63" s="432">
        <f>[13]Employment!B66</f>
        <v>5323.9</v>
      </c>
      <c r="G63" s="641">
        <f t="shared" si="8"/>
        <v>31</v>
      </c>
      <c r="H63" s="646">
        <f t="shared" si="3"/>
        <v>0</v>
      </c>
      <c r="I63" s="645">
        <f>'CDM Data'!C40</f>
        <v>143373.20424847238</v>
      </c>
      <c r="J63" s="645">
        <f>'[14]Purchased Power Model'!I123</f>
        <v>352</v>
      </c>
      <c r="K63" s="647">
        <f t="shared" si="10"/>
        <v>28711.33333333331</v>
      </c>
      <c r="L63" s="641"/>
      <c r="M63" s="648"/>
      <c r="N63" s="643"/>
      <c r="O63" s="649">
        <f t="shared" si="9"/>
        <v>23636901.843682952</v>
      </c>
      <c r="P63" s="649">
        <f t="shared" si="4"/>
        <v>-564268.61631704867</v>
      </c>
      <c r="Q63" s="650">
        <f t="shared" si="5"/>
        <v>-2.3315757279164614E-2</v>
      </c>
      <c r="R63" s="652"/>
      <c r="S63" s="652"/>
      <c r="T63" s="652"/>
      <c r="U63" s="652"/>
      <c r="V63" s="652"/>
      <c r="W63" s="652"/>
      <c r="X63" s="652"/>
      <c r="Y63" s="652"/>
      <c r="Z63" s="652"/>
      <c r="AA63" s="643"/>
      <c r="AB63" s="643"/>
    </row>
    <row r="64" spans="1:28" x14ac:dyDescent="0.2">
      <c r="A64" s="293">
        <f t="shared" si="7"/>
        <v>2008</v>
      </c>
      <c r="B64" s="729">
        <v>39479</v>
      </c>
      <c r="C64" s="645">
        <f>[12]Sheet1!O22</f>
        <v>22945626.329999998</v>
      </c>
      <c r="D64" s="645">
        <f>'HDD and CDD data'!Q7</f>
        <v>735.4</v>
      </c>
      <c r="E64" s="645">
        <f>'HDD and CDD data'!Q22</f>
        <v>0</v>
      </c>
      <c r="F64" s="432">
        <f>[13]Employment!B67</f>
        <v>5303.7</v>
      </c>
      <c r="G64" s="641">
        <f t="shared" si="8"/>
        <v>29</v>
      </c>
      <c r="H64" s="646">
        <f t="shared" si="3"/>
        <v>0</v>
      </c>
      <c r="I64" s="645">
        <f>'CDM Data'!C41</f>
        <v>143373.20424847238</v>
      </c>
      <c r="J64" s="645">
        <f>'[14]Purchased Power Model'!I124</f>
        <v>320</v>
      </c>
      <c r="K64" s="647">
        <f t="shared" si="10"/>
        <v>28729.949999999975</v>
      </c>
      <c r="L64" s="641"/>
      <c r="M64" s="648"/>
      <c r="N64" s="643"/>
      <c r="O64" s="649">
        <f t="shared" si="9"/>
        <v>22873734.150999967</v>
      </c>
      <c r="P64" s="649">
        <f t="shared" si="4"/>
        <v>-71892.179000031203</v>
      </c>
      <c r="Q64" s="650">
        <f t="shared" si="5"/>
        <v>-3.1331539163974177E-3</v>
      </c>
      <c r="R64" s="643"/>
      <c r="S64" s="643"/>
      <c r="T64" s="643"/>
      <c r="U64" s="643"/>
      <c r="V64" s="643"/>
      <c r="W64" s="643"/>
      <c r="X64" s="643"/>
      <c r="Y64" s="643"/>
      <c r="Z64" s="643"/>
      <c r="AA64" s="643"/>
      <c r="AB64" s="643"/>
    </row>
    <row r="65" spans="1:28" x14ac:dyDescent="0.2">
      <c r="A65" s="293">
        <f t="shared" si="7"/>
        <v>2008</v>
      </c>
      <c r="B65" s="729">
        <v>39508</v>
      </c>
      <c r="C65" s="645">
        <f>[12]Sheet1!O23</f>
        <v>23461308.109999999</v>
      </c>
      <c r="D65" s="645">
        <f>'HDD and CDD data'!Q8</f>
        <v>689.8</v>
      </c>
      <c r="E65" s="645">
        <f>'HDD and CDD data'!Q23</f>
        <v>0</v>
      </c>
      <c r="F65" s="432">
        <f>[13]Employment!B68</f>
        <v>5278.9</v>
      </c>
      <c r="G65" s="641">
        <f t="shared" si="8"/>
        <v>31</v>
      </c>
      <c r="H65" s="646">
        <f t="shared" si="3"/>
        <v>0.33333333333333331</v>
      </c>
      <c r="I65" s="645">
        <f>'CDM Data'!C42</f>
        <v>143373.20424847238</v>
      </c>
      <c r="J65" s="645">
        <f>'[14]Purchased Power Model'!I125</f>
        <v>304</v>
      </c>
      <c r="K65" s="647">
        <f t="shared" si="10"/>
        <v>28748.56666666664</v>
      </c>
      <c r="L65" s="641"/>
      <c r="M65" s="648"/>
      <c r="N65" s="643"/>
      <c r="O65" s="649">
        <f t="shared" si="9"/>
        <v>22964749.68468833</v>
      </c>
      <c r="P65" s="649">
        <f t="shared" si="4"/>
        <v>-496558.42531166971</v>
      </c>
      <c r="Q65" s="650">
        <f t="shared" si="5"/>
        <v>-2.1164993144607302E-2</v>
      </c>
      <c r="R65" s="643"/>
      <c r="S65" s="643"/>
      <c r="T65" s="643"/>
      <c r="U65" s="643"/>
      <c r="V65" s="643"/>
      <c r="W65" s="643"/>
      <c r="X65" s="643"/>
      <c r="Y65" s="643"/>
      <c r="Z65" s="643"/>
      <c r="AA65" s="643"/>
      <c r="AB65" s="643"/>
    </row>
    <row r="66" spans="1:28" x14ac:dyDescent="0.2">
      <c r="A66" s="293">
        <f t="shared" si="7"/>
        <v>2008</v>
      </c>
      <c r="B66" s="729">
        <v>39539</v>
      </c>
      <c r="C66" s="645">
        <f>[12]Sheet1!O24</f>
        <v>20587846.359999999</v>
      </c>
      <c r="D66" s="645">
        <f>'HDD and CDD data'!Q9</f>
        <v>318.09999999999991</v>
      </c>
      <c r="E66" s="645">
        <f>'HDD and CDD data'!Q24</f>
        <v>0</v>
      </c>
      <c r="F66" s="432">
        <f>[13]Employment!B69</f>
        <v>5310.6</v>
      </c>
      <c r="G66" s="641">
        <f t="shared" si="8"/>
        <v>30</v>
      </c>
      <c r="H66" s="646">
        <f t="shared" si="3"/>
        <v>1</v>
      </c>
      <c r="I66" s="645">
        <f>'CDM Data'!C43</f>
        <v>143373.20424847238</v>
      </c>
      <c r="J66" s="645">
        <f>'[14]Purchased Power Model'!I126</f>
        <v>352</v>
      </c>
      <c r="K66" s="647">
        <f t="shared" si="10"/>
        <v>28767.183333333305</v>
      </c>
      <c r="L66" s="641"/>
      <c r="M66" s="648"/>
      <c r="N66" s="643"/>
      <c r="O66" s="649">
        <f t="shared" si="9"/>
        <v>20610460.30665727</v>
      </c>
      <c r="P66" s="649">
        <f t="shared" si="4"/>
        <v>22613.946657270193</v>
      </c>
      <c r="Q66" s="650">
        <f t="shared" si="5"/>
        <v>1.0984124449853431E-3</v>
      </c>
      <c r="R66" s="643"/>
      <c r="S66" s="643"/>
      <c r="T66" s="643"/>
      <c r="U66" s="643"/>
      <c r="V66" s="643"/>
      <c r="W66" s="643"/>
      <c r="X66" s="643"/>
      <c r="Y66" s="643"/>
      <c r="Z66" s="643"/>
      <c r="AA66" s="643"/>
      <c r="AB66" s="643"/>
    </row>
    <row r="67" spans="1:28" x14ac:dyDescent="0.2">
      <c r="A67" s="293">
        <f t="shared" si="7"/>
        <v>2008</v>
      </c>
      <c r="B67" s="729">
        <v>39569</v>
      </c>
      <c r="C67" s="645">
        <f>[12]Sheet1!O25</f>
        <v>20078340.579999998</v>
      </c>
      <c r="D67" s="645">
        <f>'HDD and CDD data'!Q10</f>
        <v>255.79999999999998</v>
      </c>
      <c r="E67" s="645">
        <f>'HDD and CDD data'!Q25</f>
        <v>0</v>
      </c>
      <c r="F67" s="432">
        <f>[13]Employment!B70</f>
        <v>5370.3</v>
      </c>
      <c r="G67" s="641">
        <f t="shared" si="8"/>
        <v>31</v>
      </c>
      <c r="H67" s="646">
        <f t="shared" si="3"/>
        <v>1</v>
      </c>
      <c r="I67" s="645">
        <f>'CDM Data'!C44</f>
        <v>143373.20424847238</v>
      </c>
      <c r="J67" s="645">
        <f>'[14]Purchased Power Model'!I127</f>
        <v>336</v>
      </c>
      <c r="K67" s="647">
        <f t="shared" si="10"/>
        <v>28785.79999999997</v>
      </c>
      <c r="L67" s="641"/>
      <c r="M67" s="648"/>
      <c r="N67" s="643"/>
      <c r="O67" s="649">
        <f t="shared" ref="O67:O98" si="11">$S$18+D67*$S$19+E67*$S$20+F67*$S$21+G67*$S$22+H67*$S$23+I67*$S$24+J67*$S$25+K67*$S$27</f>
        <v>20594679.630686037</v>
      </c>
      <c r="P67" s="649">
        <f t="shared" si="4"/>
        <v>516339.05068603903</v>
      </c>
      <c r="Q67" s="650">
        <f t="shared" si="5"/>
        <v>2.5716221349505523E-2</v>
      </c>
      <c r="R67" s="664"/>
      <c r="S67" s="664"/>
      <c r="T67" s="664"/>
      <c r="U67" s="664"/>
      <c r="V67" s="664"/>
      <c r="W67" s="664"/>
      <c r="X67" s="643"/>
      <c r="Y67" s="643"/>
      <c r="Z67" s="643"/>
      <c r="AA67" s="643"/>
      <c r="AB67" s="643"/>
    </row>
    <row r="68" spans="1:28" x14ac:dyDescent="0.2">
      <c r="A68" s="293">
        <f t="shared" si="7"/>
        <v>2008</v>
      </c>
      <c r="B68" s="729">
        <v>39600</v>
      </c>
      <c r="C68" s="645">
        <f>[12]Sheet1!O26</f>
        <v>20867742.32</v>
      </c>
      <c r="D68" s="645">
        <f>'HDD and CDD data'!Q11</f>
        <v>45.800000000000011</v>
      </c>
      <c r="E68" s="645">
        <f>'HDD and CDD data'!Q26</f>
        <v>44.8</v>
      </c>
      <c r="F68" s="432">
        <f>[13]Employment!B71</f>
        <v>5458.4</v>
      </c>
      <c r="G68" s="641">
        <f t="shared" si="8"/>
        <v>30</v>
      </c>
      <c r="H68" s="646">
        <f t="shared" ref="H68:H131" si="12">IF(MONTH(B68)&lt;=2,0,IF(MONTH(B68)=3,1/3,IF(MONTH(B68)&lt;=5,1,IF(MONTH(B68)=6,2/3,IF(MONTH(B68)&lt;=8,0,IF(MONTH(B68)=9,1/3,IF(MONTH(B68)&lt;=11,1,2/3)))))))</f>
        <v>0.66666666666666663</v>
      </c>
      <c r="I68" s="645">
        <f>'CDM Data'!C45</f>
        <v>143373.20424847238</v>
      </c>
      <c r="J68" s="645">
        <f>'[14]Purchased Power Model'!I128</f>
        <v>336</v>
      </c>
      <c r="K68" s="647">
        <f t="shared" si="10"/>
        <v>28804.416666666635</v>
      </c>
      <c r="L68" s="641"/>
      <c r="M68" s="648"/>
      <c r="N68" s="643"/>
      <c r="O68" s="649">
        <f t="shared" si="11"/>
        <v>20943628.499515593</v>
      </c>
      <c r="P68" s="649">
        <f t="shared" ref="P68:P122" si="13">O68-C68</f>
        <v>75886.179515592754</v>
      </c>
      <c r="Q68" s="650">
        <f t="shared" ref="Q68:Q122" si="14">P68/C68</f>
        <v>3.6365304090832168E-3</v>
      </c>
      <c r="R68" s="652"/>
      <c r="S68" s="652"/>
      <c r="T68" s="652"/>
      <c r="U68" s="652"/>
      <c r="V68" s="652"/>
      <c r="W68" s="652"/>
      <c r="X68" s="643"/>
      <c r="Y68" s="643"/>
      <c r="Z68" s="643"/>
      <c r="AA68" s="643"/>
      <c r="AB68" s="643"/>
    </row>
    <row r="69" spans="1:28" x14ac:dyDescent="0.2">
      <c r="A69" s="293">
        <f t="shared" si="7"/>
        <v>2008</v>
      </c>
      <c r="B69" s="729">
        <v>39630</v>
      </c>
      <c r="C69" s="645">
        <f>[12]Sheet1!O27</f>
        <v>22238069.41</v>
      </c>
      <c r="D69" s="645">
        <f>'HDD and CDD data'!Q12</f>
        <v>10.099999999999998</v>
      </c>
      <c r="E69" s="645">
        <f>'HDD and CDD data'!Q27</f>
        <v>67.699999999999989</v>
      </c>
      <c r="F69" s="432">
        <f>[13]Employment!B72</f>
        <v>5533.6</v>
      </c>
      <c r="G69" s="641">
        <f t="shared" si="8"/>
        <v>31</v>
      </c>
      <c r="H69" s="646">
        <f t="shared" si="12"/>
        <v>0</v>
      </c>
      <c r="I69" s="645">
        <f>'CDM Data'!C46</f>
        <v>143373.20424847238</v>
      </c>
      <c r="J69" s="645">
        <f>'[14]Purchased Power Model'!I129</f>
        <v>352</v>
      </c>
      <c r="K69" s="647">
        <f t="shared" si="10"/>
        <v>28823.0333333333</v>
      </c>
      <c r="L69" s="641"/>
      <c r="M69" s="648"/>
      <c r="N69" s="643"/>
      <c r="O69" s="649">
        <f t="shared" si="11"/>
        <v>22617189.177779458</v>
      </c>
      <c r="P69" s="649">
        <f t="shared" si="13"/>
        <v>379119.76777945831</v>
      </c>
      <c r="Q69" s="650">
        <f t="shared" si="14"/>
        <v>1.7048232056015439E-2</v>
      </c>
      <c r="R69" s="652"/>
      <c r="S69" s="652"/>
      <c r="T69" s="652"/>
      <c r="U69" s="652"/>
      <c r="V69" s="652"/>
      <c r="W69" s="652"/>
      <c r="X69" s="643"/>
      <c r="Y69" s="643"/>
      <c r="Z69" s="643"/>
      <c r="AA69" s="643"/>
      <c r="AB69" s="643"/>
    </row>
    <row r="70" spans="1:28" x14ac:dyDescent="0.2">
      <c r="A70" s="293">
        <f t="shared" si="7"/>
        <v>2008</v>
      </c>
      <c r="B70" s="729">
        <v>39661</v>
      </c>
      <c r="C70" s="645">
        <f>[12]Sheet1!O28</f>
        <v>21092120.360000003</v>
      </c>
      <c r="D70" s="645">
        <f>'HDD and CDD data'!Q13</f>
        <v>41.5</v>
      </c>
      <c r="E70" s="645">
        <f>'HDD and CDD data'!Q28</f>
        <v>32.799999999999997</v>
      </c>
      <c r="F70" s="432">
        <f>[13]Employment!B73</f>
        <v>5592.4</v>
      </c>
      <c r="G70" s="641">
        <f t="shared" si="8"/>
        <v>31</v>
      </c>
      <c r="H70" s="646">
        <f t="shared" si="12"/>
        <v>0</v>
      </c>
      <c r="I70" s="645">
        <f>'CDM Data'!C47</f>
        <v>143373.20424847238</v>
      </c>
      <c r="J70" s="645">
        <f>'[14]Purchased Power Model'!I130</f>
        <v>320</v>
      </c>
      <c r="K70" s="647">
        <f t="shared" si="10"/>
        <v>28841.649999999965</v>
      </c>
      <c r="L70" s="641"/>
      <c r="M70" s="648"/>
      <c r="N70" s="643"/>
      <c r="O70" s="649">
        <f t="shared" si="11"/>
        <v>21343082.104531679</v>
      </c>
      <c r="P70" s="649">
        <f t="shared" si="13"/>
        <v>250961.74453167617</v>
      </c>
      <c r="Q70" s="650">
        <f t="shared" si="14"/>
        <v>1.1898364898751988E-2</v>
      </c>
      <c r="R70" s="652"/>
      <c r="S70" s="652"/>
      <c r="T70" s="652"/>
      <c r="U70" s="652"/>
      <c r="V70" s="652"/>
      <c r="W70" s="652"/>
      <c r="X70" s="643"/>
      <c r="Y70" s="643"/>
      <c r="Z70" s="643"/>
      <c r="AA70" s="643"/>
      <c r="AB70" s="643"/>
    </row>
    <row r="71" spans="1:28" x14ac:dyDescent="0.2">
      <c r="A71" s="293">
        <f t="shared" ref="A71:A134" si="15">YEAR(B71)</f>
        <v>2008</v>
      </c>
      <c r="B71" s="729">
        <v>39692</v>
      </c>
      <c r="C71" s="645">
        <f>[12]Sheet1!O29</f>
        <v>20273869.189999998</v>
      </c>
      <c r="D71" s="645">
        <f>'HDD and CDD data'!Q14</f>
        <v>100.80000000000001</v>
      </c>
      <c r="E71" s="645">
        <f>'HDD and CDD data'!Q29</f>
        <v>11.1</v>
      </c>
      <c r="F71" s="432">
        <f>[13]Employment!B74</f>
        <v>5556.1</v>
      </c>
      <c r="G71" s="641">
        <f t="shared" ref="G71:G134" si="16">DAY(EOMONTH(B71,0))</f>
        <v>30</v>
      </c>
      <c r="H71" s="646">
        <f t="shared" si="12"/>
        <v>0.33333333333333331</v>
      </c>
      <c r="I71" s="645">
        <f>'CDM Data'!C48</f>
        <v>143373.20424847238</v>
      </c>
      <c r="J71" s="645">
        <f>'[14]Purchased Power Model'!I131</f>
        <v>336</v>
      </c>
      <c r="K71" s="647">
        <f t="shared" si="10"/>
        <v>28860.26666666663</v>
      </c>
      <c r="L71" s="641"/>
      <c r="M71" s="648"/>
      <c r="N71" s="643"/>
      <c r="O71" s="649">
        <f t="shared" si="11"/>
        <v>20463934.917111576</v>
      </c>
      <c r="P71" s="649">
        <f t="shared" si="13"/>
        <v>190065.72711157799</v>
      </c>
      <c r="Q71" s="650">
        <f t="shared" si="14"/>
        <v>9.3749113861959377E-3</v>
      </c>
      <c r="R71" s="643"/>
      <c r="S71" s="643"/>
      <c r="T71" s="643"/>
      <c r="U71" s="643"/>
      <c r="V71" s="643"/>
      <c r="W71" s="643"/>
      <c r="X71" s="643"/>
      <c r="Y71" s="643"/>
      <c r="Z71" s="643"/>
      <c r="AA71" s="643"/>
      <c r="AB71" s="643"/>
    </row>
    <row r="72" spans="1:28" x14ac:dyDescent="0.2">
      <c r="A72" s="293">
        <f t="shared" si="15"/>
        <v>2008</v>
      </c>
      <c r="B72" s="729">
        <v>39722</v>
      </c>
      <c r="C72" s="645">
        <f>[12]Sheet1!O30</f>
        <v>20894586.170000002</v>
      </c>
      <c r="D72" s="645">
        <f>'HDD and CDD data'!Q15</f>
        <v>329.7</v>
      </c>
      <c r="E72" s="645">
        <f>'HDD and CDD data'!Q30</f>
        <v>0</v>
      </c>
      <c r="F72" s="432">
        <f>[13]Employment!B75</f>
        <v>5512.3</v>
      </c>
      <c r="G72" s="641">
        <f t="shared" si="16"/>
        <v>31</v>
      </c>
      <c r="H72" s="646">
        <f t="shared" si="12"/>
        <v>1</v>
      </c>
      <c r="I72" s="645">
        <f>'CDM Data'!C49</f>
        <v>143373.20424847238</v>
      </c>
      <c r="J72" s="645">
        <f>'[14]Purchased Power Model'!I132</f>
        <v>352</v>
      </c>
      <c r="K72" s="647">
        <f t="shared" si="10"/>
        <v>28878.883333333295</v>
      </c>
      <c r="L72" s="641"/>
      <c r="M72" s="648"/>
      <c r="N72" s="643"/>
      <c r="O72" s="649">
        <f t="shared" si="11"/>
        <v>21615388.497216731</v>
      </c>
      <c r="P72" s="649">
        <f t="shared" si="13"/>
        <v>720802.32721672952</v>
      </c>
      <c r="Q72" s="650">
        <f t="shared" si="14"/>
        <v>3.4497085577681455E-2</v>
      </c>
      <c r="R72" s="664"/>
      <c r="S72" s="664"/>
      <c r="T72" s="664"/>
      <c r="U72" s="664"/>
      <c r="V72" s="664"/>
      <c r="W72" s="664"/>
      <c r="X72" s="664"/>
      <c r="Y72" s="664"/>
      <c r="Z72" s="664"/>
      <c r="AA72" s="643"/>
    </row>
    <row r="73" spans="1:28" x14ac:dyDescent="0.2">
      <c r="A73" s="293">
        <f t="shared" si="15"/>
        <v>2008</v>
      </c>
      <c r="B73" s="729">
        <v>39753</v>
      </c>
      <c r="C73" s="645">
        <f>[12]Sheet1!O31</f>
        <v>21604762.829999998</v>
      </c>
      <c r="D73" s="645">
        <f>'HDD and CDD data'!Q16</f>
        <v>500.7000000000001</v>
      </c>
      <c r="E73" s="645">
        <f>'HDD and CDD data'!Q31</f>
        <v>0</v>
      </c>
      <c r="F73" s="432">
        <f>[13]Employment!B76</f>
        <v>5407.2</v>
      </c>
      <c r="G73" s="641">
        <f t="shared" si="16"/>
        <v>30</v>
      </c>
      <c r="H73" s="646">
        <f t="shared" si="12"/>
        <v>1</v>
      </c>
      <c r="I73" s="645">
        <f>'CDM Data'!C50</f>
        <v>143373.20424847238</v>
      </c>
      <c r="J73" s="645">
        <f>'[14]Purchased Power Model'!I133+1*16</f>
        <v>320</v>
      </c>
      <c r="K73" s="647">
        <f t="shared" si="10"/>
        <v>28897.49999999996</v>
      </c>
      <c r="L73" s="641"/>
      <c r="M73" s="648"/>
      <c r="N73" s="643"/>
      <c r="O73" s="649">
        <f t="shared" si="11"/>
        <v>21650098.04550929</v>
      </c>
      <c r="P73" s="649">
        <f t="shared" si="13"/>
        <v>45335.215509291738</v>
      </c>
      <c r="Q73" s="650">
        <f t="shared" si="14"/>
        <v>2.0983898719934128E-3</v>
      </c>
      <c r="R73" s="652"/>
      <c r="S73" s="652"/>
      <c r="T73" s="652"/>
      <c r="U73" s="652"/>
      <c r="V73" s="652"/>
      <c r="W73" s="652"/>
      <c r="X73" s="652"/>
      <c r="Y73" s="652"/>
      <c r="Z73" s="652"/>
      <c r="AA73" s="643"/>
    </row>
    <row r="74" spans="1:28" x14ac:dyDescent="0.2">
      <c r="A74" s="643">
        <f t="shared" si="15"/>
        <v>2008</v>
      </c>
      <c r="B74" s="729">
        <v>39783</v>
      </c>
      <c r="C74" s="665">
        <f>[12]Sheet1!O32</f>
        <v>23398013.309999999</v>
      </c>
      <c r="D74" s="665">
        <f>'HDD and CDD data'!Q17</f>
        <v>682.1</v>
      </c>
      <c r="E74" s="665">
        <f>'HDD and CDD data'!Q32</f>
        <v>0</v>
      </c>
      <c r="F74" s="432">
        <f>[13]Employment!B77</f>
        <v>5368</v>
      </c>
      <c r="G74" s="666">
        <f t="shared" si="16"/>
        <v>31</v>
      </c>
      <c r="H74" s="646">
        <f t="shared" si="12"/>
        <v>0.66666666666666663</v>
      </c>
      <c r="I74" s="647">
        <f>'CDM Data'!C51</f>
        <v>143373.20424847238</v>
      </c>
      <c r="J74" s="647">
        <f>'[14]Purchased Power Model'!I134</f>
        <v>336</v>
      </c>
      <c r="K74" s="647">
        <f t="shared" si="10"/>
        <v>28916.116666666625</v>
      </c>
      <c r="L74" s="649"/>
      <c r="M74" s="648"/>
      <c r="N74" s="643"/>
      <c r="O74" s="649">
        <f t="shared" si="11"/>
        <v>23366460.429378584</v>
      </c>
      <c r="P74" s="649">
        <f t="shared" si="13"/>
        <v>-31552.880621414632</v>
      </c>
      <c r="Q74" s="650">
        <f t="shared" si="14"/>
        <v>-1.3485281935423702E-3</v>
      </c>
      <c r="R74" s="652"/>
      <c r="S74" s="667"/>
      <c r="T74" s="652"/>
      <c r="U74" s="652"/>
      <c r="V74" s="652"/>
      <c r="W74" s="652"/>
      <c r="X74" s="652"/>
      <c r="Y74" s="652"/>
      <c r="Z74" s="652"/>
      <c r="AA74" s="643"/>
    </row>
    <row r="75" spans="1:28" x14ac:dyDescent="0.2">
      <c r="A75" s="293">
        <f t="shared" si="15"/>
        <v>2009</v>
      </c>
      <c r="B75" s="729">
        <v>39814</v>
      </c>
      <c r="C75" s="645">
        <f>[12]Sheet1!P21</f>
        <v>23452689.010000002</v>
      </c>
      <c r="D75" s="668">
        <f>'HDD and CDD data'!R6</f>
        <v>877</v>
      </c>
      <c r="E75" s="668">
        <f>'HDD and CDD data'!R21</f>
        <v>0</v>
      </c>
      <c r="F75" s="432">
        <f>[13]Employment!B78</f>
        <v>5275.1</v>
      </c>
      <c r="G75" s="641">
        <f t="shared" si="16"/>
        <v>31</v>
      </c>
      <c r="H75" s="646">
        <f t="shared" si="12"/>
        <v>0</v>
      </c>
      <c r="I75" s="645">
        <f>'CDM Data'!C52</f>
        <v>223927.26867144043</v>
      </c>
      <c r="J75" s="645">
        <f>'[14]Purchased Power Model'!I135</f>
        <v>336</v>
      </c>
      <c r="K75" s="647">
        <f t="shared" si="10"/>
        <v>28934.73333333329</v>
      </c>
      <c r="L75" s="641"/>
      <c r="M75" s="648"/>
      <c r="N75" s="648"/>
      <c r="O75" s="649">
        <f t="shared" si="11"/>
        <v>24471891.778604113</v>
      </c>
      <c r="P75" s="649">
        <f t="shared" si="13"/>
        <v>1019202.7686041109</v>
      </c>
      <c r="Q75" s="650">
        <f t="shared" si="14"/>
        <v>4.3457821325713762E-2</v>
      </c>
      <c r="R75" s="652"/>
      <c r="S75" s="667"/>
      <c r="T75" s="652"/>
      <c r="U75" s="652"/>
      <c r="V75" s="652"/>
      <c r="W75" s="652"/>
      <c r="X75" s="652"/>
      <c r="Y75" s="652"/>
      <c r="Z75" s="652"/>
      <c r="AA75" s="643"/>
    </row>
    <row r="76" spans="1:28" x14ac:dyDescent="0.2">
      <c r="A76" s="293">
        <f t="shared" si="15"/>
        <v>2009</v>
      </c>
      <c r="B76" s="729">
        <v>39845</v>
      </c>
      <c r="C76" s="645">
        <f>[12]Sheet1!P22</f>
        <v>21460551.43</v>
      </c>
      <c r="D76" s="668">
        <f>'HDD and CDD data'!R7</f>
        <v>689.19999999999993</v>
      </c>
      <c r="E76" s="668">
        <f>'HDD and CDD data'!R22</f>
        <v>0</v>
      </c>
      <c r="F76" s="432">
        <f>[13]Employment!B79</f>
        <v>5201</v>
      </c>
      <c r="G76" s="641">
        <f t="shared" si="16"/>
        <v>28</v>
      </c>
      <c r="H76" s="646">
        <f t="shared" si="12"/>
        <v>0</v>
      </c>
      <c r="I76" s="645">
        <f>'CDM Data'!C53</f>
        <v>223927.26867144043</v>
      </c>
      <c r="J76" s="645">
        <f>'[14]Purchased Power Model'!I136</f>
        <v>304</v>
      </c>
      <c r="K76" s="647">
        <f t="shared" si="10"/>
        <v>28953.349999999955</v>
      </c>
      <c r="L76" s="641"/>
      <c r="M76" s="648"/>
      <c r="N76" s="648"/>
      <c r="O76" s="649">
        <f t="shared" si="11"/>
        <v>21613715.039532837</v>
      </c>
      <c r="P76" s="649">
        <f t="shared" si="13"/>
        <v>153163.60953283682</v>
      </c>
      <c r="Q76" s="650">
        <f t="shared" si="14"/>
        <v>7.1369838763195668E-3</v>
      </c>
      <c r="R76" s="652"/>
      <c r="S76" s="667"/>
      <c r="T76" s="652"/>
      <c r="U76" s="652"/>
      <c r="V76" s="652"/>
      <c r="W76" s="652"/>
      <c r="X76" s="652"/>
      <c r="Y76" s="652"/>
      <c r="Z76" s="652"/>
      <c r="AA76" s="643"/>
    </row>
    <row r="77" spans="1:28" x14ac:dyDescent="0.2">
      <c r="A77" s="293">
        <f t="shared" si="15"/>
        <v>2009</v>
      </c>
      <c r="B77" s="729">
        <v>39873</v>
      </c>
      <c r="C77" s="645">
        <f>[12]Sheet1!P23</f>
        <v>22553827.760000002</v>
      </c>
      <c r="D77" s="668">
        <f>'HDD and CDD data'!R8</f>
        <v>597.60000000000014</v>
      </c>
      <c r="E77" s="668">
        <f>'HDD and CDD data'!R23</f>
        <v>0</v>
      </c>
      <c r="F77" s="432">
        <f>[13]Employment!B80</f>
        <v>5125</v>
      </c>
      <c r="G77" s="641">
        <f t="shared" si="16"/>
        <v>31</v>
      </c>
      <c r="H77" s="646">
        <f t="shared" si="12"/>
        <v>0.33333333333333331</v>
      </c>
      <c r="I77" s="645">
        <f>'CDM Data'!C54</f>
        <v>223927.26867144043</v>
      </c>
      <c r="J77" s="645">
        <f>'[14]Purchased Power Model'!I137</f>
        <v>352</v>
      </c>
      <c r="K77" s="647">
        <f t="shared" si="10"/>
        <v>28971.96666666662</v>
      </c>
      <c r="L77" s="641"/>
      <c r="M77" s="648"/>
      <c r="N77" s="648"/>
      <c r="O77" s="649">
        <f t="shared" si="11"/>
        <v>22365876.305257805</v>
      </c>
      <c r="P77" s="649">
        <f t="shared" si="13"/>
        <v>-187951.45474219695</v>
      </c>
      <c r="Q77" s="650">
        <f t="shared" si="14"/>
        <v>-8.3334614745766301E-3</v>
      </c>
      <c r="R77" s="652"/>
      <c r="S77" s="667"/>
      <c r="T77" s="652"/>
      <c r="U77" s="652"/>
      <c r="V77" s="652"/>
      <c r="W77" s="652"/>
      <c r="X77" s="652"/>
      <c r="Y77" s="652"/>
      <c r="Z77" s="652"/>
      <c r="AA77" s="643"/>
    </row>
    <row r="78" spans="1:28" x14ac:dyDescent="0.2">
      <c r="A78" s="293">
        <f t="shared" si="15"/>
        <v>2009</v>
      </c>
      <c r="B78" s="729">
        <v>39904</v>
      </c>
      <c r="C78" s="645">
        <f>[12]Sheet1!P24</f>
        <v>20157520.260000002</v>
      </c>
      <c r="D78" s="668">
        <f>'HDD and CDD data'!R9</f>
        <v>368.39336726571935</v>
      </c>
      <c r="E78" s="668">
        <f>'HDD and CDD data'!R24</f>
        <v>0.5</v>
      </c>
      <c r="F78" s="432">
        <f>[13]Employment!B81</f>
        <v>5119.3999999999996</v>
      </c>
      <c r="G78" s="641">
        <f t="shared" si="16"/>
        <v>30</v>
      </c>
      <c r="H78" s="646">
        <f t="shared" si="12"/>
        <v>1</v>
      </c>
      <c r="I78" s="645">
        <f>'CDM Data'!C55</f>
        <v>223927.26867144043</v>
      </c>
      <c r="J78" s="645">
        <f>'[14]Purchased Power Model'!I138</f>
        <v>320</v>
      </c>
      <c r="K78" s="647">
        <f t="shared" si="10"/>
        <v>28990.583333333285</v>
      </c>
      <c r="L78" s="641"/>
      <c r="M78" s="648"/>
      <c r="N78" s="648"/>
      <c r="O78" s="649">
        <f t="shared" si="11"/>
        <v>19927678.790879555</v>
      </c>
      <c r="P78" s="649">
        <f t="shared" si="13"/>
        <v>-229841.46912044659</v>
      </c>
      <c r="Q78" s="650">
        <f t="shared" si="14"/>
        <v>-1.1402269036858533E-2</v>
      </c>
      <c r="R78" s="652"/>
      <c r="S78" s="667"/>
      <c r="T78" s="652"/>
      <c r="U78" s="652"/>
      <c r="V78" s="652"/>
      <c r="W78" s="652"/>
      <c r="X78" s="652"/>
      <c r="Y78" s="652"/>
      <c r="Z78" s="652"/>
      <c r="AA78" s="643"/>
    </row>
    <row r="79" spans="1:28" x14ac:dyDescent="0.2">
      <c r="A79" s="293">
        <f t="shared" si="15"/>
        <v>2009</v>
      </c>
      <c r="B79" s="729">
        <v>39934</v>
      </c>
      <c r="C79" s="645">
        <f>[12]Sheet1!P25</f>
        <v>19491431.559999999</v>
      </c>
      <c r="D79" s="668">
        <f>'HDD and CDD data'!R10</f>
        <v>207.29999999999993</v>
      </c>
      <c r="E79" s="668">
        <f>'HDD and CDD data'!R25</f>
        <v>4.3</v>
      </c>
      <c r="F79" s="432">
        <f>[13]Employment!B82</f>
        <v>5157.3</v>
      </c>
      <c r="G79" s="641">
        <f t="shared" si="16"/>
        <v>31</v>
      </c>
      <c r="H79" s="646">
        <f t="shared" si="12"/>
        <v>1</v>
      </c>
      <c r="I79" s="645">
        <f>'CDM Data'!C56</f>
        <v>223927.26867144043</v>
      </c>
      <c r="J79" s="645">
        <f>'[14]Purchased Power Model'!I139</f>
        <v>320</v>
      </c>
      <c r="K79" s="647">
        <f t="shared" si="10"/>
        <v>29009.19999999995</v>
      </c>
      <c r="L79" s="641"/>
      <c r="M79" s="648"/>
      <c r="N79" s="648"/>
      <c r="O79" s="649">
        <f t="shared" si="11"/>
        <v>19557370.874944318</v>
      </c>
      <c r="P79" s="649">
        <f t="shared" si="13"/>
        <v>65939.314944319427</v>
      </c>
      <c r="Q79" s="650">
        <f t="shared" si="14"/>
        <v>3.3829898405019682E-3</v>
      </c>
      <c r="R79" s="652"/>
      <c r="S79" s="667"/>
      <c r="T79" s="652"/>
      <c r="U79" s="652"/>
      <c r="V79" s="652"/>
      <c r="W79" s="652"/>
      <c r="X79" s="652"/>
      <c r="Y79" s="652"/>
      <c r="Z79" s="652"/>
      <c r="AA79" s="643"/>
    </row>
    <row r="80" spans="1:28" x14ac:dyDescent="0.2">
      <c r="A80" s="293">
        <f t="shared" si="15"/>
        <v>2009</v>
      </c>
      <c r="B80" s="730">
        <v>39965</v>
      </c>
      <c r="C80" s="645">
        <f>[12]Sheet1!P26</f>
        <v>19951284.190000001</v>
      </c>
      <c r="D80" s="668">
        <f>'HDD and CDD data'!R11</f>
        <v>83.200000000000017</v>
      </c>
      <c r="E80" s="668">
        <f>'HDD and CDD data'!R26</f>
        <v>16.899999999999999</v>
      </c>
      <c r="F80" s="432">
        <f>[13]Employment!B83</f>
        <v>5215.6000000000004</v>
      </c>
      <c r="G80" s="641">
        <f t="shared" si="16"/>
        <v>30</v>
      </c>
      <c r="H80" s="646">
        <f t="shared" si="12"/>
        <v>0.66666666666666663</v>
      </c>
      <c r="I80" s="645">
        <f>'CDM Data'!C57</f>
        <v>223927.26867144043</v>
      </c>
      <c r="J80" s="645">
        <f>'[14]Purchased Power Model'!I140</f>
        <v>352</v>
      </c>
      <c r="K80" s="647">
        <f t="shared" si="10"/>
        <v>29027.816666666615</v>
      </c>
      <c r="L80" s="641"/>
      <c r="M80" s="648"/>
      <c r="N80" s="648"/>
      <c r="O80" s="649">
        <f t="shared" si="11"/>
        <v>19528808.522430118</v>
      </c>
      <c r="P80" s="649">
        <f t="shared" si="13"/>
        <v>-422475.66756988317</v>
      </c>
      <c r="Q80" s="650">
        <f t="shared" si="14"/>
        <v>-2.1175362124390806E-2</v>
      </c>
      <c r="R80" s="652"/>
      <c r="S80" s="667"/>
      <c r="T80" s="652"/>
      <c r="U80" s="652"/>
      <c r="V80" s="652"/>
      <c r="W80" s="652"/>
      <c r="X80" s="652"/>
      <c r="Y80" s="652"/>
      <c r="Z80" s="652"/>
      <c r="AA80" s="643"/>
    </row>
    <row r="81" spans="1:27" x14ac:dyDescent="0.2">
      <c r="A81" s="293">
        <f t="shared" si="15"/>
        <v>2009</v>
      </c>
      <c r="B81" s="729">
        <v>39995</v>
      </c>
      <c r="C81" s="645">
        <f>[12]Sheet1!P27</f>
        <v>20295543.91</v>
      </c>
      <c r="D81" s="668">
        <f>'HDD and CDD data'!R12</f>
        <v>43.500000000000007</v>
      </c>
      <c r="E81" s="668">
        <f>'HDD and CDD data'!R27</f>
        <v>11.6</v>
      </c>
      <c r="F81" s="432">
        <f>[13]Employment!B84</f>
        <v>5294</v>
      </c>
      <c r="G81" s="641">
        <f t="shared" si="16"/>
        <v>31</v>
      </c>
      <c r="H81" s="646">
        <f t="shared" si="12"/>
        <v>0</v>
      </c>
      <c r="I81" s="645">
        <f>'CDM Data'!C58</f>
        <v>223927.26867144043</v>
      </c>
      <c r="J81" s="645">
        <f>'[14]Purchased Power Model'!I141</f>
        <v>352</v>
      </c>
      <c r="K81" s="647">
        <f t="shared" si="10"/>
        <v>29046.43333333328</v>
      </c>
      <c r="L81" s="641"/>
      <c r="M81" s="648"/>
      <c r="N81" s="648"/>
      <c r="O81" s="649">
        <f t="shared" si="11"/>
        <v>19978687.683652751</v>
      </c>
      <c r="P81" s="649">
        <f t="shared" si="13"/>
        <v>-316856.226347249</v>
      </c>
      <c r="Q81" s="650">
        <f t="shared" si="14"/>
        <v>-1.5612108143163777E-2</v>
      </c>
      <c r="R81" s="652"/>
      <c r="S81" s="667"/>
      <c r="T81" s="652"/>
      <c r="U81" s="652"/>
      <c r="V81" s="652"/>
      <c r="W81" s="652"/>
      <c r="X81" s="652"/>
      <c r="Y81" s="652"/>
      <c r="Z81" s="652"/>
      <c r="AA81" s="643"/>
    </row>
    <row r="82" spans="1:27" x14ac:dyDescent="0.2">
      <c r="A82" s="293">
        <f t="shared" si="15"/>
        <v>2009</v>
      </c>
      <c r="B82" s="729">
        <v>40026</v>
      </c>
      <c r="C82" s="645">
        <f>[12]Sheet1!P28</f>
        <v>21708834.199999999</v>
      </c>
      <c r="D82" s="668">
        <f>'HDD and CDD data'!R13</f>
        <v>21.2</v>
      </c>
      <c r="E82" s="668">
        <f>'HDD and CDD data'!R28</f>
        <v>54.29999999999999</v>
      </c>
      <c r="F82" s="432">
        <f>[13]Employment!B85</f>
        <v>5345.8</v>
      </c>
      <c r="G82" s="641">
        <f t="shared" si="16"/>
        <v>31</v>
      </c>
      <c r="H82" s="646">
        <f t="shared" si="12"/>
        <v>0</v>
      </c>
      <c r="I82" s="645">
        <f>'CDM Data'!C59</f>
        <v>223927.26867144043</v>
      </c>
      <c r="J82" s="645">
        <f>'[14]Purchased Power Model'!I142</f>
        <v>320</v>
      </c>
      <c r="K82" s="647">
        <f t="shared" si="10"/>
        <v>29065.049999999945</v>
      </c>
      <c r="L82" s="641"/>
      <c r="M82" s="648"/>
      <c r="N82" s="648"/>
      <c r="O82" s="649">
        <f t="shared" si="11"/>
        <v>21193187.29266353</v>
      </c>
      <c r="P82" s="649">
        <f t="shared" si="13"/>
        <v>-515646.90733646974</v>
      </c>
      <c r="Q82" s="650">
        <f t="shared" si="14"/>
        <v>-2.3752860360252315E-2</v>
      </c>
      <c r="R82" s="643"/>
      <c r="S82" s="667"/>
      <c r="T82" s="643"/>
      <c r="U82" s="643"/>
      <c r="V82" s="643"/>
      <c r="W82" s="643"/>
      <c r="X82" s="643"/>
      <c r="Y82" s="643"/>
      <c r="Z82" s="643"/>
      <c r="AA82" s="643"/>
    </row>
    <row r="83" spans="1:27" x14ac:dyDescent="0.2">
      <c r="A83" s="293">
        <f t="shared" si="15"/>
        <v>2009</v>
      </c>
      <c r="B83" s="729">
        <v>40057</v>
      </c>
      <c r="C83" s="645">
        <f>[12]Sheet1!P29</f>
        <v>20009400.41</v>
      </c>
      <c r="D83" s="668">
        <f>'HDD and CDD data'!R14</f>
        <v>118.60000000000001</v>
      </c>
      <c r="E83" s="668">
        <f>'HDD and CDD data'!R29</f>
        <v>4.4000000000000004</v>
      </c>
      <c r="F83" s="432">
        <f>[13]Employment!B86</f>
        <v>5347.8</v>
      </c>
      <c r="G83" s="641">
        <f t="shared" si="16"/>
        <v>30</v>
      </c>
      <c r="H83" s="646">
        <f t="shared" si="12"/>
        <v>0.33333333333333331</v>
      </c>
      <c r="I83" s="645">
        <f>'CDM Data'!C60</f>
        <v>223927.26867144043</v>
      </c>
      <c r="J83" s="645">
        <f>'[14]Purchased Power Model'!I143</f>
        <v>336</v>
      </c>
      <c r="K83" s="647">
        <f t="shared" si="10"/>
        <v>29083.66666666661</v>
      </c>
      <c r="L83" s="641"/>
      <c r="M83" s="648"/>
      <c r="N83" s="648"/>
      <c r="O83" s="649">
        <f t="shared" si="11"/>
        <v>19622246.200515639</v>
      </c>
      <c r="P83" s="649">
        <f t="shared" si="13"/>
        <v>-387154.20948436111</v>
      </c>
      <c r="Q83" s="650">
        <f t="shared" si="14"/>
        <v>-1.9348616227944287E-2</v>
      </c>
      <c r="R83" s="643"/>
      <c r="S83" s="667"/>
      <c r="T83" s="643"/>
      <c r="U83" s="643"/>
      <c r="V83" s="643"/>
      <c r="W83" s="643"/>
      <c r="X83" s="643"/>
      <c r="Y83" s="643"/>
      <c r="Z83" s="643"/>
      <c r="AA83" s="643"/>
    </row>
    <row r="84" spans="1:27" x14ac:dyDescent="0.2">
      <c r="A84" s="293">
        <f t="shared" si="15"/>
        <v>2009</v>
      </c>
      <c r="B84" s="729">
        <v>40087</v>
      </c>
      <c r="C84" s="645">
        <f>[12]Sheet1!P30</f>
        <v>21154042.530000001</v>
      </c>
      <c r="D84" s="668">
        <f>'HDD and CDD data'!R15</f>
        <v>355.59999999999997</v>
      </c>
      <c r="E84" s="668">
        <f>'HDD and CDD data'!R30</f>
        <v>0</v>
      </c>
      <c r="F84" s="432">
        <f>[13]Employment!B87</f>
        <v>5314.9</v>
      </c>
      <c r="G84" s="641">
        <f t="shared" si="16"/>
        <v>31</v>
      </c>
      <c r="H84" s="646">
        <f t="shared" si="12"/>
        <v>1</v>
      </c>
      <c r="I84" s="645">
        <f>'CDM Data'!C61</f>
        <v>223927.26867144043</v>
      </c>
      <c r="J84" s="645">
        <f>'[14]Purchased Power Model'!I144</f>
        <v>336</v>
      </c>
      <c r="K84" s="647">
        <f t="shared" si="10"/>
        <v>29102.283333333275</v>
      </c>
      <c r="L84" s="641"/>
      <c r="M84" s="648"/>
      <c r="N84" s="648"/>
      <c r="O84" s="649">
        <f t="shared" si="11"/>
        <v>20922717.275080584</v>
      </c>
      <c r="P84" s="649">
        <f t="shared" si="13"/>
        <v>-231325.2549194172</v>
      </c>
      <c r="Q84" s="650">
        <f t="shared" si="14"/>
        <v>-1.0935274172364878E-2</v>
      </c>
      <c r="R84" s="643"/>
      <c r="S84" s="667"/>
      <c r="T84" s="643"/>
      <c r="U84" s="643"/>
      <c r="V84" s="643"/>
      <c r="W84" s="643"/>
      <c r="X84" s="643"/>
      <c r="Y84" s="643"/>
      <c r="Z84" s="643"/>
      <c r="AA84" s="643"/>
    </row>
    <row r="85" spans="1:27" x14ac:dyDescent="0.2">
      <c r="A85" s="293">
        <f t="shared" si="15"/>
        <v>2009</v>
      </c>
      <c r="B85" s="729">
        <v>40118</v>
      </c>
      <c r="C85" s="645">
        <f>[12]Sheet1!P31</f>
        <v>21112161.629999999</v>
      </c>
      <c r="D85" s="668">
        <f>'HDD and CDD data'!R16</f>
        <v>400.4</v>
      </c>
      <c r="E85" s="668">
        <f>'HDD and CDD data'!R31</f>
        <v>0</v>
      </c>
      <c r="F85" s="432">
        <f>[13]Employment!B88</f>
        <v>5267.8</v>
      </c>
      <c r="G85" s="641">
        <f t="shared" si="16"/>
        <v>30</v>
      </c>
      <c r="H85" s="646">
        <f t="shared" si="12"/>
        <v>1</v>
      </c>
      <c r="I85" s="645">
        <f>'CDM Data'!C62</f>
        <v>223927.26867144043</v>
      </c>
      <c r="J85" s="645">
        <f>'[14]Purchased Power Model'!I145</f>
        <v>320</v>
      </c>
      <c r="K85" s="647">
        <f t="shared" si="10"/>
        <v>29120.89999999994</v>
      </c>
      <c r="L85" s="641"/>
      <c r="M85" s="648"/>
      <c r="N85" s="648"/>
      <c r="O85" s="649">
        <f t="shared" si="11"/>
        <v>20513039.980740454</v>
      </c>
      <c r="P85" s="649">
        <f t="shared" si="13"/>
        <v>-599121.64925954491</v>
      </c>
      <c r="Q85" s="650">
        <f t="shared" si="14"/>
        <v>-2.8378034412554133E-2</v>
      </c>
      <c r="R85" s="643"/>
      <c r="S85" s="667"/>
      <c r="T85" s="643"/>
      <c r="U85" s="643"/>
      <c r="V85" s="643"/>
      <c r="W85" s="643"/>
      <c r="X85" s="643"/>
      <c r="Y85" s="643"/>
      <c r="Z85" s="643"/>
      <c r="AA85" s="643"/>
    </row>
    <row r="86" spans="1:27" x14ac:dyDescent="0.2">
      <c r="A86" s="293">
        <f t="shared" si="15"/>
        <v>2009</v>
      </c>
      <c r="B86" s="729">
        <v>40148</v>
      </c>
      <c r="C86" s="645">
        <f>[12]Sheet1!P32</f>
        <v>23141665.649999999</v>
      </c>
      <c r="D86" s="668">
        <f>'HDD and CDD data'!R17</f>
        <v>690.2</v>
      </c>
      <c r="E86" s="668">
        <f>'HDD and CDD data'!R32</f>
        <v>0</v>
      </c>
      <c r="F86" s="432">
        <f>[13]Employment!B89</f>
        <v>5254.5</v>
      </c>
      <c r="G86" s="641">
        <f t="shared" si="16"/>
        <v>31</v>
      </c>
      <c r="H86" s="646">
        <f t="shared" si="12"/>
        <v>0.66666666666666663</v>
      </c>
      <c r="I86" s="645">
        <f>'CDM Data'!C63</f>
        <v>223927.26867144043</v>
      </c>
      <c r="J86" s="645">
        <f>'[14]Purchased Power Model'!I146</f>
        <v>352</v>
      </c>
      <c r="K86" s="647">
        <f t="shared" si="10"/>
        <v>29139.516666666605</v>
      </c>
      <c r="L86" s="641"/>
      <c r="M86" s="648"/>
      <c r="N86" s="648"/>
      <c r="O86" s="649">
        <f t="shared" si="11"/>
        <v>23145393.717687316</v>
      </c>
      <c r="P86" s="649">
        <f t="shared" si="13"/>
        <v>3728.067687317729</v>
      </c>
      <c r="Q86" s="650">
        <f t="shared" si="14"/>
        <v>1.6109763850631595E-4</v>
      </c>
      <c r="R86" s="430"/>
      <c r="S86" s="667"/>
    </row>
    <row r="87" spans="1:27" x14ac:dyDescent="0.2">
      <c r="A87" s="293">
        <f t="shared" si="15"/>
        <v>2010</v>
      </c>
      <c r="B87" s="729">
        <v>40179</v>
      </c>
      <c r="C87" s="645">
        <f>[12]Sheet1!Q21</f>
        <v>23978345.219999999</v>
      </c>
      <c r="D87" s="669">
        <f>'HDD and CDD data'!S6</f>
        <v>787.69999999999993</v>
      </c>
      <c r="E87" s="669">
        <f>'HDD and CDD data'!S21</f>
        <v>0</v>
      </c>
      <c r="F87" s="432">
        <f>[13]Employment!B90</f>
        <v>5212.8</v>
      </c>
      <c r="G87" s="641">
        <f t="shared" si="16"/>
        <v>31</v>
      </c>
      <c r="H87" s="646">
        <f t="shared" si="12"/>
        <v>0</v>
      </c>
      <c r="I87" s="645">
        <f>'CDM Data'!C64</f>
        <v>280666.59045065386</v>
      </c>
      <c r="J87" s="645">
        <f>'[14]Purchased Power Model'!I147</f>
        <v>320</v>
      </c>
      <c r="K87" s="647">
        <f t="shared" si="10"/>
        <v>29158.13333333327</v>
      </c>
      <c r="L87" s="641"/>
      <c r="M87" s="648"/>
      <c r="N87" s="648"/>
      <c r="O87" s="649">
        <f t="shared" si="11"/>
        <v>23478096.133633576</v>
      </c>
      <c r="P87" s="649">
        <f t="shared" si="13"/>
        <v>-500249.08636642247</v>
      </c>
      <c r="Q87" s="650">
        <f t="shared" si="14"/>
        <v>-2.0862535832921938E-2</v>
      </c>
      <c r="R87" s="430"/>
      <c r="S87" s="667"/>
    </row>
    <row r="88" spans="1:27" x14ac:dyDescent="0.2">
      <c r="A88" s="293">
        <f t="shared" si="15"/>
        <v>2010</v>
      </c>
      <c r="B88" s="729">
        <v>40210</v>
      </c>
      <c r="C88" s="645">
        <f>[12]Sheet1!Q22</f>
        <v>21638418.890000001</v>
      </c>
      <c r="D88" s="669">
        <f>'HDD and CDD data'!S7</f>
        <v>665.69999999999993</v>
      </c>
      <c r="E88" s="669">
        <f>'HDD and CDD data'!S22</f>
        <v>0</v>
      </c>
      <c r="F88" s="432">
        <f>[13]Employment!B91</f>
        <v>5186</v>
      </c>
      <c r="G88" s="641">
        <f t="shared" si="16"/>
        <v>28</v>
      </c>
      <c r="H88" s="646">
        <f t="shared" si="12"/>
        <v>0</v>
      </c>
      <c r="I88" s="645">
        <f>'CDM Data'!C65</f>
        <v>280666.59045065386</v>
      </c>
      <c r="J88" s="645">
        <f>'[14]Purchased Power Model'!I148</f>
        <v>304</v>
      </c>
      <c r="K88" s="647">
        <f t="shared" si="10"/>
        <v>29176.749999999935</v>
      </c>
      <c r="L88" s="641"/>
      <c r="M88" s="648"/>
      <c r="N88" s="648"/>
      <c r="O88" s="649">
        <f t="shared" si="11"/>
        <v>21331493.540538479</v>
      </c>
      <c r="P88" s="649">
        <f t="shared" si="13"/>
        <v>-306925.34946152195</v>
      </c>
      <c r="Q88" s="650">
        <f t="shared" si="14"/>
        <v>-1.4184278020579625E-2</v>
      </c>
      <c r="R88" s="430"/>
      <c r="S88" s="667"/>
    </row>
    <row r="89" spans="1:27" x14ac:dyDescent="0.2">
      <c r="A89" s="293">
        <f t="shared" si="15"/>
        <v>2010</v>
      </c>
      <c r="B89" s="729">
        <v>40238</v>
      </c>
      <c r="C89" s="645">
        <f>[12]Sheet1!Q23</f>
        <v>22074201.440000001</v>
      </c>
      <c r="D89" s="669">
        <f>'HDD and CDD data'!S8</f>
        <v>505.19999999999993</v>
      </c>
      <c r="E89" s="669">
        <f>'HDD and CDD data'!S23</f>
        <v>0</v>
      </c>
      <c r="F89" s="432">
        <f>[13]Employment!B92</f>
        <v>5159.6000000000004</v>
      </c>
      <c r="G89" s="641">
        <f t="shared" si="16"/>
        <v>31</v>
      </c>
      <c r="H89" s="646">
        <f t="shared" si="12"/>
        <v>0.33333333333333331</v>
      </c>
      <c r="I89" s="645">
        <f>'CDM Data'!C66</f>
        <v>280666.59045065386</v>
      </c>
      <c r="J89" s="645">
        <f>'[14]Purchased Power Model'!I149</f>
        <v>368</v>
      </c>
      <c r="K89" s="647">
        <f t="shared" si="10"/>
        <v>29195.366666666599</v>
      </c>
      <c r="L89" s="641"/>
      <c r="M89" s="648"/>
      <c r="N89" s="648"/>
      <c r="O89" s="649">
        <f t="shared" si="11"/>
        <v>21970002.662713517</v>
      </c>
      <c r="P89" s="649">
        <f t="shared" si="13"/>
        <v>-104198.77728648484</v>
      </c>
      <c r="Q89" s="650">
        <f t="shared" si="14"/>
        <v>-4.7203871709564698E-3</v>
      </c>
      <c r="R89" s="430"/>
      <c r="S89" s="667"/>
    </row>
    <row r="90" spans="1:27" x14ac:dyDescent="0.2">
      <c r="A90" s="293">
        <f t="shared" si="15"/>
        <v>2010</v>
      </c>
      <c r="B90" s="729">
        <v>40269</v>
      </c>
      <c r="C90" s="645">
        <f>[12]Sheet1!Q24</f>
        <v>19547908</v>
      </c>
      <c r="D90" s="669">
        <f>'HDD and CDD data'!S9</f>
        <v>265.09999999999997</v>
      </c>
      <c r="E90" s="669">
        <f>'HDD and CDD data'!S24</f>
        <v>0</v>
      </c>
      <c r="F90" s="432">
        <f>[13]Employment!B93</f>
        <v>5180.2</v>
      </c>
      <c r="G90" s="641">
        <f t="shared" si="16"/>
        <v>30</v>
      </c>
      <c r="H90" s="646">
        <f t="shared" si="12"/>
        <v>1</v>
      </c>
      <c r="I90" s="645">
        <f>'CDM Data'!C67</f>
        <v>280666.59045065386</v>
      </c>
      <c r="J90" s="645">
        <f>'[14]Purchased Power Model'!I150</f>
        <v>320</v>
      </c>
      <c r="K90" s="647">
        <f t="shared" si="10"/>
        <v>29213.983333333264</v>
      </c>
      <c r="L90" s="641"/>
      <c r="M90" s="648"/>
      <c r="N90" s="648"/>
      <c r="O90" s="649">
        <f t="shared" si="11"/>
        <v>19342004.080845576</v>
      </c>
      <c r="P90" s="649">
        <f t="shared" si="13"/>
        <v>-205903.91915442422</v>
      </c>
      <c r="Q90" s="650">
        <f t="shared" si="14"/>
        <v>-1.0533296921308624E-2</v>
      </c>
      <c r="R90" s="430"/>
      <c r="S90" s="667"/>
    </row>
    <row r="91" spans="1:27" x14ac:dyDescent="0.2">
      <c r="A91" s="293">
        <f t="shared" si="15"/>
        <v>2010</v>
      </c>
      <c r="B91" s="729">
        <v>40299</v>
      </c>
      <c r="C91" s="645">
        <f>[12]Sheet1!Q25</f>
        <v>21320246.649999999</v>
      </c>
      <c r="D91" s="669">
        <f>'HDD and CDD data'!S10</f>
        <v>141.49999999999997</v>
      </c>
      <c r="E91" s="669">
        <f>'HDD and CDD data'!S25</f>
        <v>16.100000000000001</v>
      </c>
      <c r="F91" s="432">
        <f>[13]Employment!B94</f>
        <v>5249.5</v>
      </c>
      <c r="G91" s="641">
        <f t="shared" si="16"/>
        <v>31</v>
      </c>
      <c r="H91" s="646">
        <f t="shared" si="12"/>
        <v>1</v>
      </c>
      <c r="I91" s="645">
        <f>'CDM Data'!C68</f>
        <v>280666.59045065386</v>
      </c>
      <c r="J91" s="645">
        <f>'[14]Purchased Power Model'!I151</f>
        <v>320</v>
      </c>
      <c r="K91" s="647">
        <f t="shared" si="10"/>
        <v>29232.599999999929</v>
      </c>
      <c r="L91" s="641"/>
      <c r="M91" s="648"/>
      <c r="N91" s="648"/>
      <c r="O91" s="649">
        <f t="shared" si="11"/>
        <v>19739105.825673707</v>
      </c>
      <c r="P91" s="649">
        <f t="shared" si="13"/>
        <v>-1581140.8243262917</v>
      </c>
      <c r="Q91" s="650">
        <f t="shared" si="14"/>
        <v>-7.4161469624756518E-2</v>
      </c>
      <c r="R91" s="430"/>
      <c r="S91" s="667"/>
    </row>
    <row r="92" spans="1:27" x14ac:dyDescent="0.2">
      <c r="A92" s="293">
        <f t="shared" si="15"/>
        <v>2010</v>
      </c>
      <c r="B92" s="729">
        <v>40330</v>
      </c>
      <c r="C92" s="645">
        <f>[12]Sheet1!Q26</f>
        <v>21332995.890000001</v>
      </c>
      <c r="D92" s="669">
        <f>'HDD and CDD data'!S11</f>
        <v>46.900000000000006</v>
      </c>
      <c r="E92" s="669">
        <f>'HDD and CDD data'!S26</f>
        <v>27.1</v>
      </c>
      <c r="F92" s="432">
        <f>[13]Employment!B95</f>
        <v>5359.8</v>
      </c>
      <c r="G92" s="641">
        <f t="shared" si="16"/>
        <v>30</v>
      </c>
      <c r="H92" s="646">
        <f t="shared" si="12"/>
        <v>0.66666666666666663</v>
      </c>
      <c r="I92" s="645">
        <f>'CDM Data'!C69</f>
        <v>280666.59045065386</v>
      </c>
      <c r="J92" s="645">
        <f>'[14]Purchased Power Model'!I152</f>
        <v>352</v>
      </c>
      <c r="K92" s="647">
        <f t="shared" si="10"/>
        <v>29251.216666666594</v>
      </c>
      <c r="L92" s="641"/>
      <c r="M92" s="648"/>
      <c r="N92" s="648"/>
      <c r="O92" s="649">
        <f t="shared" si="11"/>
        <v>19976399.486903835</v>
      </c>
      <c r="P92" s="649">
        <f t="shared" si="13"/>
        <v>-1356596.4030961655</v>
      </c>
      <c r="Q92" s="650">
        <f t="shared" si="14"/>
        <v>-6.3591462263023271E-2</v>
      </c>
      <c r="R92" s="430"/>
      <c r="S92" s="667"/>
    </row>
    <row r="93" spans="1:27" x14ac:dyDescent="0.2">
      <c r="A93" s="293">
        <f t="shared" si="15"/>
        <v>2010</v>
      </c>
      <c r="B93" s="729">
        <v>40360</v>
      </c>
      <c r="C93" s="645">
        <f>[12]Sheet1!Q27</f>
        <v>23156331.940000001</v>
      </c>
      <c r="D93" s="669">
        <f>'HDD and CDD data'!S12</f>
        <v>7.6000000000000005</v>
      </c>
      <c r="E93" s="669">
        <f>'HDD and CDD data'!S27</f>
        <v>105.39999999999998</v>
      </c>
      <c r="F93" s="432">
        <f>[13]Employment!B96</f>
        <v>5456</v>
      </c>
      <c r="G93" s="641">
        <f t="shared" si="16"/>
        <v>31</v>
      </c>
      <c r="H93" s="646">
        <f t="shared" si="12"/>
        <v>0</v>
      </c>
      <c r="I93" s="645">
        <f>'CDM Data'!C70</f>
        <v>280666.59045065386</v>
      </c>
      <c r="J93" s="645">
        <f>'[14]Purchased Power Model'!I153</f>
        <v>336</v>
      </c>
      <c r="K93" s="647">
        <f t="shared" si="10"/>
        <v>29269.833333333259</v>
      </c>
      <c r="L93" s="641"/>
      <c r="M93" s="648"/>
      <c r="N93" s="648"/>
      <c r="O93" s="649">
        <f t="shared" si="11"/>
        <v>23360289.972534586</v>
      </c>
      <c r="P93" s="649">
        <f t="shared" si="13"/>
        <v>203958.0325345844</v>
      </c>
      <c r="Q93" s="650">
        <f t="shared" si="14"/>
        <v>8.8078730717393739E-3</v>
      </c>
      <c r="R93" s="430"/>
      <c r="S93" s="667"/>
    </row>
    <row r="94" spans="1:27" x14ac:dyDescent="0.2">
      <c r="A94" s="293">
        <f t="shared" si="15"/>
        <v>2010</v>
      </c>
      <c r="B94" s="729">
        <v>40391</v>
      </c>
      <c r="C94" s="645">
        <f>[12]Sheet1!Q28</f>
        <v>22636365.73</v>
      </c>
      <c r="D94" s="669">
        <f>'HDD and CDD data'!S13</f>
        <v>13.9</v>
      </c>
      <c r="E94" s="669">
        <f>'HDD and CDD data'!S28</f>
        <v>80.399999999999991</v>
      </c>
      <c r="F94" s="432">
        <f>[13]Employment!B97</f>
        <v>5503.9</v>
      </c>
      <c r="G94" s="641">
        <f t="shared" si="16"/>
        <v>31</v>
      </c>
      <c r="H94" s="646">
        <f t="shared" si="12"/>
        <v>0</v>
      </c>
      <c r="I94" s="645">
        <f>'CDM Data'!C71</f>
        <v>280666.59045065386</v>
      </c>
      <c r="J94" s="645">
        <f>'[14]Purchased Power Model'!I154</f>
        <v>336</v>
      </c>
      <c r="K94" s="647">
        <f t="shared" si="10"/>
        <v>29288.449999999924</v>
      </c>
      <c r="L94" s="641"/>
      <c r="M94" s="648"/>
      <c r="N94" s="648"/>
      <c r="O94" s="649">
        <f t="shared" si="11"/>
        <v>22615542.470585734</v>
      </c>
      <c r="P94" s="649">
        <f t="shared" si="13"/>
        <v>-20823.259414266795</v>
      </c>
      <c r="Q94" s="650">
        <f t="shared" si="14"/>
        <v>-9.1990294125128514E-4</v>
      </c>
      <c r="R94" s="430"/>
      <c r="S94" s="667"/>
    </row>
    <row r="95" spans="1:27" x14ac:dyDescent="0.2">
      <c r="A95" s="293">
        <f t="shared" si="15"/>
        <v>2010</v>
      </c>
      <c r="B95" s="729">
        <v>40422</v>
      </c>
      <c r="C95" s="645">
        <f>[12]Sheet1!Q29</f>
        <v>20118961.049999997</v>
      </c>
      <c r="D95" s="669">
        <f>'HDD and CDD data'!S14</f>
        <v>128.60000000000002</v>
      </c>
      <c r="E95" s="669">
        <f>'HDD and CDD data'!S29</f>
        <v>20.100000000000001</v>
      </c>
      <c r="F95" s="432">
        <f>[13]Employment!B98</f>
        <v>5453.3</v>
      </c>
      <c r="G95" s="641">
        <f t="shared" si="16"/>
        <v>30</v>
      </c>
      <c r="H95" s="646">
        <f t="shared" si="12"/>
        <v>0.33333333333333331</v>
      </c>
      <c r="I95" s="645">
        <f>'CDM Data'!C72</f>
        <v>280666.59045065386</v>
      </c>
      <c r="J95" s="645">
        <f>'[14]Purchased Power Model'!I155</f>
        <v>336</v>
      </c>
      <c r="K95" s="647">
        <f t="shared" si="10"/>
        <v>29307.066666666589</v>
      </c>
      <c r="L95" s="641"/>
      <c r="M95" s="648"/>
      <c r="N95" s="648"/>
      <c r="O95" s="649">
        <f t="shared" si="11"/>
        <v>20450992.131326936</v>
      </c>
      <c r="P95" s="649">
        <f t="shared" si="13"/>
        <v>332031.08132693917</v>
      </c>
      <c r="Q95" s="650">
        <f t="shared" si="14"/>
        <v>1.6503391030072062E-2</v>
      </c>
      <c r="R95" s="430"/>
      <c r="S95" s="667"/>
    </row>
    <row r="96" spans="1:27" x14ac:dyDescent="0.2">
      <c r="A96" s="293">
        <f t="shared" si="15"/>
        <v>2010</v>
      </c>
      <c r="B96" s="729">
        <v>40452</v>
      </c>
      <c r="C96" s="645">
        <f>[12]Sheet1!Q30</f>
        <v>20505184.099999998</v>
      </c>
      <c r="D96" s="669">
        <f>'HDD and CDD data'!S15</f>
        <v>296.69999999999993</v>
      </c>
      <c r="E96" s="669">
        <f>'HDD and CDD data'!S30</f>
        <v>0</v>
      </c>
      <c r="F96" s="432">
        <f>[13]Employment!B99</f>
        <v>5408.6</v>
      </c>
      <c r="G96" s="641">
        <f t="shared" si="16"/>
        <v>31</v>
      </c>
      <c r="H96" s="646">
        <f t="shared" si="12"/>
        <v>1</v>
      </c>
      <c r="I96" s="645">
        <f>'CDM Data'!C73</f>
        <v>280666.59045065386</v>
      </c>
      <c r="J96" s="645">
        <f>'[14]Purchased Power Model'!I156</f>
        <v>320</v>
      </c>
      <c r="K96" s="647">
        <f t="shared" si="10"/>
        <v>29325.683333333254</v>
      </c>
      <c r="L96" s="641"/>
      <c r="M96" s="648"/>
      <c r="N96" s="648"/>
      <c r="O96" s="649">
        <f t="shared" si="11"/>
        <v>20543455.32874009</v>
      </c>
      <c r="P96" s="649">
        <f t="shared" si="13"/>
        <v>38271.228740092367</v>
      </c>
      <c r="Q96" s="650">
        <f t="shared" si="14"/>
        <v>1.8664172217840449E-3</v>
      </c>
      <c r="R96" s="430"/>
      <c r="S96" s="667"/>
    </row>
    <row r="97" spans="1:19" x14ac:dyDescent="0.2">
      <c r="A97" s="293">
        <f t="shared" si="15"/>
        <v>2010</v>
      </c>
      <c r="B97" s="729">
        <v>40483</v>
      </c>
      <c r="C97" s="645">
        <f>[12]Sheet1!Q31</f>
        <v>21319051.109999999</v>
      </c>
      <c r="D97" s="669">
        <f>'HDD and CDD data'!S16</f>
        <v>474.39999999999992</v>
      </c>
      <c r="E97" s="669">
        <f>'HDD and CDD data'!S31</f>
        <v>0</v>
      </c>
      <c r="F97" s="432">
        <f>[13]Employment!B100</f>
        <v>5349.4</v>
      </c>
      <c r="G97" s="641">
        <f t="shared" si="16"/>
        <v>30</v>
      </c>
      <c r="H97" s="646">
        <f t="shared" si="12"/>
        <v>1</v>
      </c>
      <c r="I97" s="645">
        <f>'CDM Data'!C74</f>
        <v>280666.59045065386</v>
      </c>
      <c r="J97" s="645">
        <f>'[14]Purchased Power Model'!I157</f>
        <v>336</v>
      </c>
      <c r="K97" s="647">
        <f t="shared" si="10"/>
        <v>29344.299999999919</v>
      </c>
      <c r="L97" s="641"/>
      <c r="M97" s="648"/>
      <c r="N97" s="648"/>
      <c r="O97" s="649">
        <f t="shared" si="11"/>
        <v>21272982.769604612</v>
      </c>
      <c r="P97" s="649">
        <f t="shared" si="13"/>
        <v>-46068.340395387262</v>
      </c>
      <c r="Q97" s="650">
        <f t="shared" si="14"/>
        <v>-2.1609001337671292E-3</v>
      </c>
      <c r="R97" s="430"/>
      <c r="S97" s="667"/>
    </row>
    <row r="98" spans="1:19" x14ac:dyDescent="0.2">
      <c r="A98" s="293">
        <f t="shared" si="15"/>
        <v>2010</v>
      </c>
      <c r="B98" s="729">
        <v>40513</v>
      </c>
      <c r="C98" s="645">
        <f>[12]Sheet1!Q32</f>
        <v>23548251.280000001</v>
      </c>
      <c r="D98" s="669">
        <f>'HDD and CDD data'!S17</f>
        <v>729.09999999999968</v>
      </c>
      <c r="E98" s="669">
        <f>'HDD and CDD data'!S32</f>
        <v>0</v>
      </c>
      <c r="F98" s="432">
        <f>[13]Employment!B101</f>
        <v>5352.4</v>
      </c>
      <c r="G98" s="641">
        <f t="shared" si="16"/>
        <v>31</v>
      </c>
      <c r="H98" s="646">
        <f t="shared" si="12"/>
        <v>0.66666666666666663</v>
      </c>
      <c r="I98" s="645">
        <f>'CDM Data'!C75</f>
        <v>280666.59045065386</v>
      </c>
      <c r="J98" s="645">
        <f>'[14]Purchased Power Model'!I158</f>
        <v>368</v>
      </c>
      <c r="K98" s="647">
        <f t="shared" si="10"/>
        <v>29362.916666666584</v>
      </c>
      <c r="L98" s="641"/>
      <c r="M98" s="648"/>
      <c r="N98" s="648"/>
      <c r="O98" s="649">
        <f t="shared" si="11"/>
        <v>23733262.346116189</v>
      </c>
      <c r="P98" s="649">
        <f t="shared" si="13"/>
        <v>185011.06611618772</v>
      </c>
      <c r="Q98" s="650">
        <f t="shared" si="14"/>
        <v>7.8566796284071129E-3</v>
      </c>
      <c r="R98" s="430"/>
      <c r="S98" s="667"/>
    </row>
    <row r="99" spans="1:19" x14ac:dyDescent="0.2">
      <c r="A99" s="293">
        <f t="shared" si="15"/>
        <v>2011</v>
      </c>
      <c r="B99" s="729">
        <v>40544</v>
      </c>
      <c r="C99" s="645">
        <f>[12]Sheet1!R21</f>
        <v>24091905.619999997</v>
      </c>
      <c r="D99" s="669">
        <f>'HDD and CDD data'!T6</f>
        <v>872.49999999999977</v>
      </c>
      <c r="E99" s="669">
        <f>'HDD and CDD data'!T21</f>
        <v>0</v>
      </c>
      <c r="F99" s="432">
        <f>[13]Employment!B102</f>
        <v>5316.6</v>
      </c>
      <c r="G99" s="641">
        <f t="shared" si="16"/>
        <v>31</v>
      </c>
      <c r="H99" s="646">
        <f t="shared" si="12"/>
        <v>0</v>
      </c>
      <c r="I99" s="645">
        <f>'CDM Data'!C76</f>
        <v>352136.9043562822</v>
      </c>
      <c r="J99" s="641">
        <f>16*'Peak hours'!D158</f>
        <v>320</v>
      </c>
      <c r="K99" s="647">
        <f t="shared" si="10"/>
        <v>29381.533333333249</v>
      </c>
      <c r="L99" s="641"/>
      <c r="M99" s="648"/>
      <c r="N99" s="648"/>
      <c r="O99" s="649">
        <f t="shared" ref="O99:O130" si="17">$S$18+D99*$S$19+E99*$S$20+F99*$S$21+G99*$S$22+H99*$S$23+I99*$S$24+J99*$S$25+K99*$S$27</f>
        <v>24164550.433927342</v>
      </c>
      <c r="P99" s="649">
        <f t="shared" si="13"/>
        <v>72644.813927344978</v>
      </c>
      <c r="Q99" s="650">
        <f t="shared" si="14"/>
        <v>3.0153203766097514E-3</v>
      </c>
      <c r="R99" s="430"/>
      <c r="S99" s="667"/>
    </row>
    <row r="100" spans="1:19" x14ac:dyDescent="0.2">
      <c r="A100" s="293">
        <f t="shared" si="15"/>
        <v>2011</v>
      </c>
      <c r="B100" s="729">
        <v>40575</v>
      </c>
      <c r="C100" s="645">
        <f>[12]Sheet1!R22</f>
        <v>21743433.459999997</v>
      </c>
      <c r="D100" s="669">
        <f>'HDD and CDD data'!T7</f>
        <v>712.3</v>
      </c>
      <c r="E100" s="669">
        <f>'HDD and CDD data'!T22</f>
        <v>0</v>
      </c>
      <c r="F100" s="432">
        <f>[13]Employment!B103</f>
        <v>5289.1</v>
      </c>
      <c r="G100" s="641">
        <f t="shared" si="16"/>
        <v>28</v>
      </c>
      <c r="H100" s="646">
        <f t="shared" si="12"/>
        <v>0</v>
      </c>
      <c r="I100" s="645">
        <f>'CDM Data'!C77</f>
        <v>352136.9043562822</v>
      </c>
      <c r="J100" s="641">
        <f>16*'Peak hours'!D159</f>
        <v>304</v>
      </c>
      <c r="K100" s="647">
        <f t="shared" si="10"/>
        <v>29400.149999999914</v>
      </c>
      <c r="L100" s="641"/>
      <c r="M100" s="648"/>
      <c r="N100" s="648"/>
      <c r="O100" s="649">
        <f t="shared" si="17"/>
        <v>21780219.032083433</v>
      </c>
      <c r="P100" s="649">
        <f t="shared" si="13"/>
        <v>36785.572083435953</v>
      </c>
      <c r="Q100" s="650">
        <f t="shared" si="14"/>
        <v>1.6918014420817216E-3</v>
      </c>
      <c r="R100" s="430"/>
      <c r="S100" s="667"/>
    </row>
    <row r="101" spans="1:19" x14ac:dyDescent="0.2">
      <c r="A101" s="293">
        <f t="shared" si="15"/>
        <v>2011</v>
      </c>
      <c r="B101" s="729">
        <v>40603</v>
      </c>
      <c r="C101" s="645">
        <f>[12]Sheet1!R23</f>
        <v>22768704.27</v>
      </c>
      <c r="D101" s="669">
        <f>'HDD and CDD data'!T8</f>
        <v>645.49999999999989</v>
      </c>
      <c r="E101" s="669">
        <f>'HDD and CDD data'!T23</f>
        <v>0</v>
      </c>
      <c r="F101" s="432">
        <f>[13]Employment!B104</f>
        <v>5280.1</v>
      </c>
      <c r="G101" s="641">
        <f t="shared" si="16"/>
        <v>31</v>
      </c>
      <c r="H101" s="646">
        <f t="shared" si="12"/>
        <v>0.33333333333333331</v>
      </c>
      <c r="I101" s="645">
        <f>'CDM Data'!C78</f>
        <v>352136.9043562822</v>
      </c>
      <c r="J101" s="641">
        <f>16*'Peak hours'!D160</f>
        <v>368</v>
      </c>
      <c r="K101" s="647">
        <f t="shared" si="10"/>
        <v>29418.766666666579</v>
      </c>
      <c r="L101" s="641"/>
      <c r="M101" s="648"/>
      <c r="N101" s="648"/>
      <c r="O101" s="649">
        <f t="shared" si="17"/>
        <v>23044762.440015048</v>
      </c>
      <c r="P101" s="649">
        <f t="shared" si="13"/>
        <v>276058.17001504824</v>
      </c>
      <c r="Q101" s="650">
        <f t="shared" si="14"/>
        <v>1.2124456742968108E-2</v>
      </c>
      <c r="R101" s="430"/>
      <c r="S101" s="667"/>
    </row>
    <row r="102" spans="1:19" x14ac:dyDescent="0.2">
      <c r="A102" s="293">
        <f t="shared" si="15"/>
        <v>2011</v>
      </c>
      <c r="B102" s="729">
        <v>40634</v>
      </c>
      <c r="C102" s="645">
        <f>[12]Sheet1!R24</f>
        <v>20241231.84</v>
      </c>
      <c r="D102" s="669">
        <f>'HDD and CDD data'!T9</f>
        <v>395.2999999999999</v>
      </c>
      <c r="E102" s="669">
        <f>'HDD and CDD data'!T24</f>
        <v>0</v>
      </c>
      <c r="F102" s="432">
        <f>[13]Employment!B105</f>
        <v>5317.8</v>
      </c>
      <c r="G102" s="641">
        <f t="shared" si="16"/>
        <v>30</v>
      </c>
      <c r="H102" s="646">
        <f t="shared" si="12"/>
        <v>1</v>
      </c>
      <c r="I102" s="645">
        <f>'CDM Data'!C79</f>
        <v>352136.9043562822</v>
      </c>
      <c r="J102" s="641">
        <f>16*'Peak hours'!D161</f>
        <v>320</v>
      </c>
      <c r="K102" s="647">
        <f>K101+$I$229</f>
        <v>29437.383333333244</v>
      </c>
      <c r="L102" s="641"/>
      <c r="M102" s="648"/>
      <c r="N102" s="648"/>
      <c r="O102" s="649">
        <f t="shared" si="17"/>
        <v>20401206.895585094</v>
      </c>
      <c r="P102" s="649">
        <f t="shared" si="13"/>
        <v>159975.0555850938</v>
      </c>
      <c r="Q102" s="650">
        <f t="shared" si="14"/>
        <v>7.9034248927951512E-3</v>
      </c>
      <c r="R102" s="430"/>
      <c r="S102" s="667"/>
    </row>
    <row r="103" spans="1:19" x14ac:dyDescent="0.2">
      <c r="A103" s="293">
        <f t="shared" si="15"/>
        <v>2011</v>
      </c>
      <c r="B103" s="729">
        <v>40664</v>
      </c>
      <c r="C103" s="645">
        <f>[12]Sheet1!R25</f>
        <v>20232559.98</v>
      </c>
      <c r="D103" s="669">
        <f>'HDD and CDD data'!T10</f>
        <v>192.99999999999994</v>
      </c>
      <c r="E103" s="669">
        <f>'HDD and CDD data'!T25</f>
        <v>9.3999999999999986</v>
      </c>
      <c r="F103" s="432">
        <f>[13]Employment!B106</f>
        <v>5405.5</v>
      </c>
      <c r="G103" s="641">
        <f t="shared" si="16"/>
        <v>31</v>
      </c>
      <c r="H103" s="646">
        <f t="shared" si="12"/>
        <v>1</v>
      </c>
      <c r="I103" s="645">
        <f>'CDM Data'!C80</f>
        <v>352136.9043562822</v>
      </c>
      <c r="J103" s="641">
        <f>16*'Peak hours'!D162</f>
        <v>336</v>
      </c>
      <c r="K103" s="647">
        <f>K102+$I$229</f>
        <v>29455.999999999909</v>
      </c>
      <c r="L103" s="641"/>
      <c r="M103" s="648"/>
      <c r="N103" s="648"/>
      <c r="O103" s="649">
        <f t="shared" si="17"/>
        <v>20293643.61792177</v>
      </c>
      <c r="P103" s="649">
        <f t="shared" si="13"/>
        <v>61083.637921769172</v>
      </c>
      <c r="Q103" s="650">
        <f t="shared" si="14"/>
        <v>3.0190760824211414E-3</v>
      </c>
      <c r="R103" s="430"/>
      <c r="S103" s="667"/>
    </row>
    <row r="104" spans="1:19" x14ac:dyDescent="0.2">
      <c r="A104" s="293">
        <f t="shared" si="15"/>
        <v>2011</v>
      </c>
      <c r="B104" s="729">
        <v>40695</v>
      </c>
      <c r="C104" s="645">
        <f>[12]Sheet1!R26</f>
        <v>20550129.210000001</v>
      </c>
      <c r="D104" s="669">
        <f>'HDD and CDD data'!T11</f>
        <v>65.600000000000023</v>
      </c>
      <c r="E104" s="669">
        <f>'HDD and CDD data'!T26</f>
        <v>13.3</v>
      </c>
      <c r="F104" s="432">
        <f>[13]Employment!B107</f>
        <v>5496</v>
      </c>
      <c r="G104" s="641">
        <f t="shared" si="16"/>
        <v>30</v>
      </c>
      <c r="H104" s="646">
        <f t="shared" si="12"/>
        <v>0.66666666666666663</v>
      </c>
      <c r="I104" s="645">
        <f>'CDM Data'!C81</f>
        <v>352136.9043562822</v>
      </c>
      <c r="J104" s="641">
        <f>16*'Peak hours'!D163</f>
        <v>352</v>
      </c>
      <c r="K104" s="647">
        <f t="shared" si="10"/>
        <v>29474.616666666574</v>
      </c>
      <c r="L104" s="641"/>
      <c r="M104" s="648"/>
      <c r="N104" s="648"/>
      <c r="O104" s="649">
        <f t="shared" si="17"/>
        <v>19838548.426541641</v>
      </c>
      <c r="P104" s="649">
        <f t="shared" si="13"/>
        <v>-711580.78345835954</v>
      </c>
      <c r="Q104" s="650">
        <f t="shared" si="14"/>
        <v>-3.4626584396953264E-2</v>
      </c>
      <c r="R104" s="430"/>
      <c r="S104" s="667"/>
    </row>
    <row r="105" spans="1:19" x14ac:dyDescent="0.2">
      <c r="A105" s="293">
        <f t="shared" si="15"/>
        <v>2011</v>
      </c>
      <c r="B105" s="729">
        <v>40725</v>
      </c>
      <c r="C105" s="645">
        <f>[12]Sheet1!R27</f>
        <v>23422176.57</v>
      </c>
      <c r="D105" s="669">
        <f>'HDD and CDD data'!T12</f>
        <v>6.4</v>
      </c>
      <c r="E105" s="669">
        <f>'HDD and CDD data'!T27</f>
        <v>99.899999999999977</v>
      </c>
      <c r="F105" s="432">
        <f>[13]Employment!B108</f>
        <v>5593.1</v>
      </c>
      <c r="G105" s="641">
        <f t="shared" si="16"/>
        <v>31</v>
      </c>
      <c r="H105" s="646">
        <f t="shared" si="12"/>
        <v>0</v>
      </c>
      <c r="I105" s="645">
        <f>'CDM Data'!C82</f>
        <v>352136.9043562822</v>
      </c>
      <c r="J105" s="641">
        <f>16*'Peak hours'!D164</f>
        <v>320</v>
      </c>
      <c r="K105" s="647">
        <f t="shared" si="10"/>
        <v>29493.233333333239</v>
      </c>
      <c r="L105" s="641"/>
      <c r="M105" s="648"/>
      <c r="N105" s="648"/>
      <c r="O105" s="649">
        <f t="shared" si="17"/>
        <v>23229786.808995727</v>
      </c>
      <c r="P105" s="649">
        <f t="shared" si="13"/>
        <v>-192389.76100427285</v>
      </c>
      <c r="Q105" s="650">
        <f t="shared" si="14"/>
        <v>-8.2140001134946971E-3</v>
      </c>
      <c r="R105" s="430"/>
      <c r="S105" s="667"/>
    </row>
    <row r="106" spans="1:19" x14ac:dyDescent="0.2">
      <c r="A106" s="293">
        <f t="shared" si="15"/>
        <v>2011</v>
      </c>
      <c r="B106" s="729">
        <v>40756</v>
      </c>
      <c r="C106" s="645">
        <f>[12]Sheet1!R28</f>
        <v>21812361.099999998</v>
      </c>
      <c r="D106" s="669">
        <f>'HDD and CDD data'!T13</f>
        <v>17.5</v>
      </c>
      <c r="E106" s="669">
        <f>'HDD and CDD data'!T28</f>
        <v>31.200000000000006</v>
      </c>
      <c r="F106" s="432">
        <f>[13]Employment!B109</f>
        <v>5646.1</v>
      </c>
      <c r="G106" s="641">
        <f t="shared" si="16"/>
        <v>31</v>
      </c>
      <c r="H106" s="646">
        <f t="shared" si="12"/>
        <v>0</v>
      </c>
      <c r="I106" s="645">
        <f>'CDM Data'!C83</f>
        <v>352136.9043562822</v>
      </c>
      <c r="J106" s="641">
        <f>16*'Peak hours'!D165</f>
        <v>352</v>
      </c>
      <c r="K106" s="647">
        <f t="shared" si="10"/>
        <v>29511.849999999904</v>
      </c>
      <c r="L106" s="641"/>
      <c r="M106" s="648"/>
      <c r="N106" s="648"/>
      <c r="O106" s="649">
        <f t="shared" si="17"/>
        <v>21281619.994866915</v>
      </c>
      <c r="P106" s="649">
        <f t="shared" si="13"/>
        <v>-530741.10513308272</v>
      </c>
      <c r="Q106" s="650">
        <f t="shared" si="14"/>
        <v>-2.433212538064404E-2</v>
      </c>
      <c r="R106" s="430"/>
      <c r="S106" s="667"/>
    </row>
    <row r="107" spans="1:19" x14ac:dyDescent="0.2">
      <c r="A107" s="293">
        <f t="shared" si="15"/>
        <v>2011</v>
      </c>
      <c r="B107" s="729">
        <v>40787</v>
      </c>
      <c r="C107" s="645">
        <f>[12]Sheet1!R29</f>
        <v>19840576.800000001</v>
      </c>
      <c r="D107" s="669">
        <f>'HDD and CDD data'!T14</f>
        <v>136.00000000000003</v>
      </c>
      <c r="E107" s="669">
        <f>'HDD and CDD data'!T29</f>
        <v>16.8</v>
      </c>
      <c r="F107" s="432">
        <f>[13]Employment!B110</f>
        <v>5620.8</v>
      </c>
      <c r="G107" s="641">
        <f t="shared" si="16"/>
        <v>30</v>
      </c>
      <c r="H107" s="646">
        <f t="shared" si="12"/>
        <v>0.33333333333333331</v>
      </c>
      <c r="I107" s="645">
        <f>'CDM Data'!C84</f>
        <v>352136.9043562822</v>
      </c>
      <c r="J107" s="641">
        <f>16*'Peak hours'!D166</f>
        <v>336</v>
      </c>
      <c r="K107" s="647">
        <f t="shared" si="10"/>
        <v>29530.466666666569</v>
      </c>
      <c r="L107" s="641"/>
      <c r="M107" s="648"/>
      <c r="N107" s="648"/>
      <c r="O107" s="649">
        <f t="shared" si="17"/>
        <v>20713210.480578907</v>
      </c>
      <c r="P107" s="649">
        <f t="shared" si="13"/>
        <v>872633.68057890609</v>
      </c>
      <c r="Q107" s="650">
        <f t="shared" si="14"/>
        <v>4.3982273770332425E-2</v>
      </c>
      <c r="R107" s="430"/>
      <c r="S107" s="667"/>
    </row>
    <row r="108" spans="1:19" x14ac:dyDescent="0.2">
      <c r="A108" s="293">
        <f t="shared" si="15"/>
        <v>2011</v>
      </c>
      <c r="B108" s="729">
        <v>40817</v>
      </c>
      <c r="C108" s="645">
        <f>[12]Sheet1!R30</f>
        <v>20341338.43</v>
      </c>
      <c r="D108" s="669">
        <f>'HDD and CDD data'!T15</f>
        <v>306.39999999999992</v>
      </c>
      <c r="E108" s="669">
        <f>'HDD and CDD data'!T30</f>
        <v>0</v>
      </c>
      <c r="F108" s="432">
        <f>[13]Employment!B111</f>
        <v>5541.4</v>
      </c>
      <c r="G108" s="641">
        <f t="shared" si="16"/>
        <v>31</v>
      </c>
      <c r="H108" s="646">
        <f t="shared" si="12"/>
        <v>1</v>
      </c>
      <c r="I108" s="645">
        <f>'CDM Data'!C85</f>
        <v>352136.9043562822</v>
      </c>
      <c r="J108" s="641">
        <f>16*'Peak hours'!D167</f>
        <v>320</v>
      </c>
      <c r="K108" s="647">
        <f t="shared" si="10"/>
        <v>29549.083333333234</v>
      </c>
      <c r="L108" s="641"/>
      <c r="M108" s="648"/>
      <c r="N108" s="648"/>
      <c r="O108" s="649">
        <f t="shared" si="17"/>
        <v>20845662.134677038</v>
      </c>
      <c r="P108" s="649">
        <f t="shared" si="13"/>
        <v>504323.70467703789</v>
      </c>
      <c r="Q108" s="650">
        <f t="shared" si="14"/>
        <v>2.4793044293154601E-2</v>
      </c>
      <c r="R108" s="430"/>
      <c r="S108" s="667"/>
    </row>
    <row r="109" spans="1:19" x14ac:dyDescent="0.2">
      <c r="A109" s="293">
        <f t="shared" si="15"/>
        <v>2011</v>
      </c>
      <c r="B109" s="729">
        <v>40848</v>
      </c>
      <c r="C109" s="645">
        <f>[12]Sheet1!R31</f>
        <v>20837319.140000001</v>
      </c>
      <c r="D109" s="669">
        <f>'HDD and CDD data'!T16</f>
        <v>418.2999999999999</v>
      </c>
      <c r="E109" s="669">
        <f>'HDD and CDD data'!T31</f>
        <v>0</v>
      </c>
      <c r="F109" s="432">
        <f>[13]Employment!B112</f>
        <v>5456.6</v>
      </c>
      <c r="G109" s="641">
        <f t="shared" si="16"/>
        <v>30</v>
      </c>
      <c r="H109" s="646">
        <f t="shared" si="12"/>
        <v>1</v>
      </c>
      <c r="I109" s="645">
        <f>'CDM Data'!C86</f>
        <v>352136.9043562822</v>
      </c>
      <c r="J109" s="641">
        <f>16*'Peak hours'!D168</f>
        <v>352</v>
      </c>
      <c r="K109" s="647">
        <f t="shared" ref="K109:K122" si="18">K108+$I$229</f>
        <v>29567.699999999899</v>
      </c>
      <c r="L109" s="641"/>
      <c r="M109" s="648"/>
      <c r="N109" s="648"/>
      <c r="O109" s="649">
        <f t="shared" si="17"/>
        <v>21274900.546492472</v>
      </c>
      <c r="P109" s="649">
        <f t="shared" si="13"/>
        <v>437581.40649247169</v>
      </c>
      <c r="Q109" s="650">
        <f t="shared" si="14"/>
        <v>2.0999889839594388E-2</v>
      </c>
      <c r="R109" s="430"/>
      <c r="S109" s="667"/>
    </row>
    <row r="110" spans="1:19" x14ac:dyDescent="0.2">
      <c r="A110" s="293">
        <f t="shared" si="15"/>
        <v>2011</v>
      </c>
      <c r="B110" s="729">
        <v>40878</v>
      </c>
      <c r="C110" s="645">
        <f>[12]Sheet1!R32</f>
        <v>21901303.100000001</v>
      </c>
      <c r="D110" s="669">
        <f>'HDD and CDD data'!T17</f>
        <v>625.20000000000005</v>
      </c>
      <c r="E110" s="669">
        <f>'HDD and CDD data'!T32</f>
        <v>0</v>
      </c>
      <c r="F110" s="432">
        <f>[13]Employment!B113</f>
        <v>5422</v>
      </c>
      <c r="G110" s="641">
        <f t="shared" si="16"/>
        <v>31</v>
      </c>
      <c r="H110" s="646">
        <f t="shared" si="12"/>
        <v>0.66666666666666663</v>
      </c>
      <c r="I110" s="645">
        <f>'CDM Data'!C87</f>
        <v>352136.9043562822</v>
      </c>
      <c r="J110" s="641">
        <f>16*'Peak hours'!D169</f>
        <v>320</v>
      </c>
      <c r="K110" s="647">
        <f>K109+$I$229</f>
        <v>29586.316666666564</v>
      </c>
      <c r="L110" s="641"/>
      <c r="M110" s="648"/>
      <c r="N110" s="648"/>
      <c r="O110" s="649">
        <f t="shared" si="17"/>
        <v>22633405.362849068</v>
      </c>
      <c r="P110" s="649">
        <f t="shared" si="13"/>
        <v>732102.26284906641</v>
      </c>
      <c r="Q110" s="650">
        <f t="shared" si="14"/>
        <v>3.3427338067800468E-2</v>
      </c>
      <c r="S110" s="667"/>
    </row>
    <row r="111" spans="1:19" x14ac:dyDescent="0.2">
      <c r="A111" s="293">
        <f t="shared" si="15"/>
        <v>2012</v>
      </c>
      <c r="B111" s="729">
        <v>40909</v>
      </c>
      <c r="C111" s="645">
        <f>[12]Sheet1!S21</f>
        <v>23389375.929633565</v>
      </c>
      <c r="D111" s="669">
        <f>'HDD and CDD data'!U6</f>
        <v>707.2</v>
      </c>
      <c r="E111" s="669">
        <f>'HDD and CDD data'!U21</f>
        <v>0</v>
      </c>
      <c r="F111" s="432">
        <f>[13]Employment!B114</f>
        <v>5377.2</v>
      </c>
      <c r="G111" s="641">
        <f t="shared" si="16"/>
        <v>31</v>
      </c>
      <c r="H111" s="646">
        <f t="shared" si="12"/>
        <v>0</v>
      </c>
      <c r="I111" s="645">
        <f>'CDM Data'!C88</f>
        <v>427731.72725905146</v>
      </c>
      <c r="J111" s="641">
        <f>16*'Peak hours'!D170</f>
        <v>336</v>
      </c>
      <c r="K111" s="647">
        <f t="shared" si="18"/>
        <v>29604.933333333229</v>
      </c>
      <c r="L111" s="641"/>
      <c r="M111" s="648"/>
      <c r="N111" s="648"/>
      <c r="O111" s="649">
        <f t="shared" si="17"/>
        <v>23357862.759223778</v>
      </c>
      <c r="P111" s="649">
        <f t="shared" si="13"/>
        <v>-31513.170409787446</v>
      </c>
      <c r="Q111" s="650">
        <f t="shared" si="14"/>
        <v>-1.3473283983546265E-3</v>
      </c>
      <c r="S111" s="667"/>
    </row>
    <row r="112" spans="1:19" x14ac:dyDescent="0.2">
      <c r="A112" s="293">
        <f t="shared" si="15"/>
        <v>2012</v>
      </c>
      <c r="B112" s="729">
        <v>40940</v>
      </c>
      <c r="C112" s="645">
        <f>[12]Sheet1!S22</f>
        <v>21442876.441</v>
      </c>
      <c r="D112" s="669">
        <f>'HDD and CDD data'!U7</f>
        <v>626.69999999999982</v>
      </c>
      <c r="E112" s="669">
        <f>'HDD and CDD data'!U22</f>
        <v>0</v>
      </c>
      <c r="F112" s="432">
        <f>[13]Employment!B115</f>
        <v>5332.1</v>
      </c>
      <c r="G112" s="641">
        <f t="shared" si="16"/>
        <v>29</v>
      </c>
      <c r="H112" s="646">
        <f t="shared" si="12"/>
        <v>0</v>
      </c>
      <c r="I112" s="645">
        <f>'CDM Data'!C89</f>
        <v>427731.72725905146</v>
      </c>
      <c r="J112" s="641">
        <f>16*'Peak hours'!D171</f>
        <v>320</v>
      </c>
      <c r="K112" s="647">
        <f t="shared" si="18"/>
        <v>29623.549999999894</v>
      </c>
      <c r="L112" s="641"/>
      <c r="M112" s="648"/>
      <c r="N112" s="648"/>
      <c r="O112" s="649">
        <f t="shared" si="17"/>
        <v>21798767.632737815</v>
      </c>
      <c r="P112" s="649">
        <f t="shared" si="13"/>
        <v>355891.19173781574</v>
      </c>
      <c r="Q112" s="650">
        <f t="shared" si="14"/>
        <v>1.6597175883424461E-2</v>
      </c>
      <c r="S112" s="667"/>
    </row>
    <row r="113" spans="1:19" x14ac:dyDescent="0.2">
      <c r="A113" s="293">
        <f t="shared" si="15"/>
        <v>2012</v>
      </c>
      <c r="B113" s="729">
        <v>40969</v>
      </c>
      <c r="C113" s="645">
        <f>[12]Sheet1!S23</f>
        <v>21300664.214998998</v>
      </c>
      <c r="D113" s="669">
        <f>'HDD and CDD data'!U8</f>
        <v>436.49999999999989</v>
      </c>
      <c r="E113" s="669">
        <f>'HDD and CDD data'!U23</f>
        <v>0</v>
      </c>
      <c r="F113" s="432">
        <f>[13]Employment!B116</f>
        <v>5313.9</v>
      </c>
      <c r="G113" s="641">
        <f t="shared" si="16"/>
        <v>31</v>
      </c>
      <c r="H113" s="646">
        <f t="shared" si="12"/>
        <v>0.33333333333333331</v>
      </c>
      <c r="I113" s="645">
        <f>'CDM Data'!C90</f>
        <v>427731.72725905146</v>
      </c>
      <c r="J113" s="641">
        <f>16*'Peak hours'!D172</f>
        <v>352</v>
      </c>
      <c r="K113" s="647">
        <f t="shared" si="18"/>
        <v>29642.166666666559</v>
      </c>
      <c r="L113" s="641"/>
      <c r="M113" s="648"/>
      <c r="N113" s="648"/>
      <c r="O113" s="649">
        <f t="shared" si="17"/>
        <v>21543068.71077998</v>
      </c>
      <c r="P113" s="649">
        <f t="shared" si="13"/>
        <v>242404.49578098208</v>
      </c>
      <c r="Q113" s="650">
        <f t="shared" si="14"/>
        <v>1.1380137883695261E-2</v>
      </c>
      <c r="S113" s="667"/>
    </row>
    <row r="114" spans="1:19" x14ac:dyDescent="0.2">
      <c r="A114" s="293">
        <f t="shared" si="15"/>
        <v>2012</v>
      </c>
      <c r="B114" s="729">
        <v>41000</v>
      </c>
      <c r="C114" s="645">
        <f>[12]Sheet1!S24</f>
        <v>19507856.169999</v>
      </c>
      <c r="D114" s="669">
        <f>'HDD and CDD data'!U9</f>
        <v>411.99999999999989</v>
      </c>
      <c r="E114" s="669">
        <f>'HDD and CDD data'!U24</f>
        <v>0</v>
      </c>
      <c r="F114" s="432">
        <f>[13]Employment!B117</f>
        <v>5361.4</v>
      </c>
      <c r="G114" s="641">
        <f t="shared" si="16"/>
        <v>30</v>
      </c>
      <c r="H114" s="646">
        <f t="shared" si="12"/>
        <v>1</v>
      </c>
      <c r="I114" s="645">
        <f>'CDM Data'!C91</f>
        <v>427731.72725905146</v>
      </c>
      <c r="J114" s="641">
        <f>16*'Peak hours'!D173</f>
        <v>320</v>
      </c>
      <c r="K114" s="647">
        <f t="shared" si="18"/>
        <v>29660.783333333224</v>
      </c>
      <c r="L114" s="641"/>
      <c r="M114" s="648"/>
      <c r="N114" s="648"/>
      <c r="O114" s="649">
        <f t="shared" si="17"/>
        <v>20495556.79974813</v>
      </c>
      <c r="P114" s="649">
        <f t="shared" si="13"/>
        <v>987700.62974913046</v>
      </c>
      <c r="Q114" s="650">
        <f t="shared" si="14"/>
        <v>5.0630916136654144E-2</v>
      </c>
      <c r="S114" s="667"/>
    </row>
    <row r="115" spans="1:19" x14ac:dyDescent="0.2">
      <c r="A115" s="293">
        <f t="shared" si="15"/>
        <v>2012</v>
      </c>
      <c r="B115" s="729">
        <v>41030</v>
      </c>
      <c r="C115" s="645">
        <f>[12]Sheet1!S25</f>
        <v>20028803.655000001</v>
      </c>
      <c r="D115" s="669">
        <f>'HDD and CDD data'!U10</f>
        <v>141.00000000000003</v>
      </c>
      <c r="E115" s="669">
        <f>'HDD and CDD data'!U25</f>
        <v>6.8999999999999995</v>
      </c>
      <c r="F115" s="432">
        <f>[13]Employment!B118</f>
        <v>5441</v>
      </c>
      <c r="G115" s="641">
        <f t="shared" si="16"/>
        <v>31</v>
      </c>
      <c r="H115" s="646">
        <f t="shared" si="12"/>
        <v>1</v>
      </c>
      <c r="I115" s="645">
        <f>'CDM Data'!C92</f>
        <v>427731.72725905146</v>
      </c>
      <c r="J115" s="641">
        <f>16*'Peak hours'!D174</f>
        <v>352</v>
      </c>
      <c r="K115" s="647">
        <f t="shared" si="18"/>
        <v>29679.399999999889</v>
      </c>
      <c r="L115" s="641"/>
      <c r="M115" s="648"/>
      <c r="N115" s="648"/>
      <c r="O115" s="649">
        <f t="shared" si="17"/>
        <v>20026217.629972041</v>
      </c>
      <c r="P115" s="649">
        <f t="shared" si="13"/>
        <v>-2586.0250279605389</v>
      </c>
      <c r="Q115" s="650">
        <f t="shared" si="14"/>
        <v>-1.2911530176766011E-4</v>
      </c>
      <c r="S115" s="667"/>
    </row>
    <row r="116" spans="1:19" x14ac:dyDescent="0.2">
      <c r="A116" s="293">
        <f t="shared" si="15"/>
        <v>2012</v>
      </c>
      <c r="B116" s="729">
        <v>41061</v>
      </c>
      <c r="C116" s="645">
        <f>[12]Sheet1!S26</f>
        <v>21359201.884999998</v>
      </c>
      <c r="D116" s="669">
        <f>'HDD and CDD data'!U11</f>
        <v>59.900000000000006</v>
      </c>
      <c r="E116" s="669">
        <f>'HDD and CDD data'!U26</f>
        <v>48.699999999999996</v>
      </c>
      <c r="F116" s="432">
        <f>[13]Employment!B119</f>
        <v>5536.5</v>
      </c>
      <c r="G116" s="641">
        <f t="shared" si="16"/>
        <v>30</v>
      </c>
      <c r="H116" s="646">
        <f t="shared" si="12"/>
        <v>0.66666666666666663</v>
      </c>
      <c r="I116" s="645">
        <f>'CDM Data'!C93</f>
        <v>427731.72725905146</v>
      </c>
      <c r="J116" s="641">
        <f>16*'Peak hours'!D175</f>
        <v>336</v>
      </c>
      <c r="K116" s="647">
        <f t="shared" si="18"/>
        <v>29698.016666666554</v>
      </c>
      <c r="L116" s="641"/>
      <c r="M116" s="648"/>
      <c r="N116" s="648"/>
      <c r="O116" s="649">
        <f t="shared" si="17"/>
        <v>20905412.987089045</v>
      </c>
      <c r="P116" s="649">
        <f t="shared" si="13"/>
        <v>-453788.89791095257</v>
      </c>
      <c r="Q116" s="650">
        <f t="shared" si="14"/>
        <v>-2.1245592431505436E-2</v>
      </c>
      <c r="S116" s="667"/>
    </row>
    <row r="117" spans="1:19" x14ac:dyDescent="0.2">
      <c r="A117" s="293">
        <f t="shared" si="15"/>
        <v>2012</v>
      </c>
      <c r="B117" s="729">
        <v>41091</v>
      </c>
      <c r="C117" s="645">
        <f>[12]Sheet1!S27</f>
        <v>23549401.164999999</v>
      </c>
      <c r="D117" s="669">
        <f>'HDD and CDD data'!U12</f>
        <v>1.2</v>
      </c>
      <c r="E117" s="669">
        <f>'HDD and CDD data'!U27</f>
        <v>103.99999999999999</v>
      </c>
      <c r="F117" s="432">
        <f>[13]Employment!B120</f>
        <v>5616.3</v>
      </c>
      <c r="G117" s="641">
        <f t="shared" si="16"/>
        <v>31</v>
      </c>
      <c r="H117" s="646">
        <f t="shared" si="12"/>
        <v>0</v>
      </c>
      <c r="I117" s="645">
        <f>'CDM Data'!C94</f>
        <v>427731.72725905146</v>
      </c>
      <c r="J117" s="641">
        <f>16*'Peak hours'!D176</f>
        <v>336</v>
      </c>
      <c r="K117" s="647">
        <f t="shared" si="18"/>
        <v>29716.633333333219</v>
      </c>
      <c r="L117" s="641"/>
      <c r="M117" s="648"/>
      <c r="N117" s="648"/>
      <c r="O117" s="649">
        <f t="shared" si="17"/>
        <v>23459089.220970999</v>
      </c>
      <c r="P117" s="649">
        <f t="shared" si="13"/>
        <v>-90311.944028999656</v>
      </c>
      <c r="Q117" s="650">
        <f t="shared" si="14"/>
        <v>-3.8349995991925536E-3</v>
      </c>
      <c r="S117" s="667"/>
    </row>
    <row r="118" spans="1:19" x14ac:dyDescent="0.2">
      <c r="A118" s="293">
        <f t="shared" si="15"/>
        <v>2012</v>
      </c>
      <c r="B118" s="729">
        <v>41122</v>
      </c>
      <c r="C118" s="645">
        <f>[12]Sheet1!S28</f>
        <v>21899730.215</v>
      </c>
      <c r="D118" s="669">
        <f>'HDD and CDD data'!U13</f>
        <v>21</v>
      </c>
      <c r="E118" s="669">
        <f>'HDD and CDD data'!U28</f>
        <v>51.699999999999989</v>
      </c>
      <c r="F118" s="432">
        <f>[13]Employment!B121</f>
        <v>5667.7</v>
      </c>
      <c r="G118" s="641">
        <f t="shared" si="16"/>
        <v>31</v>
      </c>
      <c r="H118" s="646">
        <f t="shared" si="12"/>
        <v>0</v>
      </c>
      <c r="I118" s="645">
        <f>'CDM Data'!C95</f>
        <v>427731.72725905146</v>
      </c>
      <c r="J118" s="641">
        <f>16*'Peak hours'!D177</f>
        <v>352</v>
      </c>
      <c r="K118" s="647">
        <f t="shared" si="18"/>
        <v>29735.249999999884</v>
      </c>
      <c r="L118" s="641"/>
      <c r="M118" s="648"/>
      <c r="N118" s="648"/>
      <c r="O118" s="649">
        <f t="shared" si="17"/>
        <v>21984346.634104483</v>
      </c>
      <c r="P118" s="649">
        <f t="shared" si="13"/>
        <v>84616.419104482979</v>
      </c>
      <c r="Q118" s="650">
        <f t="shared" si="14"/>
        <v>3.8638110275224218E-3</v>
      </c>
      <c r="S118" s="667"/>
    </row>
    <row r="119" spans="1:19" x14ac:dyDescent="0.2">
      <c r="A119" s="293">
        <f t="shared" si="15"/>
        <v>2012</v>
      </c>
      <c r="B119" s="729">
        <v>41153</v>
      </c>
      <c r="C119" s="645">
        <f>[12]Sheet1!S29</f>
        <v>19768956.310000002</v>
      </c>
      <c r="D119" s="669">
        <f>'HDD and CDD data'!U14</f>
        <v>136.70000000000002</v>
      </c>
      <c r="E119" s="669">
        <f>'HDD and CDD data'!U29</f>
        <v>9.6999999999999993</v>
      </c>
      <c r="F119" s="432">
        <f>[13]Employment!B122</f>
        <v>5629.7</v>
      </c>
      <c r="G119" s="641">
        <f t="shared" si="16"/>
        <v>30</v>
      </c>
      <c r="H119" s="646">
        <f t="shared" si="12"/>
        <v>0.33333333333333331</v>
      </c>
      <c r="I119" s="645">
        <f>'CDM Data'!C96</f>
        <v>427731.72725905146</v>
      </c>
      <c r="J119" s="641">
        <f>16*'Peak hours'!D178</f>
        <v>304</v>
      </c>
      <c r="K119" s="647">
        <f t="shared" si="18"/>
        <v>29753.866666666549</v>
      </c>
      <c r="L119" s="641"/>
      <c r="M119" s="648"/>
      <c r="N119" s="648"/>
      <c r="O119" s="649">
        <f t="shared" si="17"/>
        <v>20002155.248203859</v>
      </c>
      <c r="P119" s="649">
        <f t="shared" si="13"/>
        <v>233198.93820385635</v>
      </c>
      <c r="Q119" s="650">
        <f t="shared" si="14"/>
        <v>1.1796219008582366E-2</v>
      </c>
      <c r="S119" s="667"/>
    </row>
    <row r="120" spans="1:19" x14ac:dyDescent="0.2">
      <c r="A120" s="293">
        <f t="shared" si="15"/>
        <v>2012</v>
      </c>
      <c r="B120" s="729">
        <v>41183</v>
      </c>
      <c r="C120" s="645">
        <f>[12]Sheet1!S30</f>
        <v>20305536.32</v>
      </c>
      <c r="D120" s="669">
        <f>'HDD and CDD data'!U15</f>
        <v>301.39999999999992</v>
      </c>
      <c r="E120" s="669">
        <f>'HDD and CDD data'!U30</f>
        <v>0</v>
      </c>
      <c r="F120" s="432">
        <f>[13]Employment!B123</f>
        <v>5584.2</v>
      </c>
      <c r="G120" s="641">
        <f t="shared" si="16"/>
        <v>31</v>
      </c>
      <c r="H120" s="646">
        <f t="shared" si="12"/>
        <v>1</v>
      </c>
      <c r="I120" s="645">
        <f>'CDM Data'!C97</f>
        <v>427731.72725905146</v>
      </c>
      <c r="J120" s="641">
        <f>16*'Peak hours'!D179</f>
        <v>352</v>
      </c>
      <c r="K120" s="647">
        <f t="shared" si="18"/>
        <v>29772.483333333214</v>
      </c>
      <c r="L120" s="641"/>
      <c r="M120" s="648"/>
      <c r="N120" s="648"/>
      <c r="O120" s="649">
        <f t="shared" si="17"/>
        <v>21155772.45936124</v>
      </c>
      <c r="P120" s="649">
        <f t="shared" si="13"/>
        <v>850236.13936123997</v>
      </c>
      <c r="Q120" s="650">
        <f t="shared" si="14"/>
        <v>4.1872134080191581E-2</v>
      </c>
      <c r="S120" s="667"/>
    </row>
    <row r="121" spans="1:19" x14ac:dyDescent="0.2">
      <c r="A121" s="293">
        <f t="shared" si="15"/>
        <v>2012</v>
      </c>
      <c r="B121" s="729">
        <v>41214</v>
      </c>
      <c r="C121" s="645">
        <f>[12]Sheet1!S31</f>
        <v>21024207.009999998</v>
      </c>
      <c r="D121" s="669">
        <f>'HDD and CDD data'!U16</f>
        <v>474.09999999999997</v>
      </c>
      <c r="E121" s="669">
        <f>'HDD and CDD data'!U31</f>
        <v>0</v>
      </c>
      <c r="F121" s="432">
        <f>[13]Employment!B124</f>
        <v>5527</v>
      </c>
      <c r="G121" s="641">
        <f t="shared" si="16"/>
        <v>30</v>
      </c>
      <c r="H121" s="646">
        <f t="shared" si="12"/>
        <v>1</v>
      </c>
      <c r="I121" s="645">
        <f>'CDM Data'!C98</f>
        <v>427731.72725905146</v>
      </c>
      <c r="J121" s="641">
        <f>16*'Peak hours'!D180</f>
        <v>352</v>
      </c>
      <c r="K121" s="647">
        <f t="shared" si="18"/>
        <v>29791.099999999878</v>
      </c>
      <c r="L121" s="641"/>
      <c r="M121" s="648"/>
      <c r="N121" s="648"/>
      <c r="O121" s="649">
        <f t="shared" si="17"/>
        <v>21683953.824691944</v>
      </c>
      <c r="P121" s="649">
        <f t="shared" si="13"/>
        <v>659746.81469194591</v>
      </c>
      <c r="Q121" s="650">
        <f t="shared" si="14"/>
        <v>3.1380342401411028E-2</v>
      </c>
      <c r="S121" s="667"/>
    </row>
    <row r="122" spans="1:19" x14ac:dyDescent="0.2">
      <c r="A122" s="293">
        <f t="shared" si="15"/>
        <v>2012</v>
      </c>
      <c r="B122" s="729">
        <v>41244</v>
      </c>
      <c r="C122" s="645">
        <f>[12]Sheet1!S32</f>
        <v>21702729.105</v>
      </c>
      <c r="D122" s="669">
        <f>'HDD and CDD data'!U17</f>
        <v>596.59999999999991</v>
      </c>
      <c r="E122" s="669">
        <f>'HDD and CDD data'!U32</f>
        <v>0</v>
      </c>
      <c r="F122" s="432">
        <f>[13]Employment!B125</f>
        <v>5517.3</v>
      </c>
      <c r="G122" s="641">
        <f t="shared" si="16"/>
        <v>31</v>
      </c>
      <c r="H122" s="646">
        <f t="shared" si="12"/>
        <v>0.66666666666666663</v>
      </c>
      <c r="I122" s="645">
        <f>'CDM Data'!C99</f>
        <v>427731.72725905146</v>
      </c>
      <c r="J122" s="641">
        <f>16*'Peak hours'!D181</f>
        <v>304</v>
      </c>
      <c r="K122" s="655">
        <f t="shared" si="18"/>
        <v>29809.716666666543</v>
      </c>
      <c r="L122" s="641"/>
      <c r="M122" s="648"/>
      <c r="N122" s="648"/>
      <c r="O122" s="649">
        <f t="shared" si="17"/>
        <v>22413628.895757049</v>
      </c>
      <c r="P122" s="649">
        <f t="shared" si="13"/>
        <v>710899.79075704888</v>
      </c>
      <c r="Q122" s="650">
        <f t="shared" si="14"/>
        <v>3.2756239425818005E-2</v>
      </c>
      <c r="S122" s="667"/>
    </row>
    <row r="123" spans="1:19" x14ac:dyDescent="0.2">
      <c r="A123" s="293">
        <f t="shared" si="15"/>
        <v>2013</v>
      </c>
      <c r="B123" s="626">
        <v>41275</v>
      </c>
      <c r="C123" s="645"/>
      <c r="D123" s="731">
        <f>'HDD and CDD data'!V6</f>
        <v>785.08999999999992</v>
      </c>
      <c r="E123" s="669">
        <f>'HDD and CDD data'!V21</f>
        <v>0</v>
      </c>
      <c r="F123" s="732">
        <f>[13]Employment!B139</f>
        <v>5441.7263999999996</v>
      </c>
      <c r="G123" s="645">
        <f t="shared" si="16"/>
        <v>31</v>
      </c>
      <c r="H123" s="676">
        <f t="shared" si="12"/>
        <v>0</v>
      </c>
      <c r="I123" s="645">
        <f>'CDM Data'!C100</f>
        <v>417367.7816498194</v>
      </c>
      <c r="J123" s="645">
        <f>16*'Peak hours'!D182</f>
        <v>352</v>
      </c>
      <c r="K123" s="647">
        <f>K122+($K$134-$K$122)/12</f>
        <v>29871.458333333219</v>
      </c>
      <c r="L123" s="641"/>
      <c r="M123" s="648"/>
      <c r="N123" s="648"/>
      <c r="O123" s="647">
        <f t="shared" si="17"/>
        <v>24208762.406788811</v>
      </c>
      <c r="P123" s="671"/>
      <c r="Q123" s="671"/>
      <c r="S123" s="667"/>
    </row>
    <row r="124" spans="1:19" x14ac:dyDescent="0.2">
      <c r="A124" s="293">
        <f t="shared" si="15"/>
        <v>2013</v>
      </c>
      <c r="B124" s="626">
        <v>41306</v>
      </c>
      <c r="C124" s="645"/>
      <c r="D124" s="731">
        <f>'HDD and CDD data'!V7</f>
        <v>704.81999999999994</v>
      </c>
      <c r="E124" s="669">
        <f>'HDD and CDD data'!V22</f>
        <v>0</v>
      </c>
      <c r="F124" s="732">
        <f>[13]Employment!B140</f>
        <v>5396.0852000000004</v>
      </c>
      <c r="G124" s="645">
        <f t="shared" si="16"/>
        <v>28</v>
      </c>
      <c r="H124" s="676">
        <f t="shared" si="12"/>
        <v>0</v>
      </c>
      <c r="I124" s="645">
        <f>'CDM Data'!C101</f>
        <v>417367.7816498194</v>
      </c>
      <c r="J124" s="645">
        <f>16*'Peak hours'!D183</f>
        <v>304</v>
      </c>
      <c r="K124" s="647">
        <f t="shared" ref="K124:K133" si="19">K123+($K$134-$K$122)/12</f>
        <v>29933.199999999895</v>
      </c>
      <c r="L124" s="641"/>
      <c r="M124" s="648"/>
      <c r="N124" s="648"/>
      <c r="O124" s="647">
        <f t="shared" si="17"/>
        <v>21916301.869555108</v>
      </c>
      <c r="P124" s="671"/>
      <c r="Q124" s="671"/>
      <c r="S124" s="667"/>
    </row>
    <row r="125" spans="1:19" x14ac:dyDescent="0.2">
      <c r="A125" s="293">
        <f t="shared" si="15"/>
        <v>2013</v>
      </c>
      <c r="B125" s="626">
        <v>41334</v>
      </c>
      <c r="C125" s="645"/>
      <c r="D125" s="731">
        <f>'HDD and CDD data'!V8</f>
        <v>593.83000000000004</v>
      </c>
      <c r="E125" s="669">
        <f>'HDD and CDD data'!V23</f>
        <v>0</v>
      </c>
      <c r="F125" s="732">
        <f>[13]Employment!B141</f>
        <v>5377.6668</v>
      </c>
      <c r="G125" s="645">
        <f t="shared" si="16"/>
        <v>31</v>
      </c>
      <c r="H125" s="676">
        <f t="shared" si="12"/>
        <v>0.33333333333333331</v>
      </c>
      <c r="I125" s="645">
        <f>'CDM Data'!C102</f>
        <v>417367.7816498194</v>
      </c>
      <c r="J125" s="645">
        <f>16*'Peak hours'!D184</f>
        <v>320</v>
      </c>
      <c r="K125" s="647">
        <f t="shared" si="19"/>
        <v>29994.941666666571</v>
      </c>
      <c r="L125" s="641"/>
      <c r="M125" s="648"/>
      <c r="N125" s="648"/>
      <c r="O125" s="647">
        <f t="shared" si="17"/>
        <v>22354423.391591635</v>
      </c>
      <c r="P125" s="671"/>
      <c r="Q125" s="671"/>
      <c r="S125" s="667"/>
    </row>
    <row r="126" spans="1:19" x14ac:dyDescent="0.2">
      <c r="A126" s="293">
        <f t="shared" si="15"/>
        <v>2013</v>
      </c>
      <c r="B126" s="626">
        <v>41365</v>
      </c>
      <c r="C126" s="645"/>
      <c r="D126" s="731">
        <f>'HDD and CDD data'!V9</f>
        <v>372.76933672657191</v>
      </c>
      <c r="E126" s="669">
        <f>'HDD and CDD data'!V24</f>
        <v>0.15</v>
      </c>
      <c r="F126" s="732">
        <f>[13]Employment!B142</f>
        <v>5425.7367999999997</v>
      </c>
      <c r="G126" s="645">
        <f t="shared" si="16"/>
        <v>30</v>
      </c>
      <c r="H126" s="676">
        <f t="shared" si="12"/>
        <v>1</v>
      </c>
      <c r="I126" s="645">
        <f>'CDM Data'!C103</f>
        <v>417367.7816498194</v>
      </c>
      <c r="J126" s="645">
        <f>16*'Peak hours'!D185</f>
        <v>352</v>
      </c>
      <c r="K126" s="647">
        <f t="shared" si="19"/>
        <v>30056.683333333247</v>
      </c>
      <c r="L126" s="641"/>
      <c r="M126" s="648"/>
      <c r="N126" s="648"/>
      <c r="O126" s="647">
        <f t="shared" si="17"/>
        <v>20804378.586501665</v>
      </c>
      <c r="P126" s="671"/>
      <c r="Q126" s="671"/>
      <c r="S126" s="667"/>
    </row>
    <row r="127" spans="1:19" x14ac:dyDescent="0.2">
      <c r="A127" s="293">
        <f t="shared" si="15"/>
        <v>2013</v>
      </c>
      <c r="B127" s="626">
        <v>41395</v>
      </c>
      <c r="C127" s="645"/>
      <c r="D127" s="731">
        <f>'HDD and CDD data'!V10</f>
        <v>200.04999999999998</v>
      </c>
      <c r="E127" s="669">
        <f>'HDD and CDD data'!V25</f>
        <v>6.95</v>
      </c>
      <c r="F127" s="732">
        <f>[13]Employment!B143</f>
        <v>5506.2920000000004</v>
      </c>
      <c r="G127" s="645">
        <f t="shared" si="16"/>
        <v>31</v>
      </c>
      <c r="H127" s="676">
        <f t="shared" si="12"/>
        <v>1</v>
      </c>
      <c r="I127" s="645">
        <f>'CDM Data'!C104</f>
        <v>417367.7816498194</v>
      </c>
      <c r="J127" s="645">
        <f>16*'Peak hours'!D186</f>
        <v>352</v>
      </c>
      <c r="K127" s="647">
        <f t="shared" si="19"/>
        <v>30118.424999999923</v>
      </c>
      <c r="L127" s="641"/>
      <c r="M127" s="648"/>
      <c r="N127" s="648"/>
      <c r="O127" s="647">
        <f t="shared" si="17"/>
        <v>20588786.823732112</v>
      </c>
      <c r="P127" s="671"/>
      <c r="Q127" s="671"/>
      <c r="S127" s="667"/>
    </row>
    <row r="128" spans="1:19" x14ac:dyDescent="0.2">
      <c r="A128" s="293">
        <f t="shared" si="15"/>
        <v>2013</v>
      </c>
      <c r="B128" s="626">
        <v>41426</v>
      </c>
      <c r="C128" s="645"/>
      <c r="D128" s="731">
        <f>'HDD and CDD data'!V11</f>
        <v>57.379999999999995</v>
      </c>
      <c r="E128" s="669">
        <f>'HDD and CDD data'!V26</f>
        <v>37.86</v>
      </c>
      <c r="F128" s="732">
        <f>[13]Employment!B144</f>
        <v>5602.9380000000001</v>
      </c>
      <c r="G128" s="645">
        <f t="shared" si="16"/>
        <v>30</v>
      </c>
      <c r="H128" s="676">
        <f t="shared" si="12"/>
        <v>0.66666666666666663</v>
      </c>
      <c r="I128" s="645">
        <f>'CDM Data'!C105</f>
        <v>417367.7816498194</v>
      </c>
      <c r="J128" s="645">
        <f>16*'Peak hours'!D187</f>
        <v>320</v>
      </c>
      <c r="K128" s="647">
        <f t="shared" si="19"/>
        <v>30180.166666666599</v>
      </c>
      <c r="L128" s="641"/>
      <c r="M128" s="648"/>
      <c r="N128" s="648"/>
      <c r="O128" s="647">
        <f t="shared" si="17"/>
        <v>20516638.189557556</v>
      </c>
      <c r="P128" s="671"/>
      <c r="Q128" s="671"/>
      <c r="S128" s="667"/>
    </row>
    <row r="129" spans="1:19" x14ac:dyDescent="0.2">
      <c r="A129" s="293">
        <f t="shared" si="15"/>
        <v>2013</v>
      </c>
      <c r="B129" s="626">
        <v>41456</v>
      </c>
      <c r="C129" s="645"/>
      <c r="D129" s="731">
        <f>'HDD and CDD data'!V12</f>
        <v>15.209999999999997</v>
      </c>
      <c r="E129" s="669">
        <f>'HDD and CDD data'!V27</f>
        <v>73.77</v>
      </c>
      <c r="F129" s="732">
        <f>[13]Employment!B145</f>
        <v>5683.6956</v>
      </c>
      <c r="G129" s="645">
        <f t="shared" si="16"/>
        <v>31</v>
      </c>
      <c r="H129" s="676">
        <f t="shared" si="12"/>
        <v>0</v>
      </c>
      <c r="I129" s="645">
        <f>'CDM Data'!C106</f>
        <v>417367.7816498194</v>
      </c>
      <c r="J129" s="645">
        <f>16*'Peak hours'!D188</f>
        <v>352</v>
      </c>
      <c r="K129" s="647">
        <f t="shared" si="19"/>
        <v>30241.908333333275</v>
      </c>
      <c r="L129" s="641"/>
      <c r="M129" s="648"/>
      <c r="N129" s="648"/>
      <c r="O129" s="647">
        <f t="shared" si="17"/>
        <v>22817434.211420059</v>
      </c>
      <c r="P129" s="671"/>
      <c r="Q129" s="671"/>
      <c r="S129" s="667"/>
    </row>
    <row r="130" spans="1:19" x14ac:dyDescent="0.2">
      <c r="A130" s="293">
        <f t="shared" si="15"/>
        <v>2013</v>
      </c>
      <c r="B130" s="626">
        <v>41487</v>
      </c>
      <c r="C130" s="645"/>
      <c r="D130" s="731">
        <f>'HDD and CDD data'!V13</f>
        <v>26.160000000000004</v>
      </c>
      <c r="E130" s="669">
        <f>'HDD and CDD data'!V28</f>
        <v>52.089999999999996</v>
      </c>
      <c r="F130" s="732">
        <f>[13]Employment!B146</f>
        <v>5735.7123999999994</v>
      </c>
      <c r="G130" s="645">
        <f t="shared" si="16"/>
        <v>31</v>
      </c>
      <c r="H130" s="676">
        <f t="shared" si="12"/>
        <v>0</v>
      </c>
      <c r="I130" s="645">
        <f>'CDM Data'!C107</f>
        <v>417367.7816498194</v>
      </c>
      <c r="J130" s="645">
        <f>16*'Peak hours'!D189</f>
        <v>336</v>
      </c>
      <c r="K130" s="647">
        <f t="shared" si="19"/>
        <v>30303.649999999951</v>
      </c>
      <c r="L130" s="641"/>
      <c r="M130" s="648"/>
      <c r="N130" s="648"/>
      <c r="O130" s="647">
        <f t="shared" si="17"/>
        <v>22058177.000784189</v>
      </c>
      <c r="P130" s="671"/>
      <c r="Q130" s="671"/>
      <c r="S130" s="667"/>
    </row>
    <row r="131" spans="1:19" x14ac:dyDescent="0.2">
      <c r="A131" s="293">
        <f t="shared" si="15"/>
        <v>2013</v>
      </c>
      <c r="B131" s="626">
        <v>41518</v>
      </c>
      <c r="C131" s="645"/>
      <c r="D131" s="731">
        <f>'HDD and CDD data'!V14</f>
        <v>109.8</v>
      </c>
      <c r="E131" s="669">
        <f>'HDD and CDD data'!V29</f>
        <v>11.76</v>
      </c>
      <c r="F131" s="732">
        <f>[13]Employment!B147</f>
        <v>5697.2564000000002</v>
      </c>
      <c r="G131" s="645">
        <f t="shared" si="16"/>
        <v>30</v>
      </c>
      <c r="H131" s="676">
        <f t="shared" si="12"/>
        <v>0.33333333333333331</v>
      </c>
      <c r="I131" s="645">
        <f>'CDM Data'!C108</f>
        <v>417367.7816498194</v>
      </c>
      <c r="J131" s="645">
        <f>16*'Peak hours'!D190</f>
        <v>320</v>
      </c>
      <c r="K131" s="647">
        <f t="shared" si="19"/>
        <v>30365.391666666626</v>
      </c>
      <c r="L131" s="641"/>
      <c r="M131" s="648"/>
      <c r="N131" s="648"/>
      <c r="O131" s="647">
        <f t="shared" ref="O131:O146" si="20">$S$18+D131*$S$19+E131*$S$20+F131*$S$21+G131*$S$22+H131*$S$23+I131*$S$24+J131*$S$25+K131*$S$27</f>
        <v>20289836.355188034</v>
      </c>
      <c r="P131" s="671"/>
      <c r="Q131" s="671"/>
      <c r="S131" s="667"/>
    </row>
    <row r="132" spans="1:19" x14ac:dyDescent="0.2">
      <c r="A132" s="293">
        <f t="shared" si="15"/>
        <v>2013</v>
      </c>
      <c r="B132" s="626">
        <v>41548</v>
      </c>
      <c r="C132" s="645"/>
      <c r="D132" s="731">
        <f>'HDD and CDD data'!V15</f>
        <v>302.72000000000003</v>
      </c>
      <c r="E132" s="669">
        <f>'HDD and CDD data'!V30</f>
        <v>1.36</v>
      </c>
      <c r="F132" s="732">
        <f>[13]Employment!B148</f>
        <v>5651.2103999999999</v>
      </c>
      <c r="G132" s="645">
        <f t="shared" si="16"/>
        <v>31</v>
      </c>
      <c r="H132" s="676">
        <f t="shared" ref="H132:H146" si="21">IF(MONTH(B132)&lt;=2,0,IF(MONTH(B132)=3,1/3,IF(MONTH(B132)&lt;=5,1,IF(MONTH(B132)=6,2/3,IF(MONTH(B132)&lt;=8,0,IF(MONTH(B132)=9,1/3,IF(MONTH(B132)&lt;=11,1,2/3)))))))</f>
        <v>1</v>
      </c>
      <c r="I132" s="645">
        <f>'CDM Data'!C109</f>
        <v>417367.7816498194</v>
      </c>
      <c r="J132" s="645">
        <f>16*'Peak hours'!D191</f>
        <v>352</v>
      </c>
      <c r="K132" s="647">
        <f t="shared" si="19"/>
        <v>30427.133333333302</v>
      </c>
      <c r="L132" s="641"/>
      <c r="M132" s="642"/>
      <c r="N132" s="672"/>
      <c r="O132" s="647">
        <f t="shared" si="20"/>
        <v>21414600.081445113</v>
      </c>
      <c r="P132" s="673"/>
      <c r="Q132" s="673"/>
      <c r="S132" s="667"/>
    </row>
    <row r="133" spans="1:19" x14ac:dyDescent="0.2">
      <c r="A133" s="293">
        <f t="shared" si="15"/>
        <v>2013</v>
      </c>
      <c r="B133" s="626">
        <v>41579</v>
      </c>
      <c r="C133" s="645"/>
      <c r="D133" s="731">
        <f>'HDD and CDD data'!V16</f>
        <v>456.38000000000011</v>
      </c>
      <c r="E133" s="669">
        <f>'HDD and CDD data'!V31</f>
        <v>0</v>
      </c>
      <c r="F133" s="732">
        <f>[13]Employment!B149</f>
        <v>5593.3239999999996</v>
      </c>
      <c r="G133" s="645">
        <f t="shared" si="16"/>
        <v>30</v>
      </c>
      <c r="H133" s="676">
        <f t="shared" si="21"/>
        <v>1</v>
      </c>
      <c r="I133" s="645">
        <f>'CDM Data'!C110</f>
        <v>417367.7816498194</v>
      </c>
      <c r="J133" s="645">
        <f>16*'Peak hours'!D192</f>
        <v>336</v>
      </c>
      <c r="K133" s="647">
        <f t="shared" si="19"/>
        <v>30488.874999999978</v>
      </c>
      <c r="L133" s="641"/>
      <c r="M133" s="672"/>
      <c r="N133" s="672"/>
      <c r="O133" s="647">
        <f t="shared" si="20"/>
        <v>21597653.577475809</v>
      </c>
      <c r="P133" s="673"/>
      <c r="Q133" s="673"/>
      <c r="S133" s="667"/>
    </row>
    <row r="134" spans="1:19" x14ac:dyDescent="0.2">
      <c r="A134" s="293">
        <f t="shared" si="15"/>
        <v>2013</v>
      </c>
      <c r="B134" s="626">
        <v>41609</v>
      </c>
      <c r="C134" s="645"/>
      <c r="D134" s="731">
        <f>'HDD and CDD data'!V17</f>
        <v>665.55</v>
      </c>
      <c r="E134" s="669">
        <f>'HDD and CDD data'!V32</f>
        <v>0</v>
      </c>
      <c r="F134" s="732">
        <f>[13]Employment!B150</f>
        <v>5583.5075999999999</v>
      </c>
      <c r="G134" s="645">
        <f t="shared" si="16"/>
        <v>31</v>
      </c>
      <c r="H134" s="676">
        <f t="shared" si="21"/>
        <v>0.66666666666666663</v>
      </c>
      <c r="I134" s="645">
        <f>'CDM Data'!C111</f>
        <v>417367.7816498194</v>
      </c>
      <c r="J134" s="645">
        <f>16*'Peak hours'!D193</f>
        <v>320</v>
      </c>
      <c r="K134" s="655">
        <f>I236</f>
        <v>30550.616666666669</v>
      </c>
      <c r="L134" s="641"/>
      <c r="M134" s="672"/>
      <c r="N134" s="672"/>
      <c r="O134" s="647">
        <f t="shared" si="20"/>
        <v>23213941.161352176</v>
      </c>
      <c r="P134" s="673"/>
      <c r="Q134" s="673"/>
      <c r="S134" s="667"/>
    </row>
    <row r="135" spans="1:19" x14ac:dyDescent="0.2">
      <c r="A135" s="293">
        <f t="shared" ref="A135:A146" si="22">YEAR(B135)</f>
        <v>2014</v>
      </c>
      <c r="B135" s="626">
        <v>41640</v>
      </c>
      <c r="C135" s="645"/>
      <c r="D135" s="669">
        <f>'HDD and CDD data'!W6</f>
        <v>785.08999999999992</v>
      </c>
      <c r="E135" s="669">
        <f>'HDD and CDD data'!W21</f>
        <v>0</v>
      </c>
      <c r="F135" s="732">
        <f>[13]Employment!B151</f>
        <v>5517.9105695999997</v>
      </c>
      <c r="G135" s="645">
        <f t="shared" ref="G135:G146" si="23">DAY(EOMONTH(B135,0))</f>
        <v>31</v>
      </c>
      <c r="H135" s="676">
        <f t="shared" si="21"/>
        <v>0</v>
      </c>
      <c r="I135" s="645">
        <f>'CDM Data'!C112</f>
        <v>402309.87347405573</v>
      </c>
      <c r="J135" s="645">
        <f>16*'Peak hours'!D194</f>
        <v>352</v>
      </c>
      <c r="K135" s="647">
        <f t="shared" ref="K135:K145" si="24">($K$146-$K$134)/12+K134</f>
        <v>30596.983333333334</v>
      </c>
      <c r="L135" s="641"/>
      <c r="M135" s="672"/>
      <c r="N135" s="672"/>
      <c r="O135" s="647">
        <f t="shared" si="20"/>
        <v>24442734.825385824</v>
      </c>
      <c r="P135" s="673"/>
      <c r="Q135" s="673"/>
      <c r="S135" s="667"/>
    </row>
    <row r="136" spans="1:19" x14ac:dyDescent="0.2">
      <c r="A136" s="293">
        <f t="shared" si="22"/>
        <v>2014</v>
      </c>
      <c r="B136" s="626">
        <v>41671</v>
      </c>
      <c r="C136" s="645"/>
      <c r="D136" s="669">
        <f>'HDD and CDD data'!W7</f>
        <v>704.81999999999994</v>
      </c>
      <c r="E136" s="669">
        <f>'HDD and CDD data'!W22</f>
        <v>0</v>
      </c>
      <c r="F136" s="732">
        <f>[13]Employment!B152</f>
        <v>5471.6303928000007</v>
      </c>
      <c r="G136" s="645">
        <f t="shared" si="23"/>
        <v>28</v>
      </c>
      <c r="H136" s="676">
        <f t="shared" si="21"/>
        <v>0</v>
      </c>
      <c r="I136" s="645">
        <f>'CDM Data'!C113</f>
        <v>402309.87347405573</v>
      </c>
      <c r="J136" s="645">
        <f>16*'Peak hours'!D195</f>
        <v>304</v>
      </c>
      <c r="K136" s="647">
        <f t="shared" si="24"/>
        <v>30643.35</v>
      </c>
      <c r="L136" s="641"/>
      <c r="M136" s="672"/>
      <c r="N136" s="672"/>
      <c r="O136" s="647">
        <f t="shared" si="20"/>
        <v>22148525.823543195</v>
      </c>
      <c r="P136" s="673"/>
      <c r="Q136" s="673"/>
      <c r="S136" s="667"/>
    </row>
    <row r="137" spans="1:19" x14ac:dyDescent="0.2">
      <c r="A137" s="293">
        <f t="shared" si="22"/>
        <v>2014</v>
      </c>
      <c r="B137" s="626">
        <v>41699</v>
      </c>
      <c r="C137" s="645"/>
      <c r="D137" s="669">
        <f>'HDD and CDD data'!W8</f>
        <v>593.83000000000004</v>
      </c>
      <c r="E137" s="669">
        <f>'HDD and CDD data'!W23</f>
        <v>0</v>
      </c>
      <c r="F137" s="732">
        <f>[13]Employment!B153</f>
        <v>5452.9541351999997</v>
      </c>
      <c r="G137" s="645">
        <f t="shared" si="23"/>
        <v>31</v>
      </c>
      <c r="H137" s="676">
        <f t="shared" si="21"/>
        <v>0.33333333333333331</v>
      </c>
      <c r="I137" s="645">
        <f>'CDM Data'!C114</f>
        <v>402309.87347405573</v>
      </c>
      <c r="J137" s="645">
        <f>16*'Peak hours'!D196</f>
        <v>336</v>
      </c>
      <c r="K137" s="647">
        <f t="shared" si="24"/>
        <v>30689.716666666664</v>
      </c>
      <c r="L137" s="641"/>
      <c r="M137" s="672"/>
      <c r="N137" s="672"/>
      <c r="O137" s="647">
        <f t="shared" si="20"/>
        <v>22761894.910211626</v>
      </c>
      <c r="P137" s="641"/>
      <c r="S137" s="667"/>
    </row>
    <row r="138" spans="1:19" x14ac:dyDescent="0.2">
      <c r="A138" s="293">
        <f t="shared" si="22"/>
        <v>2014</v>
      </c>
      <c r="B138" s="626">
        <v>41730</v>
      </c>
      <c r="C138" s="645"/>
      <c r="D138" s="669">
        <f>'HDD and CDD data'!W9</f>
        <v>372.76933672657191</v>
      </c>
      <c r="E138" s="669">
        <f>'HDD and CDD data'!W24</f>
        <v>0.15</v>
      </c>
      <c r="F138" s="732">
        <f>[13]Employment!B154</f>
        <v>5501.6971151999996</v>
      </c>
      <c r="G138" s="645">
        <f t="shared" si="23"/>
        <v>30</v>
      </c>
      <c r="H138" s="676">
        <f t="shared" si="21"/>
        <v>1</v>
      </c>
      <c r="I138" s="645">
        <f>'CDM Data'!C115</f>
        <v>402309.87347405573</v>
      </c>
      <c r="J138" s="645">
        <f>16*'Peak hours'!D197</f>
        <v>336</v>
      </c>
      <c r="K138" s="647">
        <f t="shared" si="24"/>
        <v>30736.083333333328</v>
      </c>
      <c r="L138" s="641"/>
      <c r="M138" s="672"/>
      <c r="N138" s="672"/>
      <c r="O138" s="647">
        <f t="shared" si="20"/>
        <v>20861785.307502173</v>
      </c>
      <c r="P138" s="641"/>
      <c r="S138" s="667"/>
    </row>
    <row r="139" spans="1:19" x14ac:dyDescent="0.2">
      <c r="A139" s="293">
        <f t="shared" si="22"/>
        <v>2014</v>
      </c>
      <c r="B139" s="626">
        <v>41760</v>
      </c>
      <c r="C139" s="645"/>
      <c r="D139" s="669">
        <f>'HDD and CDD data'!W10</f>
        <v>200.04999999999998</v>
      </c>
      <c r="E139" s="669">
        <f>'HDD and CDD data'!W25</f>
        <v>6.95</v>
      </c>
      <c r="F139" s="732">
        <f>[13]Employment!B155</f>
        <v>5583.3800880000008</v>
      </c>
      <c r="G139" s="645">
        <f t="shared" si="23"/>
        <v>31</v>
      </c>
      <c r="H139" s="676">
        <f t="shared" si="21"/>
        <v>1</v>
      </c>
      <c r="I139" s="645">
        <f>'CDM Data'!C116</f>
        <v>402309.87347405573</v>
      </c>
      <c r="J139" s="645">
        <f>16*'Peak hours'!D198</f>
        <v>336</v>
      </c>
      <c r="K139" s="647">
        <f t="shared" si="24"/>
        <v>30782.449999999993</v>
      </c>
      <c r="L139" s="641"/>
      <c r="M139" s="672"/>
      <c r="N139" s="672"/>
      <c r="O139" s="647">
        <f t="shared" si="20"/>
        <v>20649279.52661445</v>
      </c>
      <c r="P139" s="641"/>
      <c r="S139" s="667"/>
    </row>
    <row r="140" spans="1:19" x14ac:dyDescent="0.2">
      <c r="A140" s="293">
        <f t="shared" si="22"/>
        <v>2014</v>
      </c>
      <c r="B140" s="626">
        <v>41791</v>
      </c>
      <c r="C140" s="645"/>
      <c r="D140" s="669">
        <f>'HDD and CDD data'!W11</f>
        <v>57.379999999999995</v>
      </c>
      <c r="E140" s="669">
        <f>'HDD and CDD data'!W26</f>
        <v>37.86</v>
      </c>
      <c r="F140" s="732">
        <f>[13]Employment!B156</f>
        <v>5681.379132</v>
      </c>
      <c r="G140" s="645">
        <f t="shared" si="23"/>
        <v>30</v>
      </c>
      <c r="H140" s="676">
        <f t="shared" si="21"/>
        <v>0.66666666666666663</v>
      </c>
      <c r="I140" s="645">
        <f>'CDM Data'!C117</f>
        <v>402309.87347405573</v>
      </c>
      <c r="J140" s="645">
        <f>16*'Peak hours'!D199</f>
        <v>336</v>
      </c>
      <c r="K140" s="647">
        <f t="shared" si="24"/>
        <v>30828.816666666658</v>
      </c>
      <c r="L140" s="641"/>
      <c r="M140" s="672"/>
      <c r="N140" s="672"/>
      <c r="O140" s="647">
        <f t="shared" si="20"/>
        <v>20932739.602234002</v>
      </c>
      <c r="P140" s="641"/>
      <c r="S140" s="667"/>
    </row>
    <row r="141" spans="1:19" x14ac:dyDescent="0.2">
      <c r="A141" s="293">
        <f t="shared" si="22"/>
        <v>2014</v>
      </c>
      <c r="B141" s="626">
        <v>41821</v>
      </c>
      <c r="C141" s="645"/>
      <c r="D141" s="669">
        <f>'HDD and CDD data'!W12</f>
        <v>15.209999999999997</v>
      </c>
      <c r="E141" s="669">
        <f>'HDD and CDD data'!W27</f>
        <v>73.77</v>
      </c>
      <c r="F141" s="732">
        <f>[13]Employment!B157</f>
        <v>5763.2673384</v>
      </c>
      <c r="G141" s="645">
        <f t="shared" si="23"/>
        <v>31</v>
      </c>
      <c r="H141" s="676">
        <f t="shared" si="21"/>
        <v>0</v>
      </c>
      <c r="I141" s="645">
        <f>'CDM Data'!C118</f>
        <v>402309.87347405573</v>
      </c>
      <c r="J141" s="645">
        <f>16*'Peak hours'!D200</f>
        <v>352</v>
      </c>
      <c r="K141" s="647">
        <f t="shared" si="24"/>
        <v>30875.183333333323</v>
      </c>
      <c r="L141" s="641"/>
      <c r="M141" s="672"/>
      <c r="N141" s="672"/>
      <c r="O141" s="647">
        <f t="shared" si="20"/>
        <v>23060676.206247523</v>
      </c>
      <c r="P141" s="641"/>
      <c r="S141" s="667"/>
    </row>
    <row r="142" spans="1:19" x14ac:dyDescent="0.2">
      <c r="A142" s="293">
        <f t="shared" si="22"/>
        <v>2014</v>
      </c>
      <c r="B142" s="626">
        <v>41852</v>
      </c>
      <c r="C142" s="645"/>
      <c r="D142" s="669">
        <f>'HDD and CDD data'!W13</f>
        <v>26.160000000000004</v>
      </c>
      <c r="E142" s="669">
        <f>'HDD and CDD data'!W28</f>
        <v>52.089999999999996</v>
      </c>
      <c r="F142" s="732">
        <f>[13]Employment!B158</f>
        <v>5816.0123735999996</v>
      </c>
      <c r="G142" s="645">
        <f t="shared" si="23"/>
        <v>31</v>
      </c>
      <c r="H142" s="676">
        <f t="shared" si="21"/>
        <v>0</v>
      </c>
      <c r="I142" s="645">
        <f>'CDM Data'!C119</f>
        <v>402309.87347405573</v>
      </c>
      <c r="J142" s="645">
        <f>16*'Peak hours'!D201</f>
        <v>320</v>
      </c>
      <c r="K142" s="647">
        <f t="shared" si="24"/>
        <v>30921.549999999988</v>
      </c>
      <c r="L142" s="641"/>
      <c r="M142" s="672"/>
      <c r="N142" s="672"/>
      <c r="O142" s="647">
        <f t="shared" si="20"/>
        <v>22127458.549051069</v>
      </c>
      <c r="P142" s="641"/>
      <c r="S142" s="667"/>
    </row>
    <row r="143" spans="1:19" x14ac:dyDescent="0.2">
      <c r="A143" s="293">
        <f t="shared" si="22"/>
        <v>2014</v>
      </c>
      <c r="B143" s="626">
        <v>41883</v>
      </c>
      <c r="C143" s="645"/>
      <c r="D143" s="669">
        <f>'HDD and CDD data'!W14</f>
        <v>109.8</v>
      </c>
      <c r="E143" s="669">
        <f>'HDD and CDD data'!W29</f>
        <v>11.76</v>
      </c>
      <c r="F143" s="732">
        <f>[13]Employment!B159</f>
        <v>5777.0179896</v>
      </c>
      <c r="G143" s="645">
        <f t="shared" si="23"/>
        <v>30</v>
      </c>
      <c r="H143" s="676">
        <f t="shared" si="21"/>
        <v>0.33333333333333331</v>
      </c>
      <c r="I143" s="645">
        <f>'CDM Data'!C120</f>
        <v>402309.87347405573</v>
      </c>
      <c r="J143" s="645">
        <f>16*'Peak hours'!D202</f>
        <v>336</v>
      </c>
      <c r="K143" s="647">
        <f t="shared" si="24"/>
        <v>30967.916666666653</v>
      </c>
      <c r="L143" s="641"/>
      <c r="M143" s="672"/>
      <c r="N143" s="672"/>
      <c r="O143" s="647">
        <f t="shared" si="20"/>
        <v>20709551.002932142</v>
      </c>
      <c r="P143" s="641"/>
      <c r="S143" s="667"/>
    </row>
    <row r="144" spans="1:19" x14ac:dyDescent="0.2">
      <c r="A144" s="293">
        <f t="shared" si="22"/>
        <v>2014</v>
      </c>
      <c r="B144" s="626">
        <v>41913</v>
      </c>
      <c r="C144" s="645"/>
      <c r="D144" s="669">
        <f>'HDD and CDD data'!W15</f>
        <v>302.72000000000003</v>
      </c>
      <c r="E144" s="669">
        <f>'HDD and CDD data'!W30</f>
        <v>1.36</v>
      </c>
      <c r="F144" s="732">
        <f>[13]Employment!B160</f>
        <v>5730.3273455999997</v>
      </c>
      <c r="G144" s="645">
        <f t="shared" si="23"/>
        <v>31</v>
      </c>
      <c r="H144" s="676">
        <f t="shared" si="21"/>
        <v>1</v>
      </c>
      <c r="I144" s="645">
        <f>'CDM Data'!C121</f>
        <v>402309.87347405573</v>
      </c>
      <c r="J144" s="645">
        <f>16*'Peak hours'!D203</f>
        <v>352</v>
      </c>
      <c r="K144" s="647">
        <f t="shared" si="24"/>
        <v>31014.283333333318</v>
      </c>
      <c r="L144" s="641"/>
      <c r="M144" s="672"/>
      <c r="N144" s="672"/>
      <c r="O144" s="647">
        <f t="shared" si="20"/>
        <v>21656597.60367953</v>
      </c>
      <c r="P144" s="641"/>
      <c r="S144" s="667"/>
    </row>
    <row r="145" spans="1:19" x14ac:dyDescent="0.2">
      <c r="A145" s="293">
        <f t="shared" si="22"/>
        <v>2014</v>
      </c>
      <c r="B145" s="626">
        <v>41944</v>
      </c>
      <c r="C145" s="645"/>
      <c r="D145" s="669">
        <f>'HDD and CDD data'!W16</f>
        <v>456.38000000000011</v>
      </c>
      <c r="E145" s="669">
        <f>'HDD and CDD data'!W31</f>
        <v>0</v>
      </c>
      <c r="F145" s="732">
        <f>[13]Employment!B161</f>
        <v>5671.6305359999997</v>
      </c>
      <c r="G145" s="645">
        <f t="shared" si="23"/>
        <v>30</v>
      </c>
      <c r="H145" s="676">
        <f t="shared" si="21"/>
        <v>1</v>
      </c>
      <c r="I145" s="645">
        <f>'CDM Data'!C122</f>
        <v>402309.87347405573</v>
      </c>
      <c r="J145" s="645">
        <f>16*'Peak hours'!D204</f>
        <v>320</v>
      </c>
      <c r="K145" s="647">
        <f t="shared" si="24"/>
        <v>31060.649999999983</v>
      </c>
      <c r="L145" s="641"/>
      <c r="M145" s="672"/>
      <c r="N145" s="672"/>
      <c r="O145" s="647">
        <f t="shared" si="20"/>
        <v>21661480.381386247</v>
      </c>
      <c r="P145" s="641"/>
      <c r="S145" s="667"/>
    </row>
    <row r="146" spans="1:19" x14ac:dyDescent="0.2">
      <c r="A146" s="293">
        <f t="shared" si="22"/>
        <v>2014</v>
      </c>
      <c r="B146" s="626">
        <v>41974</v>
      </c>
      <c r="C146" s="645"/>
      <c r="D146" s="669">
        <f>'HDD and CDD data'!W17</f>
        <v>665.55</v>
      </c>
      <c r="E146" s="669">
        <f>'HDD and CDD data'!W32</f>
        <v>0</v>
      </c>
      <c r="F146" s="732">
        <f>[13]Employment!B162</f>
        <v>5661.6767063999996</v>
      </c>
      <c r="G146" s="645">
        <f t="shared" si="23"/>
        <v>31</v>
      </c>
      <c r="H146" s="676">
        <f t="shared" si="21"/>
        <v>0.66666666666666663</v>
      </c>
      <c r="I146" s="645">
        <f>'CDM Data'!C123</f>
        <v>402309.87347405573</v>
      </c>
      <c r="J146" s="645">
        <f>16*'Peak hours'!D205</f>
        <v>336</v>
      </c>
      <c r="K146" s="655">
        <f>I237</f>
        <v>31107.016666666666</v>
      </c>
      <c r="L146" s="641"/>
      <c r="M146" s="672"/>
      <c r="N146" s="672"/>
      <c r="O146" s="647">
        <f t="shared" si="20"/>
        <v>23629298.21658979</v>
      </c>
      <c r="P146" s="641"/>
    </row>
    <row r="147" spans="1:19" x14ac:dyDescent="0.2">
      <c r="B147" s="674"/>
      <c r="C147" s="645"/>
      <c r="D147" s="669"/>
      <c r="E147" s="669"/>
      <c r="F147" s="675"/>
      <c r="G147" s="645"/>
      <c r="H147" s="676"/>
      <c r="I147" s="645"/>
      <c r="J147" s="645"/>
      <c r="K147" s="677"/>
      <c r="L147" s="641"/>
      <c r="M147" s="672"/>
      <c r="N147" s="672"/>
      <c r="O147" s="641"/>
      <c r="P147" s="641"/>
    </row>
    <row r="148" spans="1:19" x14ac:dyDescent="0.2">
      <c r="B148" s="674" t="s">
        <v>9</v>
      </c>
      <c r="C148" s="641">
        <f>SUM(C3:C146)</f>
        <v>2586441367.977653</v>
      </c>
      <c r="D148" s="669"/>
      <c r="E148" s="669"/>
      <c r="G148" s="645"/>
      <c r="H148" s="676"/>
      <c r="I148" s="645"/>
      <c r="J148" s="645"/>
      <c r="K148" s="677"/>
      <c r="L148" s="641"/>
      <c r="M148" s="672"/>
      <c r="N148" s="672"/>
      <c r="O148" s="641">
        <f>SUM(O3:O146)</f>
        <v>3112813508.1369967</v>
      </c>
      <c r="P148" s="641"/>
    </row>
    <row r="149" spans="1:19" x14ac:dyDescent="0.2">
      <c r="B149" s="674"/>
      <c r="D149" s="678" t="s">
        <v>66</v>
      </c>
      <c r="K149" s="641"/>
      <c r="L149" s="641"/>
      <c r="M149" s="641"/>
      <c r="N149" s="641"/>
    </row>
    <row r="150" spans="1:19" x14ac:dyDescent="0.2">
      <c r="B150" s="674"/>
      <c r="C150" s="679" t="s">
        <v>232</v>
      </c>
      <c r="D150" s="680" t="s">
        <v>231</v>
      </c>
    </row>
    <row r="151" spans="1:19" x14ac:dyDescent="0.2">
      <c r="B151" s="681">
        <v>2003</v>
      </c>
      <c r="C151" s="682">
        <f t="shared" ref="C151:C162" si="25">SUMIF($A$3:$A$146,B151,$C$3:$C$146)</f>
        <v>249923540.34199998</v>
      </c>
      <c r="D151" s="432">
        <f t="shared" ref="D151:D162" si="26">COUNTIF($A$3:$A$146,B151)</f>
        <v>12</v>
      </c>
      <c r="O151" s="682">
        <f t="shared" ref="O151:O162" si="27">SUMIF($A$3:$A$146,$B151,$O$3:$O$146)</f>
        <v>254228729.31072789</v>
      </c>
      <c r="P151" s="683">
        <f t="shared" ref="P151:P160" si="28">O151-C151</f>
        <v>4305188.9687279165</v>
      </c>
      <c r="Q151" s="684">
        <f t="shared" ref="Q151:Q160" si="29">P151/C151</f>
        <v>1.722602425860572E-2</v>
      </c>
    </row>
    <row r="152" spans="1:19" x14ac:dyDescent="0.2">
      <c r="B152" s="293">
        <v>2004</v>
      </c>
      <c r="C152" s="682">
        <f t="shared" si="25"/>
        <v>252917856.45759997</v>
      </c>
      <c r="D152" s="432">
        <f t="shared" si="26"/>
        <v>12</v>
      </c>
      <c r="O152" s="682">
        <f t="shared" si="27"/>
        <v>256224434.65078807</v>
      </c>
      <c r="P152" s="683">
        <f t="shared" si="28"/>
        <v>3306578.1931881011</v>
      </c>
      <c r="Q152" s="684">
        <f t="shared" si="29"/>
        <v>1.3073723775380911E-2</v>
      </c>
    </row>
    <row r="153" spans="1:19" x14ac:dyDescent="0.2">
      <c r="B153" s="681">
        <v>2005</v>
      </c>
      <c r="C153" s="682">
        <f t="shared" si="25"/>
        <v>261520104.69972003</v>
      </c>
      <c r="D153" s="432">
        <f t="shared" si="26"/>
        <v>12</v>
      </c>
      <c r="O153" s="682">
        <f t="shared" si="27"/>
        <v>262711306.3845306</v>
      </c>
      <c r="P153" s="683">
        <f t="shared" si="28"/>
        <v>1191201.6848105788</v>
      </c>
      <c r="Q153" s="684">
        <f t="shared" si="29"/>
        <v>4.5549143771501941E-3</v>
      </c>
    </row>
    <row r="154" spans="1:19" x14ac:dyDescent="0.2">
      <c r="B154" s="293">
        <v>2006</v>
      </c>
      <c r="C154" s="682">
        <f t="shared" si="25"/>
        <v>263090888.40446001</v>
      </c>
      <c r="D154" s="432">
        <f t="shared" si="26"/>
        <v>12</v>
      </c>
      <c r="O154" s="682">
        <f t="shared" si="27"/>
        <v>258920895.58458561</v>
      </c>
      <c r="P154" s="683">
        <f t="shared" si="28"/>
        <v>-4169992.8198744059</v>
      </c>
      <c r="Q154" s="684">
        <f t="shared" si="29"/>
        <v>-1.5850008509088735E-2</v>
      </c>
    </row>
    <row r="155" spans="1:19" x14ac:dyDescent="0.2">
      <c r="B155" s="681">
        <v>2007</v>
      </c>
      <c r="C155" s="682">
        <f t="shared" si="25"/>
        <v>268617930.86324</v>
      </c>
      <c r="D155" s="432">
        <f t="shared" si="26"/>
        <v>12</v>
      </c>
      <c r="O155" s="682">
        <f t="shared" si="27"/>
        <v>262643290.11945468</v>
      </c>
      <c r="P155" s="683">
        <f t="shared" si="28"/>
        <v>-5974640.7437853217</v>
      </c>
      <c r="Q155" s="684">
        <f t="shared" si="29"/>
        <v>-2.2242151611342575E-2</v>
      </c>
    </row>
    <row r="156" spans="1:19" x14ac:dyDescent="0.2">
      <c r="B156" s="293">
        <v>2008</v>
      </c>
      <c r="C156" s="682">
        <f t="shared" si="25"/>
        <v>261643455.43000001</v>
      </c>
      <c r="D156" s="432">
        <f t="shared" si="26"/>
        <v>12</v>
      </c>
      <c r="O156" s="682">
        <f t="shared" si="27"/>
        <v>262680307.28775746</v>
      </c>
      <c r="P156" s="683">
        <f t="shared" si="28"/>
        <v>1036851.8577574492</v>
      </c>
      <c r="Q156" s="684">
        <f t="shared" si="29"/>
        <v>3.9628427015436975E-3</v>
      </c>
    </row>
    <row r="157" spans="1:19" x14ac:dyDescent="0.2">
      <c r="B157" s="681">
        <v>2009</v>
      </c>
      <c r="C157" s="682">
        <f t="shared" si="25"/>
        <v>254488952.53999999</v>
      </c>
      <c r="D157" s="432">
        <f t="shared" si="26"/>
        <v>12</v>
      </c>
      <c r="O157" s="682">
        <f t="shared" si="27"/>
        <v>252840613.46198899</v>
      </c>
      <c r="P157" s="683">
        <f t="shared" si="28"/>
        <v>-1648339.0780110061</v>
      </c>
      <c r="Q157" s="684">
        <f t="shared" si="29"/>
        <v>-6.4770555325065595E-3</v>
      </c>
    </row>
    <row r="158" spans="1:19" x14ac:dyDescent="0.2">
      <c r="B158" s="293">
        <v>2010</v>
      </c>
      <c r="C158" s="682">
        <f t="shared" si="25"/>
        <v>261176261.29999998</v>
      </c>
      <c r="D158" s="432">
        <f t="shared" si="26"/>
        <v>12</v>
      </c>
      <c r="O158" s="682">
        <f t="shared" si="27"/>
        <v>257813626.74921685</v>
      </c>
      <c r="P158" s="683">
        <f t="shared" si="28"/>
        <v>-3362634.5507831275</v>
      </c>
      <c r="Q158" s="684">
        <f t="shared" si="29"/>
        <v>-1.2874962425932879E-2</v>
      </c>
    </row>
    <row r="159" spans="1:19" x14ac:dyDescent="0.2">
      <c r="B159" s="293">
        <v>2011</v>
      </c>
      <c r="C159" s="682">
        <f t="shared" si="25"/>
        <v>257783039.52000001</v>
      </c>
      <c r="D159" s="432">
        <f t="shared" si="26"/>
        <v>12</v>
      </c>
      <c r="O159" s="682">
        <f t="shared" si="27"/>
        <v>259501516.17453444</v>
      </c>
      <c r="P159" s="683">
        <f t="shared" si="28"/>
        <v>1718476.6545344293</v>
      </c>
      <c r="Q159" s="684">
        <f t="shared" si="29"/>
        <v>6.6663681898323718E-3</v>
      </c>
    </row>
    <row r="160" spans="1:19" x14ac:dyDescent="0.2">
      <c r="B160" s="293">
        <v>2012</v>
      </c>
      <c r="C160" s="682">
        <f t="shared" si="25"/>
        <v>255279338.42063153</v>
      </c>
      <c r="D160" s="432">
        <f t="shared" si="26"/>
        <v>12</v>
      </c>
      <c r="O160" s="682">
        <f t="shared" si="27"/>
        <v>258825832.80264035</v>
      </c>
      <c r="P160" s="683">
        <f t="shared" si="28"/>
        <v>3546494.3820088208</v>
      </c>
      <c r="Q160" s="684">
        <f t="shared" si="29"/>
        <v>1.3892602526903898E-2</v>
      </c>
    </row>
    <row r="161" spans="1:17" x14ac:dyDescent="0.2">
      <c r="B161" s="293">
        <v>2013</v>
      </c>
      <c r="C161" s="682">
        <f t="shared" si="25"/>
        <v>0</v>
      </c>
      <c r="D161" s="432">
        <f t="shared" si="26"/>
        <v>12</v>
      </c>
      <c r="O161" s="685">
        <f>SUMIF($A$3:$A$146,$B161,$O$3:$O$146)</f>
        <v>261780933.65539229</v>
      </c>
      <c r="P161" s="683"/>
      <c r="Q161" s="684"/>
    </row>
    <row r="162" spans="1:17" x14ac:dyDescent="0.2">
      <c r="B162" s="681">
        <v>2014</v>
      </c>
      <c r="C162" s="682">
        <f t="shared" si="25"/>
        <v>0</v>
      </c>
      <c r="D162" s="432">
        <f t="shared" si="26"/>
        <v>12</v>
      </c>
      <c r="O162" s="685">
        <f t="shared" si="27"/>
        <v>264642021.95537755</v>
      </c>
    </row>
    <row r="163" spans="1:17" x14ac:dyDescent="0.2">
      <c r="O163" s="443"/>
      <c r="P163" s="683">
        <f>SUM(P151:P160)</f>
        <v>-50815.451426565647</v>
      </c>
    </row>
    <row r="164" spans="1:17" x14ac:dyDescent="0.2">
      <c r="A164" s="686" t="s">
        <v>233</v>
      </c>
      <c r="B164" s="687">
        <f>B160</f>
        <v>2012</v>
      </c>
      <c r="C164" s="443">
        <f>SUM(C151:C160)</f>
        <v>2586441367.9776516</v>
      </c>
      <c r="O164" s="443">
        <f>SUM(O151:O160)</f>
        <v>2586390552.5262246</v>
      </c>
      <c r="P164" s="443">
        <f>O164-C164</f>
        <v>-50815.45142698288</v>
      </c>
    </row>
    <row r="166" spans="1:17" x14ac:dyDescent="0.2">
      <c r="O166" s="443">
        <f>SUM(O151:O162)</f>
        <v>3112813508.1369944</v>
      </c>
      <c r="P166" s="641">
        <f>O148-O166</f>
        <v>0</v>
      </c>
    </row>
    <row r="167" spans="1:17" x14ac:dyDescent="0.2">
      <c r="O167" s="688"/>
      <c r="P167" s="688" t="s">
        <v>63</v>
      </c>
      <c r="Q167" s="688"/>
    </row>
    <row r="169" spans="1:17" x14ac:dyDescent="0.2">
      <c r="C169" s="679" t="s">
        <v>159</v>
      </c>
    </row>
    <row r="170" spans="1:17" x14ac:dyDescent="0.2">
      <c r="C170" s="679" t="s">
        <v>342</v>
      </c>
    </row>
    <row r="171" spans="1:17" x14ac:dyDescent="0.2">
      <c r="C171" s="689">
        <v>41640</v>
      </c>
      <c r="D171" s="669">
        <f>'HDD and CDD data'!Y6</f>
        <v>785.08999999999992</v>
      </c>
      <c r="E171" s="669">
        <f>'HDD and CDD data'!W21</f>
        <v>0</v>
      </c>
      <c r="F171" s="675">
        <f t="shared" ref="F171:K182" si="30">F135</f>
        <v>5517.9105695999997</v>
      </c>
      <c r="G171" s="641">
        <f t="shared" si="30"/>
        <v>31</v>
      </c>
      <c r="H171" s="641">
        <f t="shared" si="30"/>
        <v>0</v>
      </c>
      <c r="I171" s="641">
        <f t="shared" si="30"/>
        <v>402309.87347405573</v>
      </c>
      <c r="J171" s="641">
        <f t="shared" si="30"/>
        <v>352</v>
      </c>
      <c r="K171" s="641">
        <f t="shared" si="30"/>
        <v>30596.983333333334</v>
      </c>
      <c r="L171" s="641"/>
      <c r="M171" s="641"/>
      <c r="N171" s="641"/>
      <c r="O171" s="670">
        <f t="shared" ref="O171:O182" si="31">$S$18+D171*$S$19+E171*$S$20+F171*$S$21+G171*$S$22+H171*$S$23+I171*$S$24+J171*$S$25+K171*$S$27</f>
        <v>24442734.825385824</v>
      </c>
    </row>
    <row r="172" spans="1:17" x14ac:dyDescent="0.2">
      <c r="C172" s="689">
        <v>41671</v>
      </c>
      <c r="D172" s="669">
        <f>'HDD and CDD data'!Y7</f>
        <v>704.81999999999994</v>
      </c>
      <c r="E172" s="669">
        <f>'HDD and CDD data'!W22</f>
        <v>0</v>
      </c>
      <c r="F172" s="675">
        <f t="shared" si="30"/>
        <v>5471.6303928000007</v>
      </c>
      <c r="G172" s="641">
        <f t="shared" si="30"/>
        <v>28</v>
      </c>
      <c r="H172" s="641">
        <f t="shared" si="30"/>
        <v>0</v>
      </c>
      <c r="I172" s="641">
        <f t="shared" si="30"/>
        <v>402309.87347405573</v>
      </c>
      <c r="J172" s="641">
        <f t="shared" si="30"/>
        <v>304</v>
      </c>
      <c r="K172" s="641">
        <f t="shared" si="30"/>
        <v>30643.35</v>
      </c>
      <c r="L172" s="641"/>
      <c r="M172" s="641"/>
      <c r="N172" s="641"/>
      <c r="O172" s="670">
        <f t="shared" si="31"/>
        <v>22148525.823543195</v>
      </c>
    </row>
    <row r="173" spans="1:17" x14ac:dyDescent="0.2">
      <c r="C173" s="689">
        <v>41699</v>
      </c>
      <c r="D173" s="669">
        <f>'HDD and CDD data'!Y8</f>
        <v>593.83000000000004</v>
      </c>
      <c r="E173" s="669">
        <f>'HDD and CDD data'!W23</f>
        <v>0</v>
      </c>
      <c r="F173" s="675">
        <f t="shared" si="30"/>
        <v>5452.9541351999997</v>
      </c>
      <c r="G173" s="641">
        <f t="shared" si="30"/>
        <v>31</v>
      </c>
      <c r="H173" s="641">
        <f t="shared" si="30"/>
        <v>0.33333333333333331</v>
      </c>
      <c r="I173" s="641">
        <f t="shared" si="30"/>
        <v>402309.87347405573</v>
      </c>
      <c r="J173" s="641">
        <f t="shared" si="30"/>
        <v>336</v>
      </c>
      <c r="K173" s="641">
        <f t="shared" si="30"/>
        <v>30689.716666666664</v>
      </c>
      <c r="L173" s="641"/>
      <c r="M173" s="641"/>
      <c r="N173" s="641"/>
      <c r="O173" s="670">
        <f t="shared" si="31"/>
        <v>22761894.910211626</v>
      </c>
    </row>
    <row r="174" spans="1:17" x14ac:dyDescent="0.2">
      <c r="C174" s="689">
        <v>41730</v>
      </c>
      <c r="D174" s="669">
        <f>'HDD and CDD data'!Y9</f>
        <v>372.76933672657191</v>
      </c>
      <c r="E174" s="669">
        <f>'HDD and CDD data'!W24</f>
        <v>0.15</v>
      </c>
      <c r="F174" s="675">
        <f t="shared" si="30"/>
        <v>5501.6971151999996</v>
      </c>
      <c r="G174" s="641">
        <f t="shared" si="30"/>
        <v>30</v>
      </c>
      <c r="H174" s="641">
        <f t="shared" si="30"/>
        <v>1</v>
      </c>
      <c r="I174" s="641">
        <f t="shared" si="30"/>
        <v>402309.87347405573</v>
      </c>
      <c r="J174" s="641">
        <f t="shared" si="30"/>
        <v>336</v>
      </c>
      <c r="K174" s="641">
        <f t="shared" si="30"/>
        <v>30736.083333333328</v>
      </c>
      <c r="L174" s="641"/>
      <c r="M174" s="641"/>
      <c r="N174" s="641"/>
      <c r="O174" s="670">
        <f t="shared" si="31"/>
        <v>20861785.307502173</v>
      </c>
    </row>
    <row r="175" spans="1:17" x14ac:dyDescent="0.2">
      <c r="C175" s="689">
        <v>41760</v>
      </c>
      <c r="D175" s="669">
        <f>'HDD and CDD data'!Y10</f>
        <v>200.04999999999998</v>
      </c>
      <c r="E175" s="669">
        <f>'HDD and CDD data'!W25</f>
        <v>6.95</v>
      </c>
      <c r="F175" s="675">
        <f t="shared" si="30"/>
        <v>5583.3800880000008</v>
      </c>
      <c r="G175" s="641">
        <f t="shared" si="30"/>
        <v>31</v>
      </c>
      <c r="H175" s="641">
        <f t="shared" si="30"/>
        <v>1</v>
      </c>
      <c r="I175" s="641">
        <f t="shared" si="30"/>
        <v>402309.87347405573</v>
      </c>
      <c r="J175" s="641">
        <f t="shared" si="30"/>
        <v>336</v>
      </c>
      <c r="K175" s="641">
        <f t="shared" si="30"/>
        <v>30782.449999999993</v>
      </c>
      <c r="L175" s="641"/>
      <c r="M175" s="641"/>
      <c r="N175" s="641"/>
      <c r="O175" s="670">
        <f t="shared" si="31"/>
        <v>20649279.52661445</v>
      </c>
    </row>
    <row r="176" spans="1:17" x14ac:dyDescent="0.2">
      <c r="C176" s="689">
        <v>41791</v>
      </c>
      <c r="D176" s="669">
        <f>'HDD and CDD data'!Y11</f>
        <v>57.379999999999995</v>
      </c>
      <c r="E176" s="669">
        <f>'HDD and CDD data'!W26</f>
        <v>37.86</v>
      </c>
      <c r="F176" s="675">
        <f t="shared" si="30"/>
        <v>5681.379132</v>
      </c>
      <c r="G176" s="641">
        <f t="shared" si="30"/>
        <v>30</v>
      </c>
      <c r="H176" s="641">
        <f t="shared" si="30"/>
        <v>0.66666666666666663</v>
      </c>
      <c r="I176" s="641">
        <f t="shared" si="30"/>
        <v>402309.87347405573</v>
      </c>
      <c r="J176" s="641">
        <f t="shared" si="30"/>
        <v>336</v>
      </c>
      <c r="K176" s="641">
        <f t="shared" si="30"/>
        <v>30828.816666666658</v>
      </c>
      <c r="L176" s="641"/>
      <c r="M176" s="641"/>
      <c r="N176" s="641"/>
      <c r="O176" s="670">
        <f t="shared" si="31"/>
        <v>20932739.602234002</v>
      </c>
    </row>
    <row r="177" spans="3:16" x14ac:dyDescent="0.2">
      <c r="C177" s="689">
        <v>41821</v>
      </c>
      <c r="D177" s="669">
        <f>'HDD and CDD data'!Y12</f>
        <v>15.209999999999997</v>
      </c>
      <c r="E177" s="669">
        <f>'HDD and CDD data'!W27</f>
        <v>73.77</v>
      </c>
      <c r="F177" s="675">
        <f t="shared" si="30"/>
        <v>5763.2673384</v>
      </c>
      <c r="G177" s="641">
        <f t="shared" si="30"/>
        <v>31</v>
      </c>
      <c r="H177" s="641">
        <f t="shared" si="30"/>
        <v>0</v>
      </c>
      <c r="I177" s="641">
        <f t="shared" si="30"/>
        <v>402309.87347405573</v>
      </c>
      <c r="J177" s="641">
        <f t="shared" si="30"/>
        <v>352</v>
      </c>
      <c r="K177" s="641">
        <f t="shared" si="30"/>
        <v>30875.183333333323</v>
      </c>
      <c r="L177" s="641"/>
      <c r="M177" s="641"/>
      <c r="N177" s="641"/>
      <c r="O177" s="670">
        <f t="shared" si="31"/>
        <v>23060676.206247523</v>
      </c>
    </row>
    <row r="178" spans="3:16" x14ac:dyDescent="0.2">
      <c r="C178" s="689">
        <v>41852</v>
      </c>
      <c r="D178" s="669">
        <f>'HDD and CDD data'!Y13</f>
        <v>26.160000000000004</v>
      </c>
      <c r="E178" s="669">
        <f>'HDD and CDD data'!W28</f>
        <v>52.089999999999996</v>
      </c>
      <c r="F178" s="675">
        <f t="shared" si="30"/>
        <v>5816.0123735999996</v>
      </c>
      <c r="G178" s="641">
        <f t="shared" si="30"/>
        <v>31</v>
      </c>
      <c r="H178" s="641">
        <f t="shared" si="30"/>
        <v>0</v>
      </c>
      <c r="I178" s="641">
        <f t="shared" si="30"/>
        <v>402309.87347405573</v>
      </c>
      <c r="J178" s="641">
        <f t="shared" si="30"/>
        <v>320</v>
      </c>
      <c r="K178" s="641">
        <f t="shared" si="30"/>
        <v>30921.549999999988</v>
      </c>
      <c r="L178" s="641"/>
      <c r="M178" s="641"/>
      <c r="N178" s="641"/>
      <c r="O178" s="670">
        <f t="shared" si="31"/>
        <v>22127458.549051069</v>
      </c>
    </row>
    <row r="179" spans="3:16" x14ac:dyDescent="0.2">
      <c r="C179" s="689">
        <v>41883</v>
      </c>
      <c r="D179" s="669">
        <f>'HDD and CDD data'!Y14</f>
        <v>109.8</v>
      </c>
      <c r="E179" s="669">
        <f>'HDD and CDD data'!W29</f>
        <v>11.76</v>
      </c>
      <c r="F179" s="675">
        <f t="shared" si="30"/>
        <v>5777.0179896</v>
      </c>
      <c r="G179" s="641">
        <f t="shared" si="30"/>
        <v>30</v>
      </c>
      <c r="H179" s="641">
        <f t="shared" si="30"/>
        <v>0.33333333333333331</v>
      </c>
      <c r="I179" s="641">
        <f t="shared" si="30"/>
        <v>402309.87347405573</v>
      </c>
      <c r="J179" s="641">
        <f t="shared" si="30"/>
        <v>336</v>
      </c>
      <c r="K179" s="641">
        <f t="shared" si="30"/>
        <v>30967.916666666653</v>
      </c>
      <c r="L179" s="641"/>
      <c r="M179" s="641"/>
      <c r="N179" s="641"/>
      <c r="O179" s="670">
        <f t="shared" si="31"/>
        <v>20709551.002932142</v>
      </c>
    </row>
    <row r="180" spans="3:16" x14ac:dyDescent="0.2">
      <c r="C180" s="689">
        <v>41913</v>
      </c>
      <c r="D180" s="669">
        <f>'HDD and CDD data'!Y15</f>
        <v>302.72000000000003</v>
      </c>
      <c r="E180" s="669">
        <f>'HDD and CDD data'!W30</f>
        <v>1.36</v>
      </c>
      <c r="F180" s="675">
        <f t="shared" si="30"/>
        <v>5730.3273455999997</v>
      </c>
      <c r="G180" s="641">
        <f t="shared" si="30"/>
        <v>31</v>
      </c>
      <c r="H180" s="641">
        <f t="shared" si="30"/>
        <v>1</v>
      </c>
      <c r="I180" s="641">
        <f t="shared" si="30"/>
        <v>402309.87347405573</v>
      </c>
      <c r="J180" s="641">
        <f t="shared" si="30"/>
        <v>352</v>
      </c>
      <c r="K180" s="641">
        <f t="shared" si="30"/>
        <v>31014.283333333318</v>
      </c>
      <c r="L180" s="641"/>
      <c r="M180" s="641"/>
      <c r="N180" s="641"/>
      <c r="O180" s="670">
        <f t="shared" si="31"/>
        <v>21656597.60367953</v>
      </c>
    </row>
    <row r="181" spans="3:16" x14ac:dyDescent="0.2">
      <c r="C181" s="689">
        <v>41944</v>
      </c>
      <c r="D181" s="669">
        <f>'HDD and CDD data'!Y16</f>
        <v>456.38000000000011</v>
      </c>
      <c r="E181" s="669">
        <f>'HDD and CDD data'!W31</f>
        <v>0</v>
      </c>
      <c r="F181" s="675">
        <f t="shared" si="30"/>
        <v>5671.6305359999997</v>
      </c>
      <c r="G181" s="641">
        <f t="shared" si="30"/>
        <v>30</v>
      </c>
      <c r="H181" s="641">
        <f t="shared" si="30"/>
        <v>1</v>
      </c>
      <c r="I181" s="641">
        <f t="shared" si="30"/>
        <v>402309.87347405573</v>
      </c>
      <c r="J181" s="641">
        <f t="shared" si="30"/>
        <v>320</v>
      </c>
      <c r="K181" s="641">
        <f t="shared" si="30"/>
        <v>31060.649999999983</v>
      </c>
      <c r="L181" s="641"/>
      <c r="M181" s="641"/>
      <c r="N181" s="641"/>
      <c r="O181" s="670">
        <f t="shared" si="31"/>
        <v>21661480.381386247</v>
      </c>
    </row>
    <row r="182" spans="3:16" x14ac:dyDescent="0.2">
      <c r="C182" s="689">
        <v>41974</v>
      </c>
      <c r="D182" s="669">
        <f>'HDD and CDD data'!Y17</f>
        <v>665.55</v>
      </c>
      <c r="E182" s="669">
        <f>'HDD and CDD data'!W32</f>
        <v>0</v>
      </c>
      <c r="F182" s="675">
        <f t="shared" si="30"/>
        <v>5661.6767063999996</v>
      </c>
      <c r="G182" s="641">
        <f t="shared" si="30"/>
        <v>31</v>
      </c>
      <c r="H182" s="641">
        <f t="shared" si="30"/>
        <v>0.66666666666666663</v>
      </c>
      <c r="I182" s="641">
        <f t="shared" si="30"/>
        <v>402309.87347405573</v>
      </c>
      <c r="J182" s="641">
        <f t="shared" si="30"/>
        <v>336</v>
      </c>
      <c r="K182" s="641">
        <f t="shared" si="30"/>
        <v>31107.016666666666</v>
      </c>
      <c r="L182" s="641"/>
      <c r="M182" s="641"/>
      <c r="N182" s="641"/>
      <c r="O182" s="670">
        <f t="shared" si="31"/>
        <v>23629298.21658979</v>
      </c>
      <c r="P182" s="690">
        <f>SUM(O171:O182)</f>
        <v>264642021.95537755</v>
      </c>
    </row>
    <row r="183" spans="3:16" x14ac:dyDescent="0.2">
      <c r="G183" s="627"/>
      <c r="H183" s="627"/>
      <c r="I183" s="627"/>
      <c r="J183" s="675"/>
      <c r="K183" s="627"/>
    </row>
    <row r="185" spans="3:16" x14ac:dyDescent="0.2">
      <c r="C185" s="679" t="s">
        <v>160</v>
      </c>
    </row>
    <row r="186" spans="3:16" x14ac:dyDescent="0.2">
      <c r="C186" s="679" t="s">
        <v>342</v>
      </c>
    </row>
    <row r="187" spans="3:16" x14ac:dyDescent="0.2">
      <c r="C187" s="689">
        <v>41640</v>
      </c>
      <c r="D187" s="669">
        <f>'HDD and CDD data'!AA6</f>
        <v>756.79165413533883</v>
      </c>
      <c r="E187" s="669">
        <f>'HDD and CDD data'!AA21</f>
        <v>0</v>
      </c>
      <c r="F187" s="675">
        <f t="shared" ref="F187:K187" si="32">F171</f>
        <v>5517.9105695999997</v>
      </c>
      <c r="G187" s="641">
        <f t="shared" si="32"/>
        <v>31</v>
      </c>
      <c r="H187" s="641">
        <f t="shared" si="32"/>
        <v>0</v>
      </c>
      <c r="I187" s="641">
        <f t="shared" si="32"/>
        <v>402309.87347405573</v>
      </c>
      <c r="J187" s="641">
        <f t="shared" si="32"/>
        <v>352</v>
      </c>
      <c r="K187" s="641">
        <f t="shared" si="32"/>
        <v>30596.983333333334</v>
      </c>
      <c r="L187" s="641"/>
      <c r="M187" s="641"/>
      <c r="N187" s="641"/>
      <c r="O187" s="670">
        <f t="shared" ref="O187:O198" si="33">$S$18+D187*$S$19+E187*$S$20+F187*$S$21+G187*$S$22+H187*$S$23+I187*$S$24+J187*$S$25+K187*$S$27</f>
        <v>24268045.607763752</v>
      </c>
    </row>
    <row r="188" spans="3:16" x14ac:dyDescent="0.2">
      <c r="C188" s="689">
        <v>41671</v>
      </c>
      <c r="D188" s="669">
        <f>'HDD and CDD data'!AA7</f>
        <v>665.47441102756875</v>
      </c>
      <c r="E188" s="669">
        <f>'HDD and CDD data'!AA22</f>
        <v>0</v>
      </c>
      <c r="F188" s="675">
        <f t="shared" ref="F188:F198" si="34">F172</f>
        <v>5471.6303928000007</v>
      </c>
      <c r="G188" s="641">
        <f t="shared" ref="G188:K198" si="35">G172</f>
        <v>28</v>
      </c>
      <c r="H188" s="641">
        <f t="shared" si="35"/>
        <v>0</v>
      </c>
      <c r="I188" s="641">
        <f t="shared" si="35"/>
        <v>402309.87347405573</v>
      </c>
      <c r="J188" s="641">
        <f t="shared" si="35"/>
        <v>304</v>
      </c>
      <c r="K188" s="641">
        <f t="shared" si="35"/>
        <v>30643.35</v>
      </c>
      <c r="L188" s="641"/>
      <c r="M188" s="641"/>
      <c r="N188" s="641"/>
      <c r="O188" s="670">
        <f t="shared" si="33"/>
        <v>21905640.596705362</v>
      </c>
    </row>
    <row r="189" spans="3:16" ht="15" customHeight="1" x14ac:dyDescent="0.2">
      <c r="C189" s="689">
        <v>41699</v>
      </c>
      <c r="D189" s="669">
        <f>'HDD and CDD data'!AA8</f>
        <v>554.16309941520376</v>
      </c>
      <c r="E189" s="669">
        <f>'HDD and CDD data'!AA23</f>
        <v>0</v>
      </c>
      <c r="F189" s="675">
        <f t="shared" si="34"/>
        <v>5452.9541351999997</v>
      </c>
      <c r="G189" s="641">
        <f t="shared" si="35"/>
        <v>31</v>
      </c>
      <c r="H189" s="641">
        <f t="shared" si="35"/>
        <v>0.33333333333333331</v>
      </c>
      <c r="I189" s="641">
        <f t="shared" si="35"/>
        <v>402309.87347405573</v>
      </c>
      <c r="J189" s="641">
        <f t="shared" si="35"/>
        <v>336</v>
      </c>
      <c r="K189" s="641">
        <f t="shared" si="35"/>
        <v>30689.716666666664</v>
      </c>
      <c r="L189" s="641"/>
      <c r="M189" s="641"/>
      <c r="N189" s="641"/>
      <c r="O189" s="670">
        <f t="shared" si="33"/>
        <v>22517026.186725423</v>
      </c>
    </row>
    <row r="190" spans="3:16" x14ac:dyDescent="0.2">
      <c r="C190" s="689">
        <v>41730</v>
      </c>
      <c r="D190" s="669">
        <f>'HDD and CDD data'!AA9</f>
        <v>351.35948253672177</v>
      </c>
      <c r="E190" s="669">
        <f>'HDD and CDD data'!AA24</f>
        <v>0.43202172096908775</v>
      </c>
      <c r="F190" s="675">
        <f t="shared" si="34"/>
        <v>5501.6971151999996</v>
      </c>
      <c r="G190" s="641">
        <f t="shared" si="35"/>
        <v>30</v>
      </c>
      <c r="H190" s="641">
        <f t="shared" si="35"/>
        <v>1</v>
      </c>
      <c r="I190" s="641">
        <f t="shared" si="35"/>
        <v>402309.87347405573</v>
      </c>
      <c r="J190" s="641">
        <f t="shared" si="35"/>
        <v>336</v>
      </c>
      <c r="K190" s="641">
        <f t="shared" si="35"/>
        <v>30736.083333333328</v>
      </c>
      <c r="L190" s="641"/>
      <c r="M190" s="641"/>
      <c r="N190" s="641"/>
      <c r="O190" s="670">
        <f t="shared" si="33"/>
        <v>20739938.324539188</v>
      </c>
    </row>
    <row r="191" spans="3:16" x14ac:dyDescent="0.2">
      <c r="C191" s="689">
        <v>41760</v>
      </c>
      <c r="D191" s="669">
        <f>'HDD and CDD data'!AA10</f>
        <v>176.52607351712595</v>
      </c>
      <c r="E191" s="669">
        <f>'HDD and CDD data'!AA25</f>
        <v>9.4731578947368007</v>
      </c>
      <c r="F191" s="675">
        <f t="shared" si="34"/>
        <v>5583.3800880000008</v>
      </c>
      <c r="G191" s="641">
        <f t="shared" si="35"/>
        <v>31</v>
      </c>
      <c r="H191" s="641">
        <f t="shared" si="35"/>
        <v>1</v>
      </c>
      <c r="I191" s="641">
        <f t="shared" si="35"/>
        <v>402309.87347405573</v>
      </c>
      <c r="J191" s="641">
        <f t="shared" si="35"/>
        <v>336</v>
      </c>
      <c r="K191" s="641">
        <f t="shared" si="35"/>
        <v>30782.449999999993</v>
      </c>
      <c r="L191" s="641"/>
      <c r="M191" s="641"/>
      <c r="N191" s="641"/>
      <c r="O191" s="670">
        <f t="shared" si="33"/>
        <v>20596381.643485062</v>
      </c>
    </row>
    <row r="192" spans="3:16" x14ac:dyDescent="0.2">
      <c r="C192" s="689">
        <v>41791</v>
      </c>
      <c r="D192" s="669">
        <f>'HDD and CDD data'!AA11</f>
        <v>56.851528822055172</v>
      </c>
      <c r="E192" s="669">
        <f>'HDD and CDD data'!AA26</f>
        <v>37.682422723475362</v>
      </c>
      <c r="F192" s="675">
        <f t="shared" si="34"/>
        <v>5681.379132</v>
      </c>
      <c r="G192" s="641">
        <f t="shared" si="35"/>
        <v>30</v>
      </c>
      <c r="H192" s="641">
        <f t="shared" si="35"/>
        <v>0.66666666666666663</v>
      </c>
      <c r="I192" s="641">
        <f t="shared" si="35"/>
        <v>402309.87347405573</v>
      </c>
      <c r="J192" s="641">
        <f t="shared" si="35"/>
        <v>336</v>
      </c>
      <c r="K192" s="641">
        <f t="shared" si="35"/>
        <v>30828.816666666658</v>
      </c>
      <c r="L192" s="641"/>
      <c r="M192" s="641"/>
      <c r="N192" s="641"/>
      <c r="O192" s="670">
        <f t="shared" si="33"/>
        <v>20922980.019695286</v>
      </c>
    </row>
    <row r="193" spans="3:16" x14ac:dyDescent="0.2">
      <c r="C193" s="689">
        <v>41821</v>
      </c>
      <c r="D193" s="669">
        <f>'HDD and CDD data'!AA12</f>
        <v>11.877894736842109</v>
      </c>
      <c r="E193" s="669">
        <f>'HDD and CDD data'!AA27</f>
        <v>85.945864661654014</v>
      </c>
      <c r="F193" s="675">
        <f t="shared" si="34"/>
        <v>5763.2673384</v>
      </c>
      <c r="G193" s="641">
        <f t="shared" si="35"/>
        <v>31</v>
      </c>
      <c r="H193" s="641">
        <f t="shared" si="35"/>
        <v>0</v>
      </c>
      <c r="I193" s="641">
        <f t="shared" si="35"/>
        <v>402309.87347405573</v>
      </c>
      <c r="J193" s="641">
        <f t="shared" si="35"/>
        <v>352</v>
      </c>
      <c r="K193" s="641">
        <f t="shared" si="35"/>
        <v>30875.183333333323</v>
      </c>
      <c r="L193" s="641"/>
      <c r="M193" s="641"/>
      <c r="N193" s="641"/>
      <c r="O193" s="670">
        <f t="shared" si="33"/>
        <v>23485601.812352896</v>
      </c>
    </row>
    <row r="194" spans="3:16" x14ac:dyDescent="0.2">
      <c r="C194" s="689">
        <v>41852</v>
      </c>
      <c r="D194" s="669">
        <f>'HDD and CDD data'!AA13</f>
        <v>20.547593984962305</v>
      </c>
      <c r="E194" s="669">
        <f>'HDD and CDD data'!AA28</f>
        <v>54.536240601503778</v>
      </c>
      <c r="F194" s="675">
        <f t="shared" si="34"/>
        <v>5816.0123735999996</v>
      </c>
      <c r="G194" s="641">
        <f t="shared" si="35"/>
        <v>31</v>
      </c>
      <c r="H194" s="641">
        <f t="shared" si="35"/>
        <v>0</v>
      </c>
      <c r="I194" s="641">
        <f t="shared" si="35"/>
        <v>402309.87347405573</v>
      </c>
      <c r="J194" s="641">
        <f t="shared" si="35"/>
        <v>320</v>
      </c>
      <c r="K194" s="641">
        <f t="shared" si="35"/>
        <v>30921.549999999988</v>
      </c>
      <c r="L194" s="641"/>
      <c r="M194" s="641"/>
      <c r="N194" s="641"/>
      <c r="O194" s="670">
        <f t="shared" si="33"/>
        <v>22182316.436405376</v>
      </c>
    </row>
    <row r="195" spans="3:16" x14ac:dyDescent="0.2">
      <c r="C195" s="689">
        <v>41883</v>
      </c>
      <c r="D195" s="669">
        <f>'HDD and CDD data'!AA14</f>
        <v>99.203233082706902</v>
      </c>
      <c r="E195" s="669">
        <f>'HDD and CDD data'!AA29</f>
        <v>15.372030075187922</v>
      </c>
      <c r="F195" s="675">
        <f t="shared" si="34"/>
        <v>5777.0179896</v>
      </c>
      <c r="G195" s="641">
        <f t="shared" si="35"/>
        <v>30</v>
      </c>
      <c r="H195" s="641">
        <f t="shared" si="35"/>
        <v>0.33333333333333331</v>
      </c>
      <c r="I195" s="641">
        <f t="shared" si="35"/>
        <v>402309.87347405573</v>
      </c>
      <c r="J195" s="641">
        <f t="shared" si="35"/>
        <v>336</v>
      </c>
      <c r="K195" s="641">
        <f t="shared" si="35"/>
        <v>30967.916666666653</v>
      </c>
      <c r="L195" s="641"/>
      <c r="M195" s="641"/>
      <c r="N195" s="641"/>
      <c r="O195" s="670">
        <f t="shared" si="33"/>
        <v>20776294.151854552</v>
      </c>
    </row>
    <row r="196" spans="3:16" x14ac:dyDescent="0.2">
      <c r="C196" s="689">
        <v>41913</v>
      </c>
      <c r="D196" s="669">
        <f>'HDD and CDD data'!AA15</f>
        <v>302.45248120300744</v>
      </c>
      <c r="E196" s="669">
        <f>'HDD and CDD data'!AA30</f>
        <v>1.6637593984962393</v>
      </c>
      <c r="F196" s="675">
        <f t="shared" si="34"/>
        <v>5730.3273455999997</v>
      </c>
      <c r="G196" s="641">
        <f t="shared" si="35"/>
        <v>31</v>
      </c>
      <c r="H196" s="641">
        <f t="shared" si="35"/>
        <v>1</v>
      </c>
      <c r="I196" s="641">
        <f t="shared" si="35"/>
        <v>402309.87347405573</v>
      </c>
      <c r="J196" s="641">
        <f t="shared" si="35"/>
        <v>352</v>
      </c>
      <c r="K196" s="641">
        <f t="shared" si="35"/>
        <v>31014.283333333318</v>
      </c>
      <c r="L196" s="641"/>
      <c r="M196" s="641"/>
      <c r="N196" s="641"/>
      <c r="O196" s="670">
        <f t="shared" si="33"/>
        <v>21666060.239699572</v>
      </c>
    </row>
    <row r="197" spans="3:16" x14ac:dyDescent="0.2">
      <c r="C197" s="689">
        <v>41944</v>
      </c>
      <c r="D197" s="669">
        <f>'HDD and CDD data'!AA16</f>
        <v>435.81345864661671</v>
      </c>
      <c r="E197" s="669">
        <f>'HDD and CDD data'!AA31</f>
        <v>0</v>
      </c>
      <c r="F197" s="675">
        <f t="shared" si="34"/>
        <v>5671.6305359999997</v>
      </c>
      <c r="G197" s="641">
        <f t="shared" si="35"/>
        <v>30</v>
      </c>
      <c r="H197" s="641">
        <f t="shared" si="35"/>
        <v>1</v>
      </c>
      <c r="I197" s="641">
        <f t="shared" si="35"/>
        <v>402309.87347405573</v>
      </c>
      <c r="J197" s="641">
        <f t="shared" si="35"/>
        <v>320</v>
      </c>
      <c r="K197" s="641">
        <f t="shared" si="35"/>
        <v>31060.649999999983</v>
      </c>
      <c r="L197" s="641"/>
      <c r="M197" s="641"/>
      <c r="N197" s="641"/>
      <c r="O197" s="670">
        <f t="shared" si="33"/>
        <v>21534520.557112519</v>
      </c>
    </row>
    <row r="198" spans="3:16" x14ac:dyDescent="0.2">
      <c r="C198" s="689">
        <v>41974</v>
      </c>
      <c r="D198" s="669">
        <f>'HDD and CDD data'!AA17</f>
        <v>655.13424060150373</v>
      </c>
      <c r="E198" s="669">
        <f>'HDD and CDD data'!AA32</f>
        <v>0</v>
      </c>
      <c r="F198" s="675">
        <f t="shared" si="34"/>
        <v>5661.6767063999996</v>
      </c>
      <c r="G198" s="641">
        <f t="shared" si="35"/>
        <v>31</v>
      </c>
      <c r="H198" s="641">
        <f t="shared" si="35"/>
        <v>0.66666666666666663</v>
      </c>
      <c r="I198" s="641">
        <f t="shared" si="35"/>
        <v>402309.87347405573</v>
      </c>
      <c r="J198" s="641">
        <f t="shared" si="35"/>
        <v>336</v>
      </c>
      <c r="K198" s="641">
        <f t="shared" si="35"/>
        <v>31107.016666666666</v>
      </c>
      <c r="L198" s="641"/>
      <c r="M198" s="641"/>
      <c r="N198" s="641"/>
      <c r="O198" s="670">
        <f t="shared" si="33"/>
        <v>23565000.435052842</v>
      </c>
      <c r="P198" s="690">
        <f>SUM(O187:O198)</f>
        <v>264159806.01139179</v>
      </c>
    </row>
    <row r="201" spans="3:16" x14ac:dyDescent="0.2">
      <c r="D201" s="691" t="s">
        <v>366</v>
      </c>
    </row>
    <row r="202" spans="3:16" x14ac:dyDescent="0.2">
      <c r="C202" s="369"/>
      <c r="D202" s="692">
        <v>2014</v>
      </c>
      <c r="E202" s="692">
        <v>2012</v>
      </c>
      <c r="F202" s="693" t="s">
        <v>365</v>
      </c>
      <c r="G202" s="692"/>
      <c r="I202" s="432" t="s">
        <v>40</v>
      </c>
    </row>
    <row r="203" spans="3:16" x14ac:dyDescent="0.2">
      <c r="C203" s="627" t="s">
        <v>224</v>
      </c>
      <c r="D203" s="673">
        <f>SUM(D135:D146)</f>
        <v>4289.7593367265727</v>
      </c>
      <c r="E203" s="673">
        <f>SUM(D111:D122)</f>
        <v>3914.2999999999993</v>
      </c>
      <c r="F203" s="694">
        <f>I203*S19</f>
        <v>2317757.3026829963</v>
      </c>
      <c r="G203" s="695">
        <f>F203/$F$211</f>
        <v>0.39850101876280841</v>
      </c>
      <c r="H203" s="695"/>
      <c r="I203" s="673">
        <f>D203-E203</f>
        <v>375.45933672657338</v>
      </c>
    </row>
    <row r="204" spans="3:16" x14ac:dyDescent="0.2">
      <c r="C204" s="627" t="s">
        <v>225</v>
      </c>
      <c r="D204" s="673">
        <f>SUM(E135:E146)</f>
        <v>183.94</v>
      </c>
      <c r="E204" s="673">
        <f>SUM(E111:E122)</f>
        <v>220.99999999999994</v>
      </c>
      <c r="F204" s="694">
        <f>I204*S20</f>
        <v>-1355965.193310586</v>
      </c>
      <c r="G204" s="695">
        <f t="shared" ref="G204:G210" si="36">F204/$F$211</f>
        <v>-0.23313636432756485</v>
      </c>
      <c r="I204" s="673">
        <f>D204-E204</f>
        <v>-37.059999999999945</v>
      </c>
    </row>
    <row r="205" spans="3:16" x14ac:dyDescent="0.2">
      <c r="C205" s="627" t="s">
        <v>399</v>
      </c>
      <c r="D205" s="696">
        <f>SUM(F135:F146)</f>
        <v>67628.883722400002</v>
      </c>
      <c r="E205" s="696">
        <f>SUM(F111:F122)</f>
        <v>65904.299999999988</v>
      </c>
      <c r="F205" s="694">
        <f>I205*S21</f>
        <v>4719065.8623937033</v>
      </c>
      <c r="G205" s="695">
        <f t="shared" si="36"/>
        <v>0.81136732978719839</v>
      </c>
      <c r="I205" s="696">
        <f>D205-E205</f>
        <v>1724.5837224000134</v>
      </c>
    </row>
    <row r="206" spans="3:16" x14ac:dyDescent="0.2">
      <c r="C206" s="627" t="s">
        <v>100</v>
      </c>
      <c r="D206" s="641">
        <f>SUM(I135:I146)</f>
        <v>4827718.4816886699</v>
      </c>
      <c r="E206" s="641">
        <f>SUM(I111:I122)</f>
        <v>5132780.7271086164</v>
      </c>
      <c r="F206" s="694">
        <f>I206*S24</f>
        <v>516729.19049540948</v>
      </c>
      <c r="G206" s="695">
        <f t="shared" si="36"/>
        <v>8.8843257487975918E-2</v>
      </c>
      <c r="I206" s="673">
        <f>D206-E206</f>
        <v>-305062.2454199465</v>
      </c>
    </row>
    <row r="207" spans="3:16" x14ac:dyDescent="0.2">
      <c r="C207" s="627" t="s">
        <v>205</v>
      </c>
      <c r="D207" s="641">
        <f>K146</f>
        <v>31107.016666666666</v>
      </c>
      <c r="E207" s="641">
        <f>K122</f>
        <v>29809.716666666543</v>
      </c>
      <c r="F207" s="694">
        <f>I207*S27</f>
        <v>0</v>
      </c>
      <c r="G207" s="695">
        <f t="shared" si="36"/>
        <v>0</v>
      </c>
      <c r="I207" s="673">
        <f>SUM(K135:K146)-SUM(K111:K122)</f>
        <v>13736.100000001257</v>
      </c>
    </row>
    <row r="208" spans="3:16" x14ac:dyDescent="0.2">
      <c r="C208" s="627" t="s">
        <v>362</v>
      </c>
      <c r="D208" s="641">
        <f>SUM(G135:G146)</f>
        <v>365</v>
      </c>
      <c r="E208" s="641">
        <f>SUM(G111:G122)</f>
        <v>366</v>
      </c>
      <c r="F208" s="697">
        <f>I208*S22</f>
        <v>-381398.00952425599</v>
      </c>
      <c r="G208" s="695">
        <f t="shared" si="36"/>
        <v>-6.5575241710417731E-2</v>
      </c>
      <c r="I208" s="673">
        <f>D208-E208</f>
        <v>-1</v>
      </c>
    </row>
    <row r="209" spans="3:10" x14ac:dyDescent="0.2">
      <c r="C209" s="627" t="s">
        <v>363</v>
      </c>
      <c r="D209" s="641">
        <f>SUM(J135:J146)</f>
        <v>4016</v>
      </c>
      <c r="E209" s="641">
        <f>SUM(J111:J122)</f>
        <v>4016</v>
      </c>
      <c r="F209" s="694">
        <f>(SUM(J135:J146)-SUM(J111:J122))*S25</f>
        <v>0</v>
      </c>
      <c r="G209" s="695">
        <f t="shared" si="36"/>
        <v>0</v>
      </c>
      <c r="I209" s="673">
        <f>D209-E209</f>
        <v>0</v>
      </c>
    </row>
    <row r="210" spans="3:10" x14ac:dyDescent="0.2">
      <c r="C210" s="627" t="s">
        <v>364</v>
      </c>
      <c r="D210" s="698">
        <f>SUM(H135:H146)</f>
        <v>6</v>
      </c>
      <c r="E210" s="698">
        <f>SUM(H111:H122)</f>
        <v>6</v>
      </c>
      <c r="F210" s="694">
        <f>I210*S23</f>
        <v>0</v>
      </c>
      <c r="G210" s="695">
        <f t="shared" si="36"/>
        <v>0</v>
      </c>
      <c r="I210" s="673">
        <f>D210-E210</f>
        <v>0</v>
      </c>
    </row>
    <row r="211" spans="3:10" x14ac:dyDescent="0.2">
      <c r="C211" s="699" t="s">
        <v>9</v>
      </c>
      <c r="D211" s="700"/>
      <c r="E211" s="700"/>
      <c r="F211" s="701">
        <f>SUM(F203:F210)</f>
        <v>5816189.1527372664</v>
      </c>
      <c r="G211" s="702">
        <f>SUM(G203:G210)</f>
        <v>1</v>
      </c>
    </row>
    <row r="212" spans="3:10" x14ac:dyDescent="0.2">
      <c r="C212" s="443" t="s">
        <v>367</v>
      </c>
      <c r="D212" s="703">
        <f>O162</f>
        <v>264642021.95537755</v>
      </c>
      <c r="E212" s="703">
        <f>O160</f>
        <v>258825832.80264035</v>
      </c>
      <c r="F212" s="704">
        <f>D212-E212</f>
        <v>5816189.1527372003</v>
      </c>
    </row>
    <row r="213" spans="3:10" x14ac:dyDescent="0.2">
      <c r="C213" s="443" t="s">
        <v>158</v>
      </c>
      <c r="E213" s="703">
        <f>C160</f>
        <v>255279338.42063153</v>
      </c>
      <c r="F213" s="443">
        <f>D212-E213</f>
        <v>9362683.534746021</v>
      </c>
      <c r="G213" s="705"/>
    </row>
    <row r="219" spans="3:10" x14ac:dyDescent="0.2">
      <c r="F219" s="433"/>
      <c r="G219" s="529" t="s">
        <v>380</v>
      </c>
      <c r="J219" s="432"/>
    </row>
    <row r="220" spans="3:10" x14ac:dyDescent="0.2">
      <c r="F220" s="407" t="s">
        <v>382</v>
      </c>
      <c r="G220" s="706" t="s">
        <v>381</v>
      </c>
      <c r="H220" s="369"/>
      <c r="I220" s="707"/>
      <c r="J220" s="432" t="s">
        <v>383</v>
      </c>
    </row>
    <row r="221" spans="3:10" ht="36" x14ac:dyDescent="0.2">
      <c r="F221" s="481"/>
      <c r="G221" s="708" t="s">
        <v>389</v>
      </c>
      <c r="H221" s="709" t="s">
        <v>393</v>
      </c>
      <c r="I221" s="707" t="s">
        <v>9</v>
      </c>
      <c r="J221" s="432"/>
    </row>
    <row r="222" spans="3:10" x14ac:dyDescent="0.2">
      <c r="F222" s="485"/>
      <c r="G222" s="529"/>
      <c r="H222" s="710"/>
      <c r="I222" s="711"/>
      <c r="J222" s="432"/>
    </row>
    <row r="223" spans="3:10" x14ac:dyDescent="0.2">
      <c r="F223" s="712">
        <v>37026</v>
      </c>
      <c r="G223" s="713">
        <v>1757</v>
      </c>
      <c r="H223" s="714">
        <v>25248</v>
      </c>
      <c r="I223" s="715">
        <f>G223+H223</f>
        <v>27005</v>
      </c>
      <c r="J223" s="716">
        <f t="shared" ref="J223:J228" si="37">($I$228-$I$223)/12/5</f>
        <v>22.233333333333334</v>
      </c>
    </row>
    <row r="224" spans="3:10" x14ac:dyDescent="0.2">
      <c r="F224" s="485" t="s">
        <v>383</v>
      </c>
      <c r="G224" s="717">
        <f>(G228-G223)/60</f>
        <v>-5.7166666666666668</v>
      </c>
      <c r="H224" s="529">
        <f>(H228-H223)/60</f>
        <v>27.95</v>
      </c>
      <c r="I224" s="718">
        <f>G224+H224</f>
        <v>22.233333333333334</v>
      </c>
      <c r="J224" s="716">
        <f t="shared" si="37"/>
        <v>22.233333333333334</v>
      </c>
    </row>
    <row r="225" spans="6:15" x14ac:dyDescent="0.2">
      <c r="F225" s="485"/>
      <c r="G225" s="529"/>
      <c r="H225" s="710"/>
      <c r="I225" s="711"/>
      <c r="J225" s="716">
        <f t="shared" si="37"/>
        <v>22.233333333333334</v>
      </c>
    </row>
    <row r="226" spans="6:15" x14ac:dyDescent="0.2">
      <c r="F226" s="485"/>
      <c r="G226" s="529"/>
      <c r="H226" s="710"/>
      <c r="I226" s="711"/>
      <c r="J226" s="716">
        <f t="shared" si="37"/>
        <v>22.233333333333334</v>
      </c>
    </row>
    <row r="227" spans="6:15" x14ac:dyDescent="0.2">
      <c r="F227" s="485"/>
      <c r="G227" s="529"/>
      <c r="H227" s="710"/>
      <c r="I227" s="711"/>
      <c r="J227" s="716">
        <f t="shared" si="37"/>
        <v>22.233333333333334</v>
      </c>
    </row>
    <row r="228" spans="6:15" x14ac:dyDescent="0.2">
      <c r="F228" s="712">
        <v>38853</v>
      </c>
      <c r="G228" s="713">
        <v>1414</v>
      </c>
      <c r="H228" s="714">
        <v>26925</v>
      </c>
      <c r="I228" s="715">
        <f>G228+H228</f>
        <v>28339</v>
      </c>
      <c r="J228" s="716">
        <f t="shared" si="37"/>
        <v>22.233333333333334</v>
      </c>
      <c r="K228" s="432">
        <f>I223+J228*60</f>
        <v>28339</v>
      </c>
    </row>
    <row r="229" spans="6:15" x14ac:dyDescent="0.2">
      <c r="F229" s="485" t="s">
        <v>383</v>
      </c>
      <c r="G229" s="719">
        <f>(G233-G228)/60</f>
        <v>1.1166666666666667</v>
      </c>
      <c r="H229" s="485">
        <f>(H233-H228)/60</f>
        <v>17.5</v>
      </c>
      <c r="I229" s="718">
        <f>SUM(G229:H229)</f>
        <v>18.616666666666667</v>
      </c>
      <c r="J229" s="716">
        <f>($I$233-$I$228)/12/5</f>
        <v>18.616666666666667</v>
      </c>
    </row>
    <row r="230" spans="6:15" x14ac:dyDescent="0.2">
      <c r="F230" s="485"/>
      <c r="G230" s="529"/>
      <c r="H230" s="710"/>
      <c r="I230" s="711"/>
      <c r="J230" s="716">
        <f>($I$233-$I$228)/12/5</f>
        <v>18.616666666666667</v>
      </c>
    </row>
    <row r="231" spans="6:15" x14ac:dyDescent="0.2">
      <c r="F231" s="485"/>
      <c r="G231" s="529"/>
      <c r="H231" s="710"/>
      <c r="I231" s="711"/>
      <c r="J231" s="716">
        <f>($I$233-$I$228)/12/5</f>
        <v>18.616666666666667</v>
      </c>
    </row>
    <row r="232" spans="6:15" x14ac:dyDescent="0.2">
      <c r="F232" s="485"/>
      <c r="G232" s="529"/>
      <c r="H232" s="710"/>
      <c r="I232" s="711"/>
      <c r="J232" s="716">
        <f>($I$233-$I$228)/12/5</f>
        <v>18.616666666666667</v>
      </c>
    </row>
    <row r="233" spans="6:15" x14ac:dyDescent="0.2">
      <c r="F233" s="720">
        <v>40673</v>
      </c>
      <c r="G233" s="721">
        <v>1481</v>
      </c>
      <c r="H233" s="722">
        <v>27975</v>
      </c>
      <c r="I233" s="723">
        <f>G233+H233</f>
        <v>29456</v>
      </c>
      <c r="J233" s="716">
        <f>($I$233-$I$228)/12/5</f>
        <v>18.616666666666667</v>
      </c>
    </row>
    <row r="234" spans="6:15" x14ac:dyDescent="0.2">
      <c r="F234" s="689">
        <v>40878</v>
      </c>
      <c r="G234" s="682">
        <f>G233+G229*7</f>
        <v>1488.8166666666666</v>
      </c>
      <c r="H234" s="682">
        <f>H233+H229*7</f>
        <v>28097.5</v>
      </c>
      <c r="I234" s="724">
        <f t="shared" ref="I234:I237" si="38">G234+H234</f>
        <v>29586.316666666666</v>
      </c>
      <c r="J234" s="682">
        <f>G234+H234</f>
        <v>29586.316666666666</v>
      </c>
      <c r="K234" s="293"/>
    </row>
    <row r="235" spans="6:15" x14ac:dyDescent="0.2">
      <c r="F235" s="627" t="s">
        <v>390</v>
      </c>
      <c r="G235" s="682">
        <f>G234+G229*12</f>
        <v>1502.2166666666667</v>
      </c>
      <c r="H235" s="682">
        <f>H234+H229*12</f>
        <v>28307.5</v>
      </c>
      <c r="I235" s="724">
        <f t="shared" si="38"/>
        <v>29809.716666666667</v>
      </c>
    </row>
    <row r="236" spans="6:15" x14ac:dyDescent="0.2">
      <c r="F236" s="627" t="s">
        <v>391</v>
      </c>
      <c r="G236" s="682">
        <f>G235+G229*12</f>
        <v>1515.6166666666668</v>
      </c>
      <c r="H236" s="725">
        <v>29035</v>
      </c>
      <c r="I236" s="724">
        <f t="shared" si="38"/>
        <v>30550.616666666669</v>
      </c>
    </row>
    <row r="237" spans="6:15" x14ac:dyDescent="0.2">
      <c r="F237" s="627" t="s">
        <v>392</v>
      </c>
      <c r="G237" s="682">
        <f>G236+G229*12</f>
        <v>1529.0166666666669</v>
      </c>
      <c r="H237" s="725">
        <v>29578</v>
      </c>
      <c r="I237" s="724">
        <f t="shared" si="38"/>
        <v>31107.016666666666</v>
      </c>
    </row>
    <row r="239" spans="6:15" x14ac:dyDescent="0.2">
      <c r="J239" s="433">
        <v>2011</v>
      </c>
      <c r="K239" s="432">
        <v>28010</v>
      </c>
      <c r="O239" s="432" t="s">
        <v>395</v>
      </c>
    </row>
    <row r="240" spans="6:15" x14ac:dyDescent="0.2">
      <c r="J240" s="433">
        <v>2013</v>
      </c>
      <c r="K240" s="726">
        <v>28962</v>
      </c>
      <c r="L240" s="432" t="s">
        <v>394</v>
      </c>
    </row>
    <row r="241" spans="10:15" x14ac:dyDescent="0.2">
      <c r="J241" s="433">
        <v>2014</v>
      </c>
      <c r="K241" s="726">
        <v>29490</v>
      </c>
    </row>
    <row r="243" spans="10:15" x14ac:dyDescent="0.2">
      <c r="J243" s="433">
        <v>2011</v>
      </c>
      <c r="K243" s="432">
        <v>28093</v>
      </c>
    </row>
    <row r="244" spans="10:15" x14ac:dyDescent="0.2">
      <c r="J244" s="433">
        <v>2013</v>
      </c>
      <c r="K244" s="432">
        <v>29035</v>
      </c>
      <c r="O244" s="432" t="s">
        <v>396</v>
      </c>
    </row>
    <row r="245" spans="10:15" x14ac:dyDescent="0.2">
      <c r="J245" s="433">
        <v>2014</v>
      </c>
      <c r="K245" s="432">
        <v>29578</v>
      </c>
    </row>
  </sheetData>
  <phoneticPr fontId="0" type="noConversion"/>
  <conditionalFormatting sqref="B4">
    <cfRule type="expression" dxfId="5" priority="8">
      <formula>MONTH(B4)=12</formula>
    </cfRule>
  </conditionalFormatting>
  <conditionalFormatting sqref="B5:B23">
    <cfRule type="expression" dxfId="4" priority="7">
      <formula>MONTH(B5)=12</formula>
    </cfRule>
  </conditionalFormatting>
  <conditionalFormatting sqref="B24:B146">
    <cfRule type="expression" dxfId="3" priority="6">
      <formula>MONTH(B24)=12</formula>
    </cfRule>
  </conditionalFormatting>
  <conditionalFormatting sqref="B1">
    <cfRule type="expression" dxfId="2" priority="5">
      <formula>MONTH(B1)=12</formula>
    </cfRule>
  </conditionalFormatting>
  <conditionalFormatting sqref="K4:K146">
    <cfRule type="expression" dxfId="1" priority="1">
      <formula>MONTH(B4)=12</formula>
    </cfRule>
  </conditionalFormatting>
  <pageMargins left="0.38" right="0.75" top="0.73" bottom="0.74" header="0.5" footer="0.5"/>
  <pageSetup orientation="landscape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 enableFormatConditionsCalculation="0">
    <tabColor rgb="FFC00000"/>
    <pageSetUpPr fitToPage="1"/>
  </sheetPr>
  <dimension ref="A2:W79"/>
  <sheetViews>
    <sheetView zoomScaleNormal="100" workbookViewId="0">
      <pane xSplit="1" ySplit="2" topLeftCell="D3" activePane="bottomRight" state="frozen"/>
      <selection pane="topRight" activeCell="B1" sqref="B1"/>
      <selection pane="bottomLeft" activeCell="A3" sqref="A3"/>
      <selection pane="bottomRight" activeCell="H72" sqref="H72"/>
    </sheetView>
  </sheetViews>
  <sheetFormatPr defaultRowHeight="12.75" x14ac:dyDescent="0.2"/>
  <cols>
    <col min="1" max="1" width="13.5703125" customWidth="1"/>
    <col min="2" max="5" width="18" style="1" customWidth="1"/>
    <col min="6" max="6" width="15.7109375" style="1" customWidth="1"/>
    <col min="7" max="7" width="15.7109375" style="6" customWidth="1"/>
    <col min="8" max="8" width="15" style="6" customWidth="1"/>
    <col min="9" max="10" width="14.140625" style="6" bestFit="1" customWidth="1"/>
    <col min="11" max="11" width="14.140625" style="6" customWidth="1"/>
    <col min="12" max="12" width="14.7109375" style="6" customWidth="1"/>
    <col min="13" max="13" width="13.85546875" style="6" bestFit="1" customWidth="1"/>
    <col min="14" max="16" width="12.7109375" style="6" bestFit="1" customWidth="1"/>
    <col min="17" max="17" width="10.140625" style="6" bestFit="1" customWidth="1"/>
    <col min="18" max="18" width="11.140625" style="6" bestFit="1" customWidth="1"/>
  </cols>
  <sheetData>
    <row r="2" spans="1:18" ht="42" customHeight="1" x14ac:dyDescent="0.2">
      <c r="B2" s="2" t="s">
        <v>6</v>
      </c>
      <c r="C2" s="2" t="s">
        <v>7</v>
      </c>
      <c r="D2" s="2" t="s">
        <v>40</v>
      </c>
      <c r="E2" s="2" t="s">
        <v>8</v>
      </c>
      <c r="F2" s="2" t="s">
        <v>0</v>
      </c>
      <c r="G2" s="7" t="s">
        <v>1</v>
      </c>
      <c r="H2" s="37" t="s">
        <v>94</v>
      </c>
      <c r="I2" s="137" t="s">
        <v>229</v>
      </c>
      <c r="J2" s="137" t="s">
        <v>230</v>
      </c>
      <c r="K2" s="37" t="s">
        <v>95</v>
      </c>
      <c r="L2" s="37" t="s">
        <v>96</v>
      </c>
      <c r="M2" s="37" t="s">
        <v>97</v>
      </c>
      <c r="P2" s="472" t="s">
        <v>446</v>
      </c>
      <c r="Q2" s="472" t="s">
        <v>447</v>
      </c>
    </row>
    <row r="4" spans="1:18" x14ac:dyDescent="0.2">
      <c r="A4" s="15"/>
      <c r="B4" s="34" t="s">
        <v>42</v>
      </c>
    </row>
    <row r="5" spans="1:18" ht="13.5" thickBot="1" x14ac:dyDescent="0.2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</row>
    <row r="6" spans="1:18" ht="13.5" thickBot="1" x14ac:dyDescent="0.25">
      <c r="H6" s="786" t="s">
        <v>194</v>
      </c>
      <c r="I6" s="787"/>
      <c r="J6" s="787"/>
      <c r="K6" s="787"/>
      <c r="L6" s="787"/>
      <c r="M6" s="787"/>
      <c r="N6" s="143"/>
    </row>
    <row r="7" spans="1:18" x14ac:dyDescent="0.2">
      <c r="A7">
        <f>' Purchased Power Model'!B151</f>
        <v>2003</v>
      </c>
      <c r="B7" s="6">
        <f>' Purchased Power Model'!C151</f>
        <v>249923540.34199998</v>
      </c>
      <c r="C7" s="6">
        <f>' Purchased Power Model'!O151</f>
        <v>254228729.31072789</v>
      </c>
      <c r="D7" s="30">
        <f t="shared" ref="D7:D16" si="0">C7-B7</f>
        <v>4305188.9687279165</v>
      </c>
      <c r="E7" s="5">
        <f t="shared" ref="E7:E16" si="1">D7/B7</f>
        <v>1.722602425860572E-2</v>
      </c>
      <c r="F7" s="40">
        <f>1 +(B7-G7)/G7</f>
        <v>1.0386886177656676</v>
      </c>
      <c r="G7" s="50">
        <f>SUM(H7:M7)</f>
        <v>240614498</v>
      </c>
      <c r="H7" s="32">
        <f>'[14]Rate Class Energy Model'!H14</f>
        <v>82401296</v>
      </c>
      <c r="I7" s="32">
        <f>'[14]Rate Class Energy Model'!I14</f>
        <v>30457263</v>
      </c>
      <c r="J7" s="32">
        <f>'[14]Rate Class Energy Model'!J14+'[14]Rate Class Energy Model'!$K14</f>
        <v>126068508</v>
      </c>
      <c r="K7" s="32">
        <f>'[14]Rate Class Energy Model'!L14</f>
        <v>1553494</v>
      </c>
      <c r="L7" s="32">
        <f>'[14]Rate Class Energy Model'!M14</f>
        <v>133937</v>
      </c>
      <c r="M7" s="32">
        <f>'[14]Rate Class Energy Model'!N14</f>
        <v>0</v>
      </c>
      <c r="O7" s="101" t="s">
        <v>400</v>
      </c>
      <c r="P7" s="20"/>
      <c r="Q7" s="69"/>
      <c r="R7" s="27"/>
    </row>
    <row r="8" spans="1:18" x14ac:dyDescent="0.2">
      <c r="A8">
        <f>' Purchased Power Model'!B152</f>
        <v>2004</v>
      </c>
      <c r="B8" s="6">
        <f>' Purchased Power Model'!C152</f>
        <v>252917856.45759997</v>
      </c>
      <c r="C8" s="6">
        <f>' Purchased Power Model'!O152</f>
        <v>256224434.65078807</v>
      </c>
      <c r="D8" s="30">
        <f t="shared" si="0"/>
        <v>3306578.1931881011</v>
      </c>
      <c r="E8" s="5">
        <f t="shared" si="1"/>
        <v>1.3073723775380911E-2</v>
      </c>
      <c r="F8" s="40">
        <f t="shared" ref="F8:F16" si="2">1 +(B8-G8)/G8</f>
        <v>1.0438792382682767</v>
      </c>
      <c r="G8" s="50">
        <f t="shared" ref="G8:G16" si="3">SUM(H8:M8)</f>
        <v>242286509</v>
      </c>
      <c r="H8" s="32">
        <f>'[14]Rate Class Energy Model'!H15</f>
        <v>82624722</v>
      </c>
      <c r="I8" s="32">
        <f>'[14]Rate Class Energy Model'!I15</f>
        <v>30592102</v>
      </c>
      <c r="J8" s="32">
        <f>'[14]Rate Class Energy Model'!J15+'[14]Rate Class Energy Model'!$K15</f>
        <v>127240150</v>
      </c>
      <c r="K8" s="32">
        <f>'[14]Rate Class Energy Model'!L15</f>
        <v>1695517</v>
      </c>
      <c r="L8" s="32">
        <f>'[14]Rate Class Energy Model'!M15</f>
        <v>134018</v>
      </c>
      <c r="M8" s="32">
        <f>'[14]Rate Class Energy Model'!N15</f>
        <v>0</v>
      </c>
      <c r="O8" s="69">
        <f t="shared" ref="O8:O16" si="4">G8/G7</f>
        <v>1.006948920426233</v>
      </c>
      <c r="Q8" s="69"/>
      <c r="R8" s="27"/>
    </row>
    <row r="9" spans="1:18" x14ac:dyDescent="0.2">
      <c r="A9">
        <f>' Purchased Power Model'!B153</f>
        <v>2005</v>
      </c>
      <c r="B9" s="6">
        <f>' Purchased Power Model'!C153</f>
        <v>261520104.69972003</v>
      </c>
      <c r="C9" s="6">
        <f>' Purchased Power Model'!O153</f>
        <v>262711306.3845306</v>
      </c>
      <c r="D9" s="30">
        <f t="shared" si="0"/>
        <v>1191201.6848105788</v>
      </c>
      <c r="E9" s="5">
        <f t="shared" si="1"/>
        <v>4.5549143771501941E-3</v>
      </c>
      <c r="F9" s="40">
        <f t="shared" si="2"/>
        <v>1.0468888455025052</v>
      </c>
      <c r="G9" s="50">
        <f t="shared" si="3"/>
        <v>249806945.43000001</v>
      </c>
      <c r="H9" s="32">
        <f>'[14]Rate Class Energy Model'!H16</f>
        <v>87597048.719999999</v>
      </c>
      <c r="I9" s="32">
        <f>'[14]Rate Class Energy Model'!I16</f>
        <v>34393460</v>
      </c>
      <c r="J9" s="32">
        <f>'[14]Rate Class Energy Model'!J16+'[14]Rate Class Energy Model'!$K16</f>
        <v>126094033</v>
      </c>
      <c r="K9" s="32">
        <f>'[14]Rate Class Energy Model'!L16</f>
        <v>1587029.58</v>
      </c>
      <c r="L9" s="32">
        <f>'[14]Rate Class Energy Model'!M16</f>
        <v>135374.13</v>
      </c>
      <c r="M9" s="32">
        <f>'[14]Rate Class Energy Model'!N16</f>
        <v>0</v>
      </c>
      <c r="O9" s="69">
        <f t="shared" si="4"/>
        <v>1.0310394353405785</v>
      </c>
      <c r="Q9" s="69"/>
      <c r="R9" s="27"/>
    </row>
    <row r="10" spans="1:18" x14ac:dyDescent="0.2">
      <c r="A10">
        <f>' Purchased Power Model'!B154</f>
        <v>2006</v>
      </c>
      <c r="B10" s="6">
        <f>' Purchased Power Model'!C154</f>
        <v>263090888.40446001</v>
      </c>
      <c r="C10" s="6">
        <f>' Purchased Power Model'!O154</f>
        <v>258920895.58458561</v>
      </c>
      <c r="D10" s="30">
        <f t="shared" si="0"/>
        <v>-4169992.8198744059</v>
      </c>
      <c r="E10" s="5">
        <f t="shared" si="1"/>
        <v>-1.5850008509088735E-2</v>
      </c>
      <c r="F10" s="40">
        <f t="shared" si="2"/>
        <v>1.0485983184998957</v>
      </c>
      <c r="G10" s="50">
        <f t="shared" si="3"/>
        <v>250897682.89999998</v>
      </c>
      <c r="H10" s="32">
        <f>'[14]Rate Class Energy Model'!H17</f>
        <v>85059822.699999988</v>
      </c>
      <c r="I10" s="32">
        <f>'[14]Rate Class Energy Model'!I17</f>
        <v>35198595.559999995</v>
      </c>
      <c r="J10" s="32">
        <f>'[14]Rate Class Energy Model'!J17+'[14]Rate Class Energy Model'!$K17</f>
        <v>128541420.81</v>
      </c>
      <c r="K10" s="32">
        <f>'[14]Rate Class Energy Model'!L17</f>
        <v>1594469.23</v>
      </c>
      <c r="L10" s="32">
        <f>'[14]Rate Class Energy Model'!M17</f>
        <v>130122.38</v>
      </c>
      <c r="M10" s="32">
        <f>'[14]Rate Class Energy Model'!N17</f>
        <v>373252.22</v>
      </c>
      <c r="O10" s="69">
        <f t="shared" si="4"/>
        <v>1.0043663216333816</v>
      </c>
      <c r="Q10" s="69"/>
      <c r="R10" s="27"/>
    </row>
    <row r="11" spans="1:18" x14ac:dyDescent="0.2">
      <c r="A11">
        <f>' Purchased Power Model'!B155</f>
        <v>2007</v>
      </c>
      <c r="B11" s="6">
        <f>' Purchased Power Model'!C155</f>
        <v>268617930.86324</v>
      </c>
      <c r="C11" s="6">
        <f>' Purchased Power Model'!O155</f>
        <v>262643290.11945468</v>
      </c>
      <c r="D11" s="30">
        <f t="shared" si="0"/>
        <v>-5974640.7437853217</v>
      </c>
      <c r="E11" s="5">
        <f t="shared" si="1"/>
        <v>-2.2242151611342575E-2</v>
      </c>
      <c r="F11" s="40">
        <f t="shared" si="2"/>
        <v>1.0466689777565301</v>
      </c>
      <c r="G11" s="50">
        <f t="shared" si="3"/>
        <v>256640768.54461268</v>
      </c>
      <c r="H11" s="138">
        <f>'[14]Rate Class Energy Model'!H18</f>
        <v>85922368.839999989</v>
      </c>
      <c r="I11" s="138">
        <f>'[14]Rate Class Energy Model'!I18</f>
        <v>37055212.619999997</v>
      </c>
      <c r="J11" s="32">
        <f>'[14]Rate Class Energy Model'!J18+'[14]Rate Class Energy Model'!$K18</f>
        <v>131518570.86461273</v>
      </c>
      <c r="K11" s="138">
        <f>'[14]Rate Class Energy Model'!L18</f>
        <v>1615441.3500000003</v>
      </c>
      <c r="L11" s="138">
        <f>'[14]Rate Class Energy Model'!M18</f>
        <v>133475.94999999998</v>
      </c>
      <c r="M11" s="138">
        <f>'[14]Rate Class Energy Model'!N18+18397</f>
        <v>395698.92</v>
      </c>
      <c r="O11" s="69">
        <f t="shared" si="4"/>
        <v>1.0228901501928247</v>
      </c>
      <c r="Q11" s="69"/>
      <c r="R11" s="27"/>
    </row>
    <row r="12" spans="1:18" x14ac:dyDescent="0.2">
      <c r="A12">
        <f>' Purchased Power Model'!B156</f>
        <v>2008</v>
      </c>
      <c r="B12" s="6">
        <f>' Purchased Power Model'!C156</f>
        <v>261643455.43000001</v>
      </c>
      <c r="C12" s="6">
        <f>' Purchased Power Model'!O156</f>
        <v>262680307.28775746</v>
      </c>
      <c r="D12" s="30">
        <f t="shared" si="0"/>
        <v>1036851.8577574492</v>
      </c>
      <c r="E12" s="5">
        <f t="shared" si="1"/>
        <v>3.9628427015436975E-3</v>
      </c>
      <c r="F12" s="40">
        <f t="shared" si="2"/>
        <v>1.0477620459914885</v>
      </c>
      <c r="G12" s="50">
        <f t="shared" si="3"/>
        <v>249716485.17999998</v>
      </c>
      <c r="H12" s="139">
        <f>'[14]Rate Class Energy Model'!H19</f>
        <v>85459087.140000001</v>
      </c>
      <c r="I12" s="139">
        <f>'[14]Rate Class Energy Model'!I19</f>
        <v>37433972.129999995</v>
      </c>
      <c r="J12" s="139">
        <f>'[14]Rate Class Energy Model'!J19+'[14]Rate Class Energy Model'!$K19</f>
        <v>124560247.89999999</v>
      </c>
      <c r="K12" s="139">
        <f>'[14]Rate Class Energy Model'!L19</f>
        <v>1734012.2599999998</v>
      </c>
      <c r="L12" s="139">
        <f>'[14]Rate Class Energy Model'!M19</f>
        <v>136891.63999999998</v>
      </c>
      <c r="M12" s="139">
        <f>'[14]Rate Class Energy Model'!N19</f>
        <v>392274.11</v>
      </c>
      <c r="O12" s="69">
        <f t="shared" si="4"/>
        <v>0.97301955023015363</v>
      </c>
      <c r="Q12" s="69"/>
      <c r="R12" s="27"/>
    </row>
    <row r="13" spans="1:18" x14ac:dyDescent="0.2">
      <c r="A13">
        <f>' Purchased Power Model'!B157</f>
        <v>2009</v>
      </c>
      <c r="B13" s="6">
        <f>' Purchased Power Model'!C157</f>
        <v>254488952.53999999</v>
      </c>
      <c r="C13" s="6">
        <f>' Purchased Power Model'!O157</f>
        <v>252840613.46198899</v>
      </c>
      <c r="D13" s="30">
        <f t="shared" si="0"/>
        <v>-1648339.0780110061</v>
      </c>
      <c r="E13" s="5">
        <f t="shared" si="1"/>
        <v>-6.4770555325065595E-3</v>
      </c>
      <c r="F13" s="40">
        <f t="shared" si="2"/>
        <v>1.0446068956066403</v>
      </c>
      <c r="G13" s="50">
        <f t="shared" si="3"/>
        <v>243621742.88750911</v>
      </c>
      <c r="H13" s="32">
        <f>[15]Historic!B72</f>
        <v>84392286.059999987</v>
      </c>
      <c r="I13" s="32">
        <f>[15]Historic!B89</f>
        <v>35466555.850000001</v>
      </c>
      <c r="J13" s="32">
        <f>[15]Historic!B106</f>
        <v>121491113.47750913</v>
      </c>
      <c r="K13" s="86">
        <f>[15]Historic!B140</f>
        <v>1770107.1300000001</v>
      </c>
      <c r="L13" s="32">
        <f>[15]Historic!B157</f>
        <v>128509.83</v>
      </c>
      <c r="M13" s="32">
        <f>[15]Historic!B123</f>
        <v>373170.54000000004</v>
      </c>
      <c r="O13" s="69">
        <f t="shared" si="4"/>
        <v>0.97559335224465593</v>
      </c>
      <c r="Q13" s="69"/>
      <c r="R13" s="27"/>
    </row>
    <row r="14" spans="1:18" x14ac:dyDescent="0.2">
      <c r="A14">
        <f>' Purchased Power Model'!B158</f>
        <v>2010</v>
      </c>
      <c r="B14" s="6">
        <f>' Purchased Power Model'!C158</f>
        <v>261176261.29999998</v>
      </c>
      <c r="C14" s="6">
        <f>' Purchased Power Model'!O158</f>
        <v>257813626.74921685</v>
      </c>
      <c r="D14" s="30">
        <f t="shared" si="0"/>
        <v>-3362634.5507831275</v>
      </c>
      <c r="E14" s="5">
        <f>D14/B14</f>
        <v>-1.2874962425932879E-2</v>
      </c>
      <c r="F14" s="40">
        <f t="shared" si="2"/>
        <v>1.053224434363792</v>
      </c>
      <c r="G14" s="50">
        <f>SUM(H14:M14)</f>
        <v>247977784.0112164</v>
      </c>
      <c r="H14" s="32">
        <f>[15]Historic!B73</f>
        <v>86211880</v>
      </c>
      <c r="I14" s="32">
        <f>[15]Historic!B90</f>
        <v>36096661</v>
      </c>
      <c r="J14" s="32">
        <f>[15]Historic!B107</f>
        <v>123390551.01121642</v>
      </c>
      <c r="K14" s="86">
        <f>[15]Historic!B141</f>
        <v>1777519</v>
      </c>
      <c r="L14" s="32">
        <f>[15]Historic!B158</f>
        <v>127445</v>
      </c>
      <c r="M14" s="32">
        <f>[15]Historic!B124</f>
        <v>373728</v>
      </c>
      <c r="O14" s="69">
        <f t="shared" si="4"/>
        <v>1.0178803462781181</v>
      </c>
      <c r="P14" s="6">
        <f>[16]Sheet1!$D$9</f>
        <v>127016.64</v>
      </c>
      <c r="Q14" s="604" t="s">
        <v>457</v>
      </c>
      <c r="R14" s="27"/>
    </row>
    <row r="15" spans="1:18" x14ac:dyDescent="0.2">
      <c r="A15">
        <f>' Purchased Power Model'!B159</f>
        <v>2011</v>
      </c>
      <c r="B15" s="6">
        <f>' Purchased Power Model'!C159</f>
        <v>257783039.52000001</v>
      </c>
      <c r="C15" s="6">
        <f>' Purchased Power Model'!O159</f>
        <v>259501516.17453444</v>
      </c>
      <c r="D15" s="30">
        <f t="shared" si="0"/>
        <v>1718476.6545344293</v>
      </c>
      <c r="E15" s="5">
        <f t="shared" si="1"/>
        <v>6.6663681898323718E-3</v>
      </c>
      <c r="F15" s="40">
        <f t="shared" si="2"/>
        <v>1.0492017500676933</v>
      </c>
      <c r="G15" s="50">
        <f t="shared" si="3"/>
        <v>245694442.94518963</v>
      </c>
      <c r="H15" s="32">
        <f>[15]Historic!B74</f>
        <v>85903538</v>
      </c>
      <c r="I15" s="32">
        <f>[15]Historic!B91</f>
        <v>35863634</v>
      </c>
      <c r="J15" s="32">
        <f>[15]Historic!B108</f>
        <v>121707244.94518963</v>
      </c>
      <c r="K15" s="468">
        <f>'[17]2011'!$B$14</f>
        <v>1782726</v>
      </c>
      <c r="L15" s="470">
        <f>[15]Historic!B159</f>
        <v>99117</v>
      </c>
      <c r="M15" s="471">
        <f>[15]Historic!B125</f>
        <v>338183</v>
      </c>
      <c r="O15" s="69">
        <f t="shared" si="4"/>
        <v>0.99079215472816917</v>
      </c>
      <c r="P15" s="469">
        <v>1586968</v>
      </c>
      <c r="Q15" s="469">
        <v>99117</v>
      </c>
      <c r="R15" s="27"/>
    </row>
    <row r="16" spans="1:18" x14ac:dyDescent="0.2">
      <c r="A16">
        <f>' Purchased Power Model'!B160</f>
        <v>2012</v>
      </c>
      <c r="B16" s="6">
        <f>' Purchased Power Model'!C160</f>
        <v>255279338.42063153</v>
      </c>
      <c r="C16" s="6">
        <f>' Purchased Power Model'!O160</f>
        <v>258825832.80264035</v>
      </c>
      <c r="D16" s="30">
        <f t="shared" si="0"/>
        <v>3546494.3820088208</v>
      </c>
      <c r="E16" s="5">
        <f t="shared" si="1"/>
        <v>1.3892602526903898E-2</v>
      </c>
      <c r="F16" s="40">
        <f t="shared" si="2"/>
        <v>1.0455825823650271</v>
      </c>
      <c r="G16" s="50">
        <f t="shared" si="3"/>
        <v>244150335.63700858</v>
      </c>
      <c r="H16" s="32">
        <f>[15]Historic!B75</f>
        <v>85673643</v>
      </c>
      <c r="I16" s="32">
        <f>[15]Historic!B92</f>
        <v>35683448</v>
      </c>
      <c r="J16" s="32">
        <f>[15]Historic!B109</f>
        <v>120453548.99700859</v>
      </c>
      <c r="K16" s="469">
        <f>'[15]2012'!$B$14+P14+1231</f>
        <v>1801370.64</v>
      </c>
      <c r="L16" s="469">
        <f>[15]Historic!B160</f>
        <v>124534</v>
      </c>
      <c r="M16" s="469">
        <f>[15]Historic!B126</f>
        <v>413791</v>
      </c>
      <c r="O16" s="69">
        <f t="shared" si="4"/>
        <v>0.99371533482942664</v>
      </c>
      <c r="P16" s="469">
        <v>1870113</v>
      </c>
      <c r="Q16" s="469">
        <v>124534</v>
      </c>
    </row>
    <row r="17" spans="1:16" x14ac:dyDescent="0.2">
      <c r="A17">
        <f>' Purchased Power Model'!B161</f>
        <v>2013</v>
      </c>
      <c r="B17" s="6"/>
      <c r="C17" s="6">
        <f>' Purchased Power Model'!O161</f>
        <v>261780933.65539229</v>
      </c>
      <c r="G17" s="18">
        <f>C17/$F$20</f>
        <v>249939015.06314868</v>
      </c>
      <c r="H17" s="588">
        <f>G17/1000000</f>
        <v>249.93901506314867</v>
      </c>
      <c r="P17" s="69">
        <f>SUM(P14:P16)</f>
        <v>3584097.6399999997</v>
      </c>
    </row>
    <row r="18" spans="1:16" x14ac:dyDescent="0.2">
      <c r="A18">
        <f>' Purchased Power Model'!B162</f>
        <v>2014</v>
      </c>
      <c r="B18" s="6"/>
      <c r="C18" s="6">
        <f>' Purchased Power Model'!O162</f>
        <v>264642021.95537755</v>
      </c>
      <c r="E18" s="70"/>
      <c r="F18" s="70"/>
      <c r="G18" s="18">
        <f>C18/$F$20</f>
        <v>252670679.21348122</v>
      </c>
      <c r="H18" s="588">
        <f>G18/1000000</f>
        <v>252.67067921348121</v>
      </c>
      <c r="K18" s="101" t="s">
        <v>445</v>
      </c>
      <c r="P18" s="69"/>
    </row>
    <row r="19" spans="1:16" x14ac:dyDescent="0.2">
      <c r="B19" s="6"/>
      <c r="C19" s="20"/>
      <c r="G19" s="22"/>
      <c r="K19" s="101" t="s">
        <v>448</v>
      </c>
    </row>
    <row r="20" spans="1:16" x14ac:dyDescent="0.2">
      <c r="A20" s="85" t="s">
        <v>61</v>
      </c>
      <c r="C20" s="589">
        <f>C17/1000000</f>
        <v>261.78093365539229</v>
      </c>
      <c r="F20" s="585">
        <f>AVERAGE(F8:F16)</f>
        <v>1.0473792320468722</v>
      </c>
      <c r="G20" s="582" t="s">
        <v>450</v>
      </c>
    </row>
    <row r="21" spans="1:16" x14ac:dyDescent="0.2">
      <c r="A21" s="85" t="s">
        <v>13</v>
      </c>
      <c r="C21" s="589">
        <f>C18/1000000</f>
        <v>264.64202195537757</v>
      </c>
      <c r="F21" s="586"/>
    </row>
    <row r="22" spans="1:16" x14ac:dyDescent="0.2">
      <c r="E22"/>
      <c r="F22" s="587">
        <v>1.0481</v>
      </c>
      <c r="G22" t="s">
        <v>451</v>
      </c>
    </row>
    <row r="24" spans="1:16" ht="25.5" x14ac:dyDescent="0.2">
      <c r="A24" s="145" t="s">
        <v>15</v>
      </c>
      <c r="B24" s="12"/>
      <c r="G24" s="69"/>
      <c r="H24" s="22"/>
      <c r="I24" s="22"/>
      <c r="J24" s="22"/>
      <c r="K24" s="22"/>
      <c r="L24" s="22"/>
      <c r="M24" s="22"/>
    </row>
    <row r="25" spans="1:16" x14ac:dyDescent="0.2">
      <c r="A25">
        <f t="shared" ref="A25:A36" si="5">A7</f>
        <v>2003</v>
      </c>
      <c r="G25" s="69"/>
      <c r="H25" s="50">
        <f>H7/'Rate Class Customer Model'!B3</f>
        <v>9082.5346927528244</v>
      </c>
      <c r="I25" s="50">
        <f>I7/'Rate Class Customer Model'!C3</f>
        <v>31350.759650025735</v>
      </c>
      <c r="J25" s="50">
        <f>J7/'Rate Class Customer Model'!D3</f>
        <v>881597.95804195805</v>
      </c>
      <c r="K25" s="50">
        <f>K7/'Rate Class Customer Model'!E3</f>
        <v>607.6643849012321</v>
      </c>
      <c r="L25" s="50">
        <f>L7/'Rate Class Customer Model'!F3</f>
        <v>816.68902439024396</v>
      </c>
      <c r="M25" s="50" t="str">
        <f>IF(ISERROR('Rate Class Energy Model'!M7/'Rate Class Customer Model'!G3),"",IF(M7=0,"",M7/'Rate Class Customer Model'!G3))</f>
        <v/>
      </c>
    </row>
    <row r="26" spans="1:16" x14ac:dyDescent="0.2">
      <c r="A26">
        <f t="shared" si="5"/>
        <v>2004</v>
      </c>
      <c r="G26" s="69"/>
      <c r="H26" s="50">
        <f>H8/'Rate Class Customer Model'!B4</f>
        <v>8905.4453546022851</v>
      </c>
      <c r="I26" s="50">
        <f>I8/'Rate Class Customer Model'!C4</f>
        <v>31136.999491094146</v>
      </c>
      <c r="J26" s="50">
        <f>J8/'Rate Class Customer Model'!D4</f>
        <v>874502.74914089346</v>
      </c>
      <c r="K26" s="50">
        <f>K8/'Rate Class Customer Model'!E4</f>
        <v>646.77360289910359</v>
      </c>
      <c r="L26" s="50">
        <f>L8/'Rate Class Customer Model'!F4</f>
        <v>797.72619047619048</v>
      </c>
      <c r="M26" s="50" t="str">
        <f>IF(ISERROR('Rate Class Energy Model'!M8/'Rate Class Customer Model'!G4),"",IF(M8=0,"",M8/'Rate Class Customer Model'!G4))</f>
        <v/>
      </c>
    </row>
    <row r="27" spans="1:16" x14ac:dyDescent="0.2">
      <c r="A27">
        <f t="shared" si="5"/>
        <v>2005</v>
      </c>
      <c r="G27" s="69"/>
      <c r="H27" s="50">
        <f>H9/'Rate Class Customer Model'!B5</f>
        <v>9294.1165750663131</v>
      </c>
      <c r="I27" s="50">
        <f>I9/'Rate Class Customer Model'!C5</f>
        <v>34899.502790461695</v>
      </c>
      <c r="J27" s="50">
        <f>J9/'Rate Class Customer Model'!D5</f>
        <v>913724.87681159424</v>
      </c>
      <c r="K27" s="50">
        <f>K9/'Rate Class Customer Model'!E5</f>
        <v>616.92111953352776</v>
      </c>
      <c r="L27" s="50">
        <f>L9/'Rate Class Customer Model'!F5</f>
        <v>782.50942196531798</v>
      </c>
      <c r="M27" s="50" t="str">
        <f>IF(ISERROR('Rate Class Energy Model'!M9/'Rate Class Customer Model'!G5),"",IF(M9=0,"",M9/'Rate Class Customer Model'!G5))</f>
        <v/>
      </c>
    </row>
    <row r="28" spans="1:16" x14ac:dyDescent="0.2">
      <c r="A28">
        <f t="shared" si="5"/>
        <v>2006</v>
      </c>
      <c r="G28" s="69"/>
      <c r="H28" s="50">
        <f>H10/'Rate Class Customer Model'!B6</f>
        <v>8970.1895808067475</v>
      </c>
      <c r="I28" s="50">
        <f>I10/'Rate Class Customer Model'!C6</f>
        <v>35428.883301459478</v>
      </c>
      <c r="J28" s="50">
        <f>J10/'Rate Class Customer Model'!D6</f>
        <v>992597.84409266408</v>
      </c>
      <c r="K28" s="50">
        <f>K10/'Rate Class Customer Model'!E6</f>
        <v>636.26066640063846</v>
      </c>
      <c r="L28" s="50">
        <f>L10/'Rate Class Customer Model'!F6</f>
        <v>743.5564571428572</v>
      </c>
      <c r="M28" s="50">
        <f>M10/'Rate Class Customer Model'!G6</f>
        <v>2471.8690066225163</v>
      </c>
    </row>
    <row r="29" spans="1:16" x14ac:dyDescent="0.2">
      <c r="A29">
        <f t="shared" si="5"/>
        <v>2007</v>
      </c>
      <c r="G29" s="69"/>
      <c r="H29" s="50">
        <f>H11/'Rate Class Customer Model'!B7</f>
        <v>8999.9338891798452</v>
      </c>
      <c r="I29" s="50">
        <f>I11/'Rate Class Customer Model'!C7</f>
        <v>35993.407110247688</v>
      </c>
      <c r="J29" s="50">
        <f>J11/'Rate Class Customer Model'!D7</f>
        <v>1007805.1407250017</v>
      </c>
      <c r="K29" s="50">
        <f>K11/'Rate Class Customer Model'!E7</f>
        <v>641.42995830851714</v>
      </c>
      <c r="L29" s="50">
        <f>L11/'Rate Class Customer Model'!F7</f>
        <v>747.76442577030798</v>
      </c>
      <c r="M29" s="50">
        <f>M11/'Rate Class Customer Model'!G7</f>
        <v>2594.7470163934427</v>
      </c>
    </row>
    <row r="30" spans="1:16" x14ac:dyDescent="0.2">
      <c r="A30">
        <f t="shared" si="5"/>
        <v>2008</v>
      </c>
      <c r="G30" s="69"/>
      <c r="H30" s="50">
        <f>H12/'Rate Class Customer Model'!B8</f>
        <v>8884.8663658574624</v>
      </c>
      <c r="I30" s="50">
        <f>I12/'Rate Class Customer Model'!C8</f>
        <v>35298.41785007072</v>
      </c>
      <c r="J30" s="50">
        <f>J12/'Rate Class Customer Model'!D8</f>
        <v>943638.24166666658</v>
      </c>
      <c r="K30" s="50">
        <f>K12/'Rate Class Customer Model'!E8</f>
        <v>656.20142289498574</v>
      </c>
      <c r="L30" s="50">
        <f>L12/'Rate Class Customer Model'!F8</f>
        <v>775.59002832861177</v>
      </c>
      <c r="M30" s="50">
        <f>M12/'Rate Class Customer Model'!G8</f>
        <v>2547.2344805194803</v>
      </c>
    </row>
    <row r="31" spans="1:16" x14ac:dyDescent="0.2">
      <c r="A31">
        <f t="shared" si="5"/>
        <v>2009</v>
      </c>
      <c r="G31" s="69"/>
      <c r="H31" s="50">
        <f>H13/'Rate Class Customer Model'!B9</f>
        <v>8671.6282429099865</v>
      </c>
      <c r="I31" s="50">
        <f>I13/'Rate Class Customer Model'!C9</f>
        <v>32067.410352622064</v>
      </c>
      <c r="J31" s="50">
        <f>J13/'Rate Class Customer Model'!D9</f>
        <v>930966.38680083619</v>
      </c>
      <c r="K31" s="50">
        <f>K13/'Rate Class Customer Model'!E9</f>
        <v>659.50340163934436</v>
      </c>
      <c r="L31" s="50">
        <f>L13/'Rate Class Customer Model'!F9</f>
        <v>747.15017441860471</v>
      </c>
      <c r="M31" s="50">
        <f>M13/'Rate Class Customer Model'!G9</f>
        <v>2423.1853246753249</v>
      </c>
    </row>
    <row r="32" spans="1:16" x14ac:dyDescent="0.2">
      <c r="A32">
        <f t="shared" si="5"/>
        <v>2010</v>
      </c>
      <c r="G32" s="69"/>
      <c r="H32" s="50">
        <f>H14/'Rate Class Customer Model'!B10</f>
        <v>8718.3981392526675</v>
      </c>
      <c r="I32" s="50">
        <f>I14/'Rate Class Customer Model'!C10</f>
        <v>31238.996971008222</v>
      </c>
      <c r="J32" s="50">
        <f>J14/'Rate Class Customer Model'!D10</f>
        <v>952822.78773140092</v>
      </c>
      <c r="K32" s="50">
        <f>K14/'Rate Class Customer Model'!E10</f>
        <v>658.82839140103783</v>
      </c>
      <c r="L32" s="50">
        <f>L14/'Rate Class Customer Model'!F10</f>
        <v>767.74096385542168</v>
      </c>
      <c r="M32" s="50">
        <f>M14/'Rate Class Customer Model'!G10</f>
        <v>2395.6923076923076</v>
      </c>
    </row>
    <row r="33" spans="1:23" x14ac:dyDescent="0.2">
      <c r="A33">
        <f t="shared" si="5"/>
        <v>2011</v>
      </c>
      <c r="G33" s="69"/>
      <c r="H33" s="50">
        <f>H15/'Rate Class Customer Model'!B11</f>
        <v>8594.6511255627811</v>
      </c>
      <c r="I33" s="50">
        <f>I15/'Rate Class Customer Model'!C11</f>
        <v>31836.337328007103</v>
      </c>
      <c r="J33" s="50">
        <f>J15/'Rate Class Customer Model'!D11</f>
        <v>932622.5666298056</v>
      </c>
      <c r="K33" s="50">
        <f>K15/'Rate Class Customer Model'!E11</f>
        <v>640.46200826297832</v>
      </c>
      <c r="L33" s="50">
        <f>L15/'Rate Class Customer Model'!F11</f>
        <v>613.7275541795666</v>
      </c>
      <c r="M33" s="50">
        <f>M15/'Rate Class Customer Model'!G11</f>
        <v>2147.1936507936507</v>
      </c>
    </row>
    <row r="34" spans="1:23" x14ac:dyDescent="0.2">
      <c r="A34">
        <f t="shared" si="5"/>
        <v>2012</v>
      </c>
      <c r="G34" s="69"/>
      <c r="H34" s="50">
        <f>H16/'Rate Class Customer Model'!B12</f>
        <v>8495.1554784333166</v>
      </c>
      <c r="I34" s="50">
        <f>I16/'Rate Class Customer Model'!C12</f>
        <v>32205.277978339349</v>
      </c>
      <c r="J34" s="50">
        <f>J16/'Rate Class Customer Model'!D12</f>
        <v>948453.14170872909</v>
      </c>
      <c r="K34" s="50">
        <f>K16/'Rate Class Customer Model'!E12</f>
        <v>641.05716725978641</v>
      </c>
      <c r="L34" s="50">
        <f>L16/'Rate Class Customer Model'!F12</f>
        <v>793.21019108280257</v>
      </c>
      <c r="M34" s="50">
        <f>M16/'Rate Class Customer Model'!G12</f>
        <v>3170.8122605363983</v>
      </c>
    </row>
    <row r="35" spans="1:23" x14ac:dyDescent="0.2">
      <c r="A35">
        <f t="shared" si="5"/>
        <v>2013</v>
      </c>
      <c r="G35" s="69"/>
      <c r="H35" s="18">
        <f>H34*H49</f>
        <v>8432.2823286941293</v>
      </c>
      <c r="I35" s="18">
        <f t="shared" ref="I35:M35" si="6">I34*I49</f>
        <v>32301.650732912691</v>
      </c>
      <c r="J35" s="18">
        <f>J34*J49</f>
        <v>956187.66174310446</v>
      </c>
      <c r="K35" s="18">
        <f>K34*K49</f>
        <v>644.87895146515712</v>
      </c>
      <c r="L35" s="18">
        <f t="shared" si="6"/>
        <v>790.64345759397111</v>
      </c>
      <c r="M35" s="18">
        <f t="shared" si="6"/>
        <v>3305.1768958020061</v>
      </c>
    </row>
    <row r="36" spans="1:23" x14ac:dyDescent="0.2">
      <c r="A36">
        <f t="shared" si="5"/>
        <v>2014</v>
      </c>
      <c r="B36" s="70"/>
      <c r="C36" s="70"/>
      <c r="D36" s="70"/>
      <c r="E36" s="70"/>
      <c r="F36" s="70"/>
      <c r="G36" s="69"/>
      <c r="H36" s="18">
        <f t="shared" ref="H36:M36" si="7">H35*H49</f>
        <v>8369.8745068666158</v>
      </c>
      <c r="I36" s="18">
        <f t="shared" si="7"/>
        <v>32398.311878346383</v>
      </c>
      <c r="J36" s="18">
        <f t="shared" si="7"/>
        <v>963985.25584780704</v>
      </c>
      <c r="K36" s="18">
        <f t="shared" si="7"/>
        <v>648.72351996381451</v>
      </c>
      <c r="L36" s="18">
        <f t="shared" si="7"/>
        <v>788.0850297483056</v>
      </c>
      <c r="M36" s="18">
        <f t="shared" si="7"/>
        <v>3445.2352945977846</v>
      </c>
    </row>
    <row r="38" spans="1:23" x14ac:dyDescent="0.2">
      <c r="A38" s="16" t="s">
        <v>234</v>
      </c>
      <c r="B38" s="140"/>
      <c r="C38" s="140"/>
      <c r="D38" s="140"/>
      <c r="E38" s="140"/>
      <c r="F38" s="140"/>
    </row>
    <row r="39" spans="1:23" x14ac:dyDescent="0.2">
      <c r="A39" s="31">
        <v>2004</v>
      </c>
      <c r="D39" s="6"/>
      <c r="H39" s="20">
        <f t="shared" ref="H39:I47" si="8">H26/H25</f>
        <v>0.98050221175683006</v>
      </c>
      <c r="I39" s="20">
        <f t="shared" si="8"/>
        <v>0.99318165934995406</v>
      </c>
      <c r="J39" s="20">
        <f t="shared" ref="J39:L47" si="9">J26/J25</f>
        <v>0.99195187688861808</v>
      </c>
      <c r="K39" s="20">
        <f t="shared" si="9"/>
        <v>1.0643598982754736</v>
      </c>
      <c r="L39" s="20">
        <f t="shared" si="9"/>
        <v>0.97678083903697432</v>
      </c>
      <c r="M39" s="20"/>
      <c r="O39" s="63"/>
      <c r="P39" s="63"/>
      <c r="Q39" s="63"/>
      <c r="R39" s="63"/>
      <c r="S39" s="63"/>
      <c r="T39" s="63"/>
      <c r="U39" s="63"/>
      <c r="V39" s="63"/>
      <c r="W39" s="63"/>
    </row>
    <row r="40" spans="1:23" x14ac:dyDescent="0.2">
      <c r="A40" s="31">
        <v>2005</v>
      </c>
      <c r="D40" s="6"/>
      <c r="H40" s="20">
        <f t="shared" si="8"/>
        <v>1.0436442204727205</v>
      </c>
      <c r="I40" s="20">
        <f t="shared" si="8"/>
        <v>1.1208370543360706</v>
      </c>
      <c r="J40" s="20">
        <f t="shared" si="9"/>
        <v>1.0448507768663191</v>
      </c>
      <c r="K40" s="20">
        <f t="shared" si="9"/>
        <v>0.95384399853091595</v>
      </c>
      <c r="L40" s="20">
        <f t="shared" si="9"/>
        <v>0.98092482271167625</v>
      </c>
      <c r="M40" s="20"/>
      <c r="O40" s="63"/>
      <c r="P40" s="63"/>
      <c r="Q40" s="63"/>
      <c r="R40" s="63"/>
      <c r="S40" s="63"/>
      <c r="T40" s="63"/>
      <c r="U40" s="63"/>
      <c r="V40" s="63"/>
      <c r="W40" s="63"/>
    </row>
    <row r="41" spans="1:23" x14ac:dyDescent="0.2">
      <c r="A41" s="31">
        <v>2006</v>
      </c>
      <c r="D41" s="6"/>
      <c r="H41" s="20">
        <f t="shared" si="8"/>
        <v>0.96514709153438238</v>
      </c>
      <c r="I41" s="20">
        <f t="shared" si="8"/>
        <v>1.0151687121210926</v>
      </c>
      <c r="J41" s="20">
        <f t="shared" si="9"/>
        <v>1.0863202581900735</v>
      </c>
      <c r="K41" s="20">
        <f t="shared" si="9"/>
        <v>1.0313484921406708</v>
      </c>
      <c r="L41" s="20">
        <f t="shared" si="9"/>
        <v>0.95022045265010591</v>
      </c>
      <c r="M41" s="20"/>
      <c r="O41" s="63"/>
      <c r="P41" s="63"/>
      <c r="Q41" s="63"/>
      <c r="R41" s="63"/>
      <c r="S41" s="63"/>
      <c r="T41" s="63"/>
      <c r="U41" s="63"/>
      <c r="V41" s="63"/>
      <c r="W41" s="63"/>
    </row>
    <row r="42" spans="1:23" x14ac:dyDescent="0.2">
      <c r="A42" s="31">
        <v>2007</v>
      </c>
      <c r="D42" s="6"/>
      <c r="H42" s="20">
        <f t="shared" si="8"/>
        <v>1.0033159063256301</v>
      </c>
      <c r="I42" s="20">
        <f t="shared" si="8"/>
        <v>1.0159339994993564</v>
      </c>
      <c r="J42" s="20">
        <f t="shared" si="9"/>
        <v>1.0153207028635436</v>
      </c>
      <c r="K42" s="20">
        <f t="shared" si="9"/>
        <v>1.0081244876209645</v>
      </c>
      <c r="L42" s="20">
        <f t="shared" si="9"/>
        <v>1.0056592456255711</v>
      </c>
      <c r="M42" s="20">
        <f t="shared" ref="M42:M47" si="10">M29/M28</f>
        <v>1.0497105669603517</v>
      </c>
      <c r="O42" s="63"/>
      <c r="P42" s="63"/>
      <c r="Q42" s="63"/>
      <c r="R42" s="63"/>
      <c r="S42" s="63"/>
      <c r="T42" s="63"/>
      <c r="U42" s="63"/>
      <c r="V42" s="63"/>
      <c r="W42" s="63"/>
    </row>
    <row r="43" spans="1:23" x14ac:dyDescent="0.2">
      <c r="A43" s="31">
        <v>2008</v>
      </c>
      <c r="D43" s="6"/>
      <c r="H43" s="20">
        <f t="shared" si="8"/>
        <v>0.98721462571400409</v>
      </c>
      <c r="I43" s="20">
        <f t="shared" si="8"/>
        <v>0.98069120664103238</v>
      </c>
      <c r="J43" s="20">
        <f t="shared" si="9"/>
        <v>0.93633005383146362</v>
      </c>
      <c r="K43" s="20">
        <f t="shared" si="9"/>
        <v>1.0230289595849587</v>
      </c>
      <c r="L43" s="20">
        <f t="shared" si="9"/>
        <v>1.0372117228358908</v>
      </c>
      <c r="M43" s="20">
        <f t="shared" si="10"/>
        <v>0.98168895249757249</v>
      </c>
      <c r="O43" s="63"/>
      <c r="P43" s="63"/>
      <c r="Q43" s="63"/>
      <c r="R43" s="63"/>
      <c r="S43" s="63"/>
      <c r="T43" s="63"/>
      <c r="U43" s="63"/>
      <c r="V43" s="63"/>
      <c r="W43" s="63"/>
    </row>
    <row r="44" spans="1:23" x14ac:dyDescent="0.2">
      <c r="A44" s="31">
        <v>2009</v>
      </c>
      <c r="D44" s="6"/>
      <c r="H44" s="20">
        <f t="shared" si="8"/>
        <v>0.97599985028847458</v>
      </c>
      <c r="I44" s="20">
        <f t="shared" si="8"/>
        <v>0.90846593999843583</v>
      </c>
      <c r="J44" s="20">
        <f t="shared" si="9"/>
        <v>0.98657127879488093</v>
      </c>
      <c r="K44" s="20">
        <f t="shared" si="9"/>
        <v>1.0050319591350338</v>
      </c>
      <c r="L44" s="20">
        <f t="shared" si="9"/>
        <v>0.96333133115275527</v>
      </c>
      <c r="M44" s="20">
        <f t="shared" si="10"/>
        <v>0.9513004567138017</v>
      </c>
      <c r="O44" s="63"/>
      <c r="P44" s="63"/>
      <c r="Q44" s="63"/>
      <c r="R44" s="63"/>
      <c r="S44" s="63"/>
      <c r="T44" s="63"/>
      <c r="U44" s="63"/>
      <c r="V44" s="63"/>
      <c r="W44" s="63"/>
    </row>
    <row r="45" spans="1:23" x14ac:dyDescent="0.2">
      <c r="A45" s="31">
        <v>2010</v>
      </c>
      <c r="D45" s="6"/>
      <c r="H45" s="20">
        <f t="shared" si="8"/>
        <v>1.0053934388136301</v>
      </c>
      <c r="I45" s="20">
        <f t="shared" si="8"/>
        <v>0.97416650198739529</v>
      </c>
      <c r="J45" s="20">
        <f t="shared" si="9"/>
        <v>1.0234771107103791</v>
      </c>
      <c r="K45" s="20">
        <f t="shared" ref="K45:M46" si="11">K32/K31</f>
        <v>0.99897648710131193</v>
      </c>
      <c r="L45" s="20">
        <f t="shared" si="11"/>
        <v>1.0275591041022505</v>
      </c>
      <c r="M45" s="20">
        <f t="shared" si="11"/>
        <v>0.98865418311052999</v>
      </c>
      <c r="O45" s="63"/>
      <c r="P45" s="63"/>
      <c r="Q45" s="63"/>
      <c r="R45" s="63"/>
      <c r="S45" s="63"/>
      <c r="T45" s="63"/>
      <c r="U45" s="63"/>
      <c r="V45" s="63"/>
      <c r="W45" s="63"/>
    </row>
    <row r="46" spans="1:23" x14ac:dyDescent="0.2">
      <c r="A46" s="31">
        <v>2011</v>
      </c>
      <c r="D46" s="6"/>
      <c r="H46" s="20">
        <f t="shared" si="8"/>
        <v>0.98580622131343798</v>
      </c>
      <c r="I46" s="20">
        <f t="shared" si="8"/>
        <v>1.0191216240890593</v>
      </c>
      <c r="J46" s="20">
        <f t="shared" si="9"/>
        <v>0.978799603282274</v>
      </c>
      <c r="K46" s="188">
        <f>K33/K32</f>
        <v>0.97212265989478341</v>
      </c>
      <c r="L46" s="184">
        <f t="shared" si="11"/>
        <v>0.79939404444119466</v>
      </c>
      <c r="M46" s="189">
        <f t="shared" si="11"/>
        <v>0.89627271578209156</v>
      </c>
      <c r="O46" s="63"/>
      <c r="P46" s="63"/>
      <c r="Q46" s="63"/>
      <c r="R46" s="63"/>
      <c r="S46" s="63"/>
      <c r="T46" s="63"/>
      <c r="U46" s="63"/>
      <c r="V46" s="63"/>
      <c r="W46" s="63"/>
    </row>
    <row r="47" spans="1:23" x14ac:dyDescent="0.2">
      <c r="A47" s="31">
        <v>2012</v>
      </c>
      <c r="B47" s="70"/>
      <c r="C47" s="70"/>
      <c r="D47" s="6"/>
      <c r="E47" s="70"/>
      <c r="F47" s="70"/>
      <c r="H47" s="20">
        <f t="shared" si="8"/>
        <v>0.98842353858511622</v>
      </c>
      <c r="I47" s="20">
        <f t="shared" si="8"/>
        <v>1.0115886650694481</v>
      </c>
      <c r="J47" s="20">
        <f t="shared" si="9"/>
        <v>1.0169742569452613</v>
      </c>
      <c r="K47" s="185">
        <f t="shared" si="9"/>
        <v>1.0009292651072657</v>
      </c>
      <c r="L47" s="186">
        <f t="shared" si="9"/>
        <v>1.2924467635206132</v>
      </c>
      <c r="M47" s="187">
        <f t="shared" si="10"/>
        <v>1.476723936550574</v>
      </c>
      <c r="O47" s="63"/>
      <c r="P47" s="63"/>
      <c r="Q47" s="63"/>
      <c r="R47" s="63"/>
      <c r="S47" s="63"/>
      <c r="T47" s="63"/>
      <c r="U47" s="63"/>
      <c r="V47" s="63"/>
      <c r="W47" s="63"/>
    </row>
    <row r="48" spans="1:23" x14ac:dyDescent="0.2">
      <c r="A48" s="3"/>
      <c r="D48" s="6"/>
      <c r="E48" s="6"/>
      <c r="F48" s="6"/>
    </row>
    <row r="49" spans="1:23" x14ac:dyDescent="0.2">
      <c r="A49" t="s">
        <v>17</v>
      </c>
      <c r="D49" s="6"/>
      <c r="H49" s="87">
        <f t="shared" ref="H49:M49" si="12">H51</f>
        <v>0.99259894066697141</v>
      </c>
      <c r="I49" s="87">
        <f t="shared" si="12"/>
        <v>1.0029924521886804</v>
      </c>
      <c r="J49" s="87">
        <f t="shared" si="12"/>
        <v>1.008154878395406</v>
      </c>
      <c r="K49" s="87">
        <f t="shared" si="12"/>
        <v>1.0059616901589401</v>
      </c>
      <c r="L49" s="87">
        <f t="shared" si="12"/>
        <v>0.99676411937505793</v>
      </c>
      <c r="M49" s="87">
        <f t="shared" si="12"/>
        <v>1.0423754622554908</v>
      </c>
    </row>
    <row r="50" spans="1:23" x14ac:dyDescent="0.2">
      <c r="A50" s="3"/>
      <c r="D50" s="6"/>
      <c r="H50" s="12"/>
      <c r="I50" s="12"/>
      <c r="L50" s="10"/>
      <c r="M50" s="10"/>
    </row>
    <row r="51" spans="1:23" x14ac:dyDescent="0.2">
      <c r="A51" t="s">
        <v>14</v>
      </c>
      <c r="D51" s="6"/>
      <c r="H51" s="20">
        <f>GEOMEAN(H39:H47)</f>
        <v>0.99259894066697141</v>
      </c>
      <c r="I51" s="20">
        <f t="shared" ref="I51:M51" si="13">GEOMEAN(I39:I47)</f>
        <v>1.0029924521886804</v>
      </c>
      <c r="J51" s="20">
        <f t="shared" si="13"/>
        <v>1.008154878395406</v>
      </c>
      <c r="K51" s="20">
        <f t="shared" si="13"/>
        <v>1.0059616901589401</v>
      </c>
      <c r="L51" s="20">
        <f t="shared" si="13"/>
        <v>0.99676411937505793</v>
      </c>
      <c r="M51" s="20">
        <f t="shared" si="13"/>
        <v>1.0423754622554908</v>
      </c>
      <c r="O51" s="63"/>
      <c r="P51" s="63"/>
      <c r="Q51" s="63"/>
      <c r="R51" s="63"/>
      <c r="S51" s="63"/>
      <c r="T51" s="63"/>
      <c r="U51" s="63"/>
      <c r="V51" s="63"/>
      <c r="W51" s="63"/>
    </row>
    <row r="52" spans="1:23" x14ac:dyDescent="0.2">
      <c r="D52" s="6"/>
      <c r="H52" s="20"/>
      <c r="I52" s="20"/>
      <c r="J52" s="20"/>
      <c r="K52" s="20"/>
      <c r="L52" s="20"/>
      <c r="M52" s="20"/>
    </row>
    <row r="53" spans="1:23" x14ac:dyDescent="0.2">
      <c r="A53" s="16" t="s">
        <v>44</v>
      </c>
    </row>
    <row r="54" spans="1:23" x14ac:dyDescent="0.2">
      <c r="A54">
        <v>2013</v>
      </c>
      <c r="B54"/>
      <c r="C54"/>
      <c r="D54"/>
      <c r="F54" s="589">
        <f>G54/1000000</f>
        <v>243.22783637969118</v>
      </c>
      <c r="G54" s="223">
        <f>SUM(H54:M54)</f>
        <v>243227836.37969118</v>
      </c>
      <c r="H54" s="30">
        <f>H35*'Rate Class Customer Model'!B13</f>
        <v>86045166.212251246</v>
      </c>
      <c r="I54" s="30">
        <f>I35*'Rate Class Customer Model'!C13</f>
        <v>36316884.388788953</v>
      </c>
      <c r="J54" s="30">
        <f>J35*'Rate Class Customer Model'!D13</f>
        <v>118567270.05614495</v>
      </c>
      <c r="K54" s="30">
        <f>K35*'Rate Class Customer Model'!E13</f>
        <v>1831246.477157607</v>
      </c>
      <c r="L54" s="30">
        <f>L35*'Rate Class Customer Model'!F13</f>
        <v>123530.84818503985</v>
      </c>
      <c r="M54" s="30">
        <f>M35*'Rate Class Customer Model'!G13</f>
        <v>343738.39716340863</v>
      </c>
    </row>
    <row r="55" spans="1:23" x14ac:dyDescent="0.2">
      <c r="A55">
        <v>2014</v>
      </c>
      <c r="B55" s="70"/>
      <c r="C55" s="70"/>
      <c r="D55" s="70"/>
      <c r="E55" s="70"/>
      <c r="F55" s="589">
        <f>G55/1000000</f>
        <v>244.29251030943689</v>
      </c>
      <c r="G55" s="223">
        <f>SUM(H55:M55)</f>
        <v>244292510.30943689</v>
      </c>
      <c r="H55" s="30">
        <f>H36*'Rate Class Customer Model'!B14</f>
        <v>86418300.532568038</v>
      </c>
      <c r="I55" s="30">
        <f>I36*'Rate Class Customer Model'!C14</f>
        <v>36961565.253129773</v>
      </c>
      <c r="J55" s="30">
        <f>J36*'Rate Class Customer Model'!D14</f>
        <v>118570186.46928027</v>
      </c>
      <c r="K55" s="30">
        <f>K36*'Rate Class Customer Model'!E14</f>
        <v>1861617.8068174501</v>
      </c>
      <c r="L55" s="30">
        <f>L36*'Rate Class Customer Model'!F14</f>
        <v>122535.77700319083</v>
      </c>
      <c r="M55" s="30">
        <f>M36*'Rate Class Customer Model'!G14</f>
        <v>358304.47063816962</v>
      </c>
    </row>
    <row r="56" spans="1:23" x14ac:dyDescent="0.2">
      <c r="G56" s="30"/>
      <c r="H56" s="30"/>
      <c r="I56" s="30"/>
      <c r="J56" s="30"/>
      <c r="K56" s="30"/>
      <c r="L56" s="30"/>
      <c r="M56" s="30"/>
    </row>
    <row r="57" spans="1:23" x14ac:dyDescent="0.2">
      <c r="A57" s="16" t="s">
        <v>43</v>
      </c>
      <c r="G57" s="30"/>
      <c r="H57" s="30"/>
      <c r="I57" s="30"/>
      <c r="J57" s="30"/>
      <c r="K57" s="30"/>
      <c r="L57" s="30"/>
      <c r="M57" s="30"/>
      <c r="N57" s="30" t="s">
        <v>16</v>
      </c>
    </row>
    <row r="58" spans="1:23" x14ac:dyDescent="0.2">
      <c r="A58">
        <v>2013</v>
      </c>
      <c r="G58" s="259">
        <f>G17</f>
        <v>249939015.06314868</v>
      </c>
      <c r="H58" s="225">
        <f>H54+H67-H71</f>
        <v>88880994.441716522</v>
      </c>
      <c r="I58" s="225">
        <f>I54+I67-I71</f>
        <v>37014297.944330722</v>
      </c>
      <c r="J58" s="225">
        <f t="shared" ref="J58:M58" si="14">J54+J67-J71</f>
        <v>120548540.28792873</v>
      </c>
      <c r="K58" s="225">
        <f>K54+K67-K71</f>
        <v>1831246.477157607</v>
      </c>
      <c r="L58" s="225">
        <f t="shared" si="14"/>
        <v>123530.84818503985</v>
      </c>
      <c r="M58" s="225">
        <f t="shared" si="14"/>
        <v>343738.39716340863</v>
      </c>
      <c r="N58" s="268">
        <f>SUM(H58:M58)</f>
        <v>248742348.39648202</v>
      </c>
      <c r="O58" s="6">
        <f>G58-G71</f>
        <v>248742348.39648202</v>
      </c>
      <c r="P58" s="6">
        <f>N58-O58</f>
        <v>0</v>
      </c>
    </row>
    <row r="59" spans="1:23" x14ac:dyDescent="0.2">
      <c r="A59">
        <v>2014</v>
      </c>
      <c r="B59" s="70"/>
      <c r="C59" s="70"/>
      <c r="D59" s="70"/>
      <c r="E59" s="70"/>
      <c r="F59" s="70"/>
      <c r="G59" s="259">
        <f>G18</f>
        <v>252670679.21348122</v>
      </c>
      <c r="H59" s="225">
        <f>H55+H68-H72</f>
        <v>89827012.905997798</v>
      </c>
      <c r="I59" s="225">
        <f t="shared" ref="I59:M59" si="15">I55+I68-I72</f>
        <v>37298288.334516436</v>
      </c>
      <c r="J59" s="225">
        <f t="shared" si="15"/>
        <v>120512919.91850819</v>
      </c>
      <c r="K59" s="225">
        <f t="shared" si="15"/>
        <v>1861617.8068174501</v>
      </c>
      <c r="L59" s="225">
        <f t="shared" si="15"/>
        <v>122535.77700319083</v>
      </c>
      <c r="M59" s="225">
        <f t="shared" si="15"/>
        <v>358304.47063816962</v>
      </c>
      <c r="N59" s="268">
        <f>SUM(H59:M59)</f>
        <v>249980679.21348122</v>
      </c>
      <c r="O59" s="6">
        <f>G59-G72</f>
        <v>249980679.21348122</v>
      </c>
      <c r="P59" s="6">
        <f>N59-O59</f>
        <v>0</v>
      </c>
    </row>
    <row r="60" spans="1:23" ht="13.5" thickBot="1" x14ac:dyDescent="0.25">
      <c r="B60" s="70"/>
      <c r="C60" s="70"/>
      <c r="D60" s="70"/>
      <c r="E60" s="70"/>
      <c r="F60" s="70"/>
      <c r="G60" s="174"/>
      <c r="H60" s="30"/>
      <c r="I60" s="30"/>
      <c r="J60" s="30"/>
      <c r="K60" s="30"/>
      <c r="L60" s="30"/>
      <c r="M60" s="30"/>
      <c r="N60" s="30"/>
      <c r="O60" s="30"/>
    </row>
    <row r="61" spans="1:23" ht="13.5" thickBot="1" x14ac:dyDescent="0.25">
      <c r="G61" s="30"/>
      <c r="H61" s="791" t="s">
        <v>199</v>
      </c>
      <c r="I61" s="792"/>
      <c r="J61" s="792"/>
      <c r="K61" s="792"/>
      <c r="L61" s="792"/>
      <c r="M61" s="792"/>
      <c r="N61" s="30"/>
    </row>
    <row r="62" spans="1:23" x14ac:dyDescent="0.2">
      <c r="A62" s="39" t="s">
        <v>45</v>
      </c>
      <c r="G62" s="30"/>
      <c r="H62" s="44">
        <f>(100%+J62)/2</f>
        <v>0.72</v>
      </c>
      <c r="I62" s="44">
        <f>H62</f>
        <v>0.72</v>
      </c>
      <c r="J62" s="44">
        <v>0.44</v>
      </c>
      <c r="K62" s="222"/>
      <c r="L62" s="222"/>
      <c r="M62" s="222"/>
      <c r="N62" s="30" t="s">
        <v>16</v>
      </c>
    </row>
    <row r="63" spans="1:23" x14ac:dyDescent="0.2">
      <c r="A63">
        <v>2013</v>
      </c>
      <c r="G63" s="30"/>
      <c r="H63" s="30">
        <f>H54*H62</f>
        <v>61952519.672820896</v>
      </c>
      <c r="I63" s="30">
        <f t="shared" ref="I63:M63" si="16">I54*I62</f>
        <v>26148156.759928044</v>
      </c>
      <c r="J63" s="30">
        <f t="shared" si="16"/>
        <v>52169598.824703783</v>
      </c>
      <c r="K63" s="30">
        <f t="shared" si="16"/>
        <v>0</v>
      </c>
      <c r="L63" s="30">
        <f t="shared" si="16"/>
        <v>0</v>
      </c>
      <c r="M63" s="30">
        <f t="shared" si="16"/>
        <v>0</v>
      </c>
      <c r="N63" s="30">
        <f>SUM(H63:M63)</f>
        <v>140270275.25745273</v>
      </c>
    </row>
    <row r="64" spans="1:23" x14ac:dyDescent="0.2">
      <c r="A64">
        <v>2014</v>
      </c>
      <c r="B64" s="70"/>
      <c r="C64" s="70"/>
      <c r="D64" s="70"/>
      <c r="E64" s="70"/>
      <c r="F64" s="70"/>
      <c r="G64" s="30"/>
      <c r="H64" s="30">
        <f>H55*H62</f>
        <v>62221176.383448988</v>
      </c>
      <c r="I64" s="30">
        <f t="shared" ref="I64:M64" si="17">I55*I62</f>
        <v>26612326.982253436</v>
      </c>
      <c r="J64" s="30">
        <f t="shared" si="17"/>
        <v>52170882.046483323</v>
      </c>
      <c r="K64" s="30">
        <f t="shared" si="17"/>
        <v>0</v>
      </c>
      <c r="L64" s="30">
        <f t="shared" si="17"/>
        <v>0</v>
      </c>
      <c r="M64" s="30">
        <f t="shared" si="17"/>
        <v>0</v>
      </c>
      <c r="N64" s="30">
        <f>SUM(H64:M64)</f>
        <v>141004385.41218573</v>
      </c>
    </row>
    <row r="65" spans="1:18" ht="12" customHeight="1" x14ac:dyDescent="0.2">
      <c r="G65" s="30"/>
      <c r="H65" s="30"/>
      <c r="I65" s="30"/>
      <c r="J65" s="30"/>
      <c r="K65" s="30"/>
      <c r="L65" s="30"/>
      <c r="M65" s="30"/>
      <c r="N65" s="30"/>
    </row>
    <row r="66" spans="1:18" x14ac:dyDescent="0.2">
      <c r="A66" t="s">
        <v>46</v>
      </c>
      <c r="G66" s="30"/>
      <c r="H66" s="30"/>
      <c r="I66" s="30"/>
      <c r="J66" s="30"/>
      <c r="K66" s="30"/>
      <c r="L66" s="30"/>
      <c r="M66" s="30"/>
      <c r="N66" s="30"/>
    </row>
    <row r="67" spans="1:18" x14ac:dyDescent="0.2">
      <c r="A67">
        <v>2013</v>
      </c>
      <c r="B67"/>
      <c r="C67"/>
      <c r="D67"/>
      <c r="E67"/>
      <c r="F67" s="589">
        <f>G67/1000000</f>
        <v>6.7111786834574936</v>
      </c>
      <c r="G67" s="6">
        <f>G17-G54</f>
        <v>6711178.6834574938</v>
      </c>
      <c r="H67" s="30">
        <f>H63/$N$63*$G67</f>
        <v>2964095.0561450194</v>
      </c>
      <c r="I67" s="30">
        <f>I63/$N$63*$G67</f>
        <v>1251048.7481175049</v>
      </c>
      <c r="J67" s="30">
        <f>J63/$N$63*$G67</f>
        <v>2496034.8791949698</v>
      </c>
      <c r="K67" s="30">
        <f>K63/$N$63*$G$63</f>
        <v>0</v>
      </c>
      <c r="L67" s="30">
        <f>L63/$N$63*$G$63</f>
        <v>0</v>
      </c>
      <c r="M67" s="30">
        <f>M63/$N$63*$G$63</f>
        <v>0</v>
      </c>
      <c r="N67" s="30">
        <f>SUM(H67:M67)</f>
        <v>6711178.6834574938</v>
      </c>
    </row>
    <row r="68" spans="1:18" x14ac:dyDescent="0.2">
      <c r="A68">
        <v>2014</v>
      </c>
      <c r="B68" s="70"/>
      <c r="C68" s="70"/>
      <c r="D68" s="70"/>
      <c r="E68" s="70"/>
      <c r="F68" s="589">
        <f>G68/1000000</f>
        <v>8.3781689040443297</v>
      </c>
      <c r="G68" s="6">
        <f>G18-G55</f>
        <v>8378168.9040443301</v>
      </c>
      <c r="H68" s="30">
        <f>H64/$N$64*$G68</f>
        <v>3697044.7665510592</v>
      </c>
      <c r="I68" s="30">
        <f t="shared" ref="I68:J68" si="18">I64/$N$64*$G68</f>
        <v>1581245.6451989685</v>
      </c>
      <c r="J68" s="30">
        <f t="shared" si="18"/>
        <v>3099878.4922943036</v>
      </c>
      <c r="K68" s="30">
        <f>K64/$N$64*$G$64</f>
        <v>0</v>
      </c>
      <c r="L68" s="30">
        <f>L64/$N$64*$G$64</f>
        <v>0</v>
      </c>
      <c r="M68" s="30">
        <f>M64/$N$64*$G$64</f>
        <v>0</v>
      </c>
      <c r="N68" s="30">
        <f>SUM(H68:M68)</f>
        <v>8378168.904044332</v>
      </c>
    </row>
    <row r="69" spans="1:18" ht="13.5" thickBot="1" x14ac:dyDescent="0.25"/>
    <row r="70" spans="1:18" ht="13.5" thickBot="1" x14ac:dyDescent="0.25">
      <c r="A70" t="s">
        <v>100</v>
      </c>
      <c r="G70" s="788" t="s">
        <v>195</v>
      </c>
      <c r="H70" s="789"/>
      <c r="I70" s="789"/>
      <c r="J70" s="789"/>
      <c r="K70" s="789"/>
      <c r="L70" s="789"/>
      <c r="M70" s="789"/>
      <c r="N70" s="790"/>
      <c r="R70"/>
    </row>
    <row r="71" spans="1:18" x14ac:dyDescent="0.2">
      <c r="A71">
        <v>2013</v>
      </c>
      <c r="E71" s="30"/>
      <c r="F71" s="589">
        <f>G71/1000000</f>
        <v>1.1966666666666668</v>
      </c>
      <c r="G71" s="30">
        <f>('CDM Data'!Q13+'CDM Data'!Q14)*0.5</f>
        <v>1196666.6666666667</v>
      </c>
      <c r="H71" s="6">
        <f>$G$71*'CDM Data'!$Q$41</f>
        <v>128266.82667973726</v>
      </c>
      <c r="I71" s="6">
        <f>G71*'CDM Data'!$R$41</f>
        <v>553635.19257573551</v>
      </c>
      <c r="J71" s="6">
        <f>G71*'CDM Data'!$S$41</f>
        <v>514764.64741119399</v>
      </c>
      <c r="K71" s="30">
        <v>0</v>
      </c>
      <c r="L71" s="30">
        <v>0</v>
      </c>
      <c r="M71" s="30">
        <v>0</v>
      </c>
      <c r="N71" s="6">
        <f>SUM(H71:M71)</f>
        <v>1196666.6666666667</v>
      </c>
      <c r="O71" s="581"/>
      <c r="P71" s="22"/>
      <c r="R71"/>
    </row>
    <row r="72" spans="1:18" x14ac:dyDescent="0.2">
      <c r="A72">
        <v>2014</v>
      </c>
      <c r="E72" s="739" t="s">
        <v>479</v>
      </c>
      <c r="F72" s="589">
        <f>G72/1000000</f>
        <v>2.69</v>
      </c>
      <c r="G72" s="738">
        <f>'[18]App.2-I LF_CDM_WF'!$F$73</f>
        <v>2690000</v>
      </c>
      <c r="H72" s="6">
        <f>$G$72*'CDM Data'!$Q$41</f>
        <v>288332.39312130352</v>
      </c>
      <c r="I72" s="6">
        <f>G72*'CDM Data'!$R$41</f>
        <v>1244522.563812308</v>
      </c>
      <c r="J72" s="6">
        <f>G72*'CDM Data'!$S$41</f>
        <v>1157145.0430663887</v>
      </c>
      <c r="K72" s="30">
        <v>0</v>
      </c>
      <c r="L72" s="30">
        <v>0</v>
      </c>
      <c r="M72" s="30">
        <v>0</v>
      </c>
      <c r="N72" s="6">
        <f>SUM(H72:M72)</f>
        <v>2690000</v>
      </c>
      <c r="O72" s="581"/>
      <c r="P72" s="22"/>
      <c r="R72"/>
    </row>
    <row r="74" spans="1:18" x14ac:dyDescent="0.2">
      <c r="F74" s="198" t="s">
        <v>449</v>
      </c>
      <c r="G74" s="30">
        <f>'CDM Data'!Q14*'CDM Data'!D12</f>
        <v>2464800.390792768</v>
      </c>
      <c r="H74" s="234">
        <f>G74*H54/G54</f>
        <v>871956.77296866314</v>
      </c>
      <c r="I74" s="234">
        <f>H74*I54/H54</f>
        <v>368024.77942585084</v>
      </c>
      <c r="J74" s="234">
        <f t="shared" ref="J74:M74" si="19">I74*J54/I54</f>
        <v>1201526.3463241467</v>
      </c>
      <c r="K74" s="234">
        <f t="shared" si="19"/>
        <v>18557.320986442926</v>
      </c>
      <c r="L74" s="234">
        <f t="shared" si="19"/>
        <v>1251.8258083180128</v>
      </c>
      <c r="M74" s="234">
        <f t="shared" si="19"/>
        <v>3483.3452793464544</v>
      </c>
      <c r="N74" s="30">
        <f>SUM(H74:M74)</f>
        <v>2464800.390792768</v>
      </c>
      <c r="O74" s="6">
        <f>N74-G74</f>
        <v>0</v>
      </c>
    </row>
    <row r="75" spans="1:18" x14ac:dyDescent="0.2">
      <c r="G75" s="30">
        <f>('CDM Data'!R14+'CDM Data'!R15)*'CDM Data'!D12</f>
        <v>4929600.781585536</v>
      </c>
      <c r="H75" s="234">
        <f>G75*H55/G55</f>
        <v>1743842.7453589628</v>
      </c>
      <c r="I75" s="234">
        <f t="shared" ref="I75:M75" si="20">H75*I55/H55</f>
        <v>745850.78654134576</v>
      </c>
      <c r="J75" s="234">
        <f t="shared" si="20"/>
        <v>2392638.5755802998</v>
      </c>
      <c r="K75" s="234">
        <f t="shared" si="20"/>
        <v>37565.755019982498</v>
      </c>
      <c r="L75" s="234">
        <f t="shared" si="20"/>
        <v>2472.6605875963537</v>
      </c>
      <c r="M75" s="234">
        <f t="shared" si="20"/>
        <v>7230.2584973489538</v>
      </c>
      <c r="N75" s="30">
        <f>SUM(H75:M75)</f>
        <v>4929600.781585536</v>
      </c>
      <c r="O75" s="6">
        <f>N75-G75</f>
        <v>0</v>
      </c>
    </row>
    <row r="77" spans="1:18" x14ac:dyDescent="0.2">
      <c r="E77" s="589">
        <f>F77-F54</f>
        <v>5.5145120167908317</v>
      </c>
      <c r="F77" s="589">
        <f>F54+F67-F71</f>
        <v>248.74234839648202</v>
      </c>
    </row>
    <row r="78" spans="1:18" x14ac:dyDescent="0.2">
      <c r="F78" s="589">
        <f>F55+F68-F72</f>
        <v>249.98067921348121</v>
      </c>
      <c r="J78" s="22"/>
    </row>
    <row r="79" spans="1:18" x14ac:dyDescent="0.2">
      <c r="J79" s="22"/>
    </row>
  </sheetData>
  <mergeCells count="3">
    <mergeCell ref="H6:M6"/>
    <mergeCell ref="G70:N70"/>
    <mergeCell ref="H61:M61"/>
  </mergeCells>
  <phoneticPr fontId="0" type="noConversion"/>
  <pageMargins left="0.38" right="0.75" top="0.73" bottom="0.74" header="0.5" footer="0.5"/>
  <pageSetup scale="65" orientation="portrait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fitToPage="1"/>
  </sheetPr>
  <dimension ref="A1:Q84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31" sqref="E31"/>
    </sheetView>
  </sheetViews>
  <sheetFormatPr defaultRowHeight="12.75" x14ac:dyDescent="0.2"/>
  <cols>
    <col min="1" max="1" width="11" customWidth="1"/>
    <col min="2" max="2" width="15" style="6" customWidth="1"/>
    <col min="3" max="4" width="14.140625" style="6" bestFit="1" customWidth="1"/>
    <col min="5" max="5" width="14.140625" style="6" customWidth="1"/>
    <col min="6" max="6" width="17.5703125" style="6" customWidth="1"/>
    <col min="7" max="7" width="12.5703125" style="6" customWidth="1"/>
    <col min="8" max="9" width="12.7109375" style="6" bestFit="1" customWidth="1"/>
    <col min="10" max="10" width="11.7109375" style="6" bestFit="1" customWidth="1"/>
    <col min="11" max="11" width="10.7109375" style="6" bestFit="1" customWidth="1"/>
    <col min="12" max="13" width="9.140625" style="6"/>
  </cols>
  <sheetData>
    <row r="1" spans="1:11" ht="13.5" thickBot="1" x14ac:dyDescent="0.25">
      <c r="B1" s="786" t="s">
        <v>325</v>
      </c>
      <c r="C1" s="787"/>
      <c r="D1" s="787"/>
      <c r="E1" s="787"/>
      <c r="F1" s="787"/>
      <c r="G1" s="787"/>
      <c r="H1" s="793"/>
    </row>
    <row r="2" spans="1:11" ht="42" customHeight="1" x14ac:dyDescent="0.2">
      <c r="B2" s="9" t="s">
        <v>94</v>
      </c>
      <c r="C2" s="9" t="s">
        <v>308</v>
      </c>
      <c r="D2" s="9" t="s">
        <v>309</v>
      </c>
      <c r="E2" s="9" t="s">
        <v>323</v>
      </c>
      <c r="F2" s="9" t="s">
        <v>322</v>
      </c>
      <c r="G2" s="9" t="s">
        <v>321</v>
      </c>
      <c r="H2" s="6" t="s">
        <v>9</v>
      </c>
    </row>
    <row r="3" spans="1:11" x14ac:dyDescent="0.2">
      <c r="A3" s="4">
        <v>2003</v>
      </c>
      <c r="B3" s="33">
        <f>'[14]Rate Class Customer Model'!B7</f>
        <v>9072.5</v>
      </c>
      <c r="C3" s="33">
        <f>'[14]Rate Class Customer Model'!C7</f>
        <v>971.5</v>
      </c>
      <c r="D3" s="33">
        <f>'[14]Rate Class Customer Model'!$D7+'[14]Rate Class Customer Model'!$E7</f>
        <v>143</v>
      </c>
      <c r="E3" s="33">
        <f>'[14]Rate Class Customer Model'!F7</f>
        <v>2556.5</v>
      </c>
      <c r="F3" s="33">
        <f>'[14]Rate Class Customer Model'!G7</f>
        <v>164</v>
      </c>
      <c r="G3" s="33"/>
      <c r="H3" s="32">
        <f t="shared" ref="H3:H14" si="0">SUM(B3:G3)</f>
        <v>12907.5</v>
      </c>
      <c r="K3"/>
    </row>
    <row r="4" spans="1:11" x14ac:dyDescent="0.2">
      <c r="A4" s="4">
        <v>2004</v>
      </c>
      <c r="B4" s="33">
        <f>'[14]Rate Class Customer Model'!B8</f>
        <v>9278</v>
      </c>
      <c r="C4" s="33">
        <f>'[14]Rate Class Customer Model'!C8</f>
        <v>982.5</v>
      </c>
      <c r="D4" s="33">
        <f>'[14]Rate Class Customer Model'!$D8+'[14]Rate Class Customer Model'!$E8</f>
        <v>145.5</v>
      </c>
      <c r="E4" s="33">
        <f>'[14]Rate Class Customer Model'!F8</f>
        <v>2621.5</v>
      </c>
      <c r="F4" s="33">
        <f>'[14]Rate Class Customer Model'!G8</f>
        <v>168</v>
      </c>
      <c r="G4" s="33"/>
      <c r="H4" s="32">
        <f t="shared" si="0"/>
        <v>13195.5</v>
      </c>
      <c r="J4" s="143" t="s">
        <v>379</v>
      </c>
      <c r="K4"/>
    </row>
    <row r="5" spans="1:11" x14ac:dyDescent="0.2">
      <c r="A5" s="4">
        <v>2005</v>
      </c>
      <c r="B5" s="33">
        <f>'[14]Rate Class Customer Model'!B9</f>
        <v>9425</v>
      </c>
      <c r="C5" s="33">
        <f>'[14]Rate Class Customer Model'!C9</f>
        <v>985.5</v>
      </c>
      <c r="D5" s="33">
        <f>'[14]Rate Class Customer Model'!$D9+'[14]Rate Class Customer Model'!$E9</f>
        <v>138</v>
      </c>
      <c r="E5" s="33">
        <f>'[14]Rate Class Customer Model'!F9</f>
        <v>2572.5</v>
      </c>
      <c r="F5" s="33">
        <f>'[14]Rate Class Customer Model'!G9</f>
        <v>173</v>
      </c>
      <c r="G5" s="33"/>
      <c r="H5" s="32">
        <f t="shared" si="0"/>
        <v>13294</v>
      </c>
      <c r="I5" s="50"/>
      <c r="K5"/>
    </row>
    <row r="6" spans="1:11" x14ac:dyDescent="0.2">
      <c r="A6" s="4">
        <v>2006</v>
      </c>
      <c r="B6" s="33">
        <f>'[14]Rate Class Customer Model'!B10</f>
        <v>9482.5</v>
      </c>
      <c r="C6" s="33">
        <f>'[14]Rate Class Customer Model'!C10</f>
        <v>993.5</v>
      </c>
      <c r="D6" s="33">
        <f>'[14]Rate Class Customer Model'!$D10+'[14]Rate Class Customer Model'!$E10</f>
        <v>129.5</v>
      </c>
      <c r="E6" s="33">
        <f>'[14]Rate Class Customer Model'!F10</f>
        <v>2506</v>
      </c>
      <c r="F6" s="33">
        <f>'[14]Rate Class Customer Model'!G10</f>
        <v>175</v>
      </c>
      <c r="G6" s="33">
        <v>151</v>
      </c>
      <c r="H6" s="32">
        <f t="shared" si="0"/>
        <v>13437.5</v>
      </c>
      <c r="K6"/>
    </row>
    <row r="7" spans="1:11" x14ac:dyDescent="0.2">
      <c r="A7" s="4">
        <v>2007</v>
      </c>
      <c r="B7" s="141">
        <f>'[14]Rate Class Customer Model'!B11</f>
        <v>9547</v>
      </c>
      <c r="C7" s="141">
        <f>'[14]Rate Class Customer Model'!C11</f>
        <v>1029.5</v>
      </c>
      <c r="D7" s="141">
        <f>'[14]Rate Class Customer Model'!$D11+'[14]Rate Class Customer Model'!$E11</f>
        <v>130.5</v>
      </c>
      <c r="E7" s="141">
        <f>'[14]Rate Class Customer Model'!F11</f>
        <v>2518.5</v>
      </c>
      <c r="F7" s="141">
        <f>'[14]Rate Class Customer Model'!G11</f>
        <v>178.5</v>
      </c>
      <c r="G7" s="141">
        <v>152.5</v>
      </c>
      <c r="H7" s="138">
        <f t="shared" si="0"/>
        <v>13556.5</v>
      </c>
      <c r="K7"/>
    </row>
    <row r="8" spans="1:11" x14ac:dyDescent="0.2">
      <c r="A8" s="4">
        <v>2008</v>
      </c>
      <c r="B8" s="142">
        <f>'[14]Rate Class Customer Model'!B12</f>
        <v>9618.5</v>
      </c>
      <c r="C8" s="142">
        <f>'[14]Rate Class Customer Model'!C12</f>
        <v>1060.5</v>
      </c>
      <c r="D8" s="142">
        <f>'[14]Rate Class Customer Model'!$D12+'[14]Rate Class Customer Model'!$E12</f>
        <v>132</v>
      </c>
      <c r="E8" s="142">
        <f>'[14]Rate Class Customer Model'!F12</f>
        <v>2642.5</v>
      </c>
      <c r="F8" s="142">
        <f>'[14]Rate Class Customer Model'!G12</f>
        <v>176.5</v>
      </c>
      <c r="G8" s="146">
        <v>154</v>
      </c>
      <c r="H8" s="139">
        <f t="shared" si="0"/>
        <v>13784</v>
      </c>
      <c r="K8"/>
    </row>
    <row r="9" spans="1:11" x14ac:dyDescent="0.2">
      <c r="A9" s="4">
        <v>2009</v>
      </c>
      <c r="B9" s="265">
        <f>AVERAGE([15]Historic!$E71:$E72)</f>
        <v>9732</v>
      </c>
      <c r="C9" s="265">
        <f>AVERAGE([15]Historic!$E88:$E89)</f>
        <v>1106</v>
      </c>
      <c r="D9" s="265">
        <f>AVERAGE([15]Historic!$E105:$E106)</f>
        <v>130.5</v>
      </c>
      <c r="E9" s="32">
        <f>AVERAGE([15]Historic!$F139:$F140)</f>
        <v>2684</v>
      </c>
      <c r="F9" s="32">
        <f>AVERAGE([15]Historic!$F156:$F157)</f>
        <v>172</v>
      </c>
      <c r="G9" s="32">
        <f>('[19]For Rates'!$D$31+K12)/2</f>
        <v>154</v>
      </c>
      <c r="H9" s="32">
        <f t="shared" si="0"/>
        <v>13978.5</v>
      </c>
      <c r="J9" s="143" t="s">
        <v>324</v>
      </c>
      <c r="K9"/>
    </row>
    <row r="10" spans="1:11" x14ac:dyDescent="0.2">
      <c r="A10" s="4">
        <v>2010</v>
      </c>
      <c r="B10" s="141">
        <f>([15]Historic!$E$72+[15]Historic!$E$73)/2</f>
        <v>9888.5</v>
      </c>
      <c r="C10" s="141">
        <f>([15]Historic!$E$89+[15]Historic!$E$90)/2</f>
        <v>1155.5</v>
      </c>
      <c r="D10" s="141">
        <f>([15]Historic!$E$106+[15]Historic!$E$107)/2</f>
        <v>129.5</v>
      </c>
      <c r="E10" s="32">
        <f>AVERAGE([15]Historic!$F140:$F141)</f>
        <v>2698</v>
      </c>
      <c r="F10" s="32">
        <f>AVERAGE([15]Historic!$F157:$F158)</f>
        <v>166</v>
      </c>
      <c r="G10" s="32">
        <f>(K12+[15]Historic!$F$124)/2</f>
        <v>156</v>
      </c>
      <c r="H10" s="32">
        <f t="shared" si="0"/>
        <v>14193.5</v>
      </c>
    </row>
    <row r="11" spans="1:11" x14ac:dyDescent="0.2">
      <c r="A11" s="4">
        <v>2011</v>
      </c>
      <c r="B11" s="141">
        <f>([15]Historic!$E$73+[15]Historic!$E$74)/2</f>
        <v>9995</v>
      </c>
      <c r="C11" s="141">
        <f>([15]Historic!$E$90+[15]Historic!$E$91)/2</f>
        <v>1126.5</v>
      </c>
      <c r="D11" s="141">
        <f>([15]Historic!$E$107+[15]Historic!$E$108)/2</f>
        <v>130.5</v>
      </c>
      <c r="E11" s="32">
        <f>AVERAGE([15]Historic!$F141:$F142)</f>
        <v>2783.5</v>
      </c>
      <c r="F11" s="32">
        <f>AVERAGE([15]Historic!$F158:$F159)</f>
        <v>161.5</v>
      </c>
      <c r="G11" s="32">
        <f>([15]Historic!$F124+[15]Historic!$F125)/2</f>
        <v>157.5</v>
      </c>
      <c r="H11" s="32">
        <f t="shared" si="0"/>
        <v>14354.5</v>
      </c>
      <c r="K11" s="258" t="s">
        <v>326</v>
      </c>
    </row>
    <row r="12" spans="1:11" x14ac:dyDescent="0.2">
      <c r="A12" s="4">
        <v>2012</v>
      </c>
      <c r="B12" s="266">
        <f>AVERAGE([15]Historic!$E74:$E75)</f>
        <v>10085</v>
      </c>
      <c r="C12" s="138">
        <f>AVERAGE([15]Historic!$E91:$E92)</f>
        <v>1108</v>
      </c>
      <c r="D12" s="138">
        <f>AVERAGE([15]Historic!$E108:$E109)</f>
        <v>127</v>
      </c>
      <c r="E12" s="32">
        <f>AVERAGE([15]Historic!$F142:$F143)</f>
        <v>2810</v>
      </c>
      <c r="F12" s="32">
        <f>AVERAGE([15]Historic!$F159:$F160)</f>
        <v>157</v>
      </c>
      <c r="G12" s="32">
        <f>([15]Historic!$F125+[15]Historic!$F126)/2</f>
        <v>130.5</v>
      </c>
      <c r="H12" s="86">
        <f t="shared" si="0"/>
        <v>14417.5</v>
      </c>
      <c r="K12" s="183">
        <v>154</v>
      </c>
    </row>
    <row r="13" spans="1:11" x14ac:dyDescent="0.2">
      <c r="A13" s="4">
        <v>2013</v>
      </c>
      <c r="B13" s="18">
        <f>B12*B27</f>
        <v>10204.255841796119</v>
      </c>
      <c r="C13" s="18">
        <f t="shared" ref="C13:F13" si="1">C12*C27</f>
        <v>1124.3042867708639</v>
      </c>
      <c r="D13" s="18">
        <v>124</v>
      </c>
      <c r="E13" s="18">
        <f t="shared" si="1"/>
        <v>2839.6747529083364</v>
      </c>
      <c r="F13" s="18">
        <f t="shared" si="1"/>
        <v>156.24090353060024</v>
      </c>
      <c r="G13" s="18">
        <f>G15</f>
        <v>104</v>
      </c>
      <c r="H13" s="18">
        <f t="shared" si="0"/>
        <v>14552.475785005921</v>
      </c>
    </row>
    <row r="14" spans="1:11" x14ac:dyDescent="0.2">
      <c r="A14" s="4">
        <v>2014</v>
      </c>
      <c r="B14" s="18">
        <f t="shared" ref="B14:F14" si="2">B13*B27</f>
        <v>10324.921892397642</v>
      </c>
      <c r="C14" s="18">
        <f t="shared" si="2"/>
        <v>1140.8484921040983</v>
      </c>
      <c r="D14" s="18">
        <v>123</v>
      </c>
      <c r="E14" s="18">
        <f t="shared" si="2"/>
        <v>2869.6628833825698</v>
      </c>
      <c r="F14" s="18">
        <f t="shared" si="2"/>
        <v>155.48547729973458</v>
      </c>
      <c r="G14" s="18">
        <v>104</v>
      </c>
      <c r="H14" s="18">
        <f t="shared" si="0"/>
        <v>14717.918745184044</v>
      </c>
    </row>
    <row r="15" spans="1:11" x14ac:dyDescent="0.2">
      <c r="A15" s="182" t="s">
        <v>327</v>
      </c>
      <c r="B15" s="183">
        <f>'[20]Jan to June 2013'!$D$105</f>
        <v>10166</v>
      </c>
      <c r="C15" s="183">
        <f>'[20]Jan to June 2013'!$D$106</f>
        <v>1125</v>
      </c>
      <c r="D15" s="183">
        <f>'[20]Jan to June 2013'!$D$107+'[20]Jan to June 2013'!$D$108</f>
        <v>124</v>
      </c>
      <c r="E15" s="183">
        <f>'[20]Jan to June 2013'!$E$110</f>
        <v>2851</v>
      </c>
      <c r="F15" s="183">
        <f>'[20]Jan to June 2013'!$E$109</f>
        <v>156</v>
      </c>
      <c r="G15" s="183">
        <f>'[20]Jan to June 2013'!$E$111</f>
        <v>104</v>
      </c>
    </row>
    <row r="16" spans="1:11" x14ac:dyDescent="0.2">
      <c r="A16" s="16" t="s">
        <v>41</v>
      </c>
      <c r="B16" s="5"/>
      <c r="C16" s="5"/>
      <c r="D16" s="5"/>
      <c r="E16" s="5"/>
      <c r="F16" s="5"/>
      <c r="G16" s="5"/>
    </row>
    <row r="17" spans="1:17" x14ac:dyDescent="0.2">
      <c r="A17" s="4">
        <v>2004</v>
      </c>
      <c r="B17" s="144">
        <f t="shared" ref="B17:F25" si="3">B4/B3</f>
        <v>1.0226508680077155</v>
      </c>
      <c r="C17" s="144">
        <f t="shared" si="3"/>
        <v>1.0113226968605249</v>
      </c>
      <c r="D17" s="144">
        <f t="shared" si="3"/>
        <v>1.0174825174825175</v>
      </c>
      <c r="E17" s="144">
        <f t="shared" si="3"/>
        <v>1.0254253862702913</v>
      </c>
      <c r="F17" s="144">
        <f t="shared" si="3"/>
        <v>1.024390243902439</v>
      </c>
      <c r="G17" s="144"/>
      <c r="I17" s="63"/>
      <c r="J17" s="63"/>
      <c r="K17" s="63"/>
      <c r="L17" s="63"/>
      <c r="M17" s="63"/>
      <c r="N17" s="63"/>
      <c r="O17" s="63"/>
      <c r="P17" s="63"/>
      <c r="Q17" s="63"/>
    </row>
    <row r="18" spans="1:17" x14ac:dyDescent="0.2">
      <c r="A18" s="4">
        <v>2005</v>
      </c>
      <c r="B18" s="144">
        <f t="shared" si="3"/>
        <v>1.0158439318818711</v>
      </c>
      <c r="C18" s="144">
        <f t="shared" si="3"/>
        <v>1.0030534351145037</v>
      </c>
      <c r="D18" s="144">
        <f t="shared" si="3"/>
        <v>0.94845360824742264</v>
      </c>
      <c r="E18" s="144">
        <f t="shared" si="3"/>
        <v>0.98130841121495327</v>
      </c>
      <c r="F18" s="144">
        <f t="shared" si="3"/>
        <v>1.0297619047619047</v>
      </c>
      <c r="G18" s="144"/>
      <c r="I18" s="63"/>
      <c r="J18" s="63"/>
      <c r="K18" s="63"/>
      <c r="L18" s="63"/>
      <c r="M18" s="63"/>
      <c r="N18" s="63"/>
      <c r="O18" s="63"/>
      <c r="P18" s="63"/>
      <c r="Q18" s="63"/>
    </row>
    <row r="19" spans="1:17" x14ac:dyDescent="0.2">
      <c r="A19" s="4">
        <v>2006</v>
      </c>
      <c r="B19" s="144">
        <f t="shared" si="3"/>
        <v>1.0061007957559682</v>
      </c>
      <c r="C19" s="144">
        <f t="shared" si="3"/>
        <v>1.0081177067478437</v>
      </c>
      <c r="D19" s="144">
        <f t="shared" si="3"/>
        <v>0.93840579710144922</v>
      </c>
      <c r="E19" s="144">
        <f t="shared" si="3"/>
        <v>0.97414965986394553</v>
      </c>
      <c r="F19" s="144">
        <f t="shared" si="3"/>
        <v>1.0115606936416186</v>
      </c>
      <c r="G19" s="144"/>
      <c r="I19" s="63"/>
      <c r="J19" s="63"/>
      <c r="K19" s="63"/>
      <c r="L19" s="63"/>
      <c r="M19" s="63"/>
      <c r="N19" s="63"/>
      <c r="O19" s="63"/>
      <c r="P19" s="63"/>
      <c r="Q19" s="63"/>
    </row>
    <row r="20" spans="1:17" x14ac:dyDescent="0.2">
      <c r="A20" s="4">
        <v>2007</v>
      </c>
      <c r="B20" s="144">
        <f t="shared" si="3"/>
        <v>1.0068020036910097</v>
      </c>
      <c r="C20" s="144">
        <f t="shared" si="3"/>
        <v>1.0362355309511826</v>
      </c>
      <c r="D20" s="144">
        <f t="shared" si="3"/>
        <v>1.0077220077220077</v>
      </c>
      <c r="E20" s="144">
        <f t="shared" si="3"/>
        <v>1.0049880287310455</v>
      </c>
      <c r="F20" s="144">
        <f t="shared" si="3"/>
        <v>1.02</v>
      </c>
      <c r="G20" s="144">
        <f t="shared" ref="G20:G25" si="4">G7/G6</f>
        <v>1.009933774834437</v>
      </c>
      <c r="I20" s="63"/>
      <c r="J20" s="63"/>
      <c r="K20" s="63"/>
      <c r="L20" s="63"/>
      <c r="M20" s="63"/>
      <c r="N20" s="63"/>
      <c r="O20" s="63"/>
      <c r="P20" s="63"/>
      <c r="Q20" s="63"/>
    </row>
    <row r="21" spans="1:17" x14ac:dyDescent="0.2">
      <c r="A21" s="4">
        <v>2008</v>
      </c>
      <c r="B21" s="144">
        <f t="shared" si="3"/>
        <v>1.0074892636430293</v>
      </c>
      <c r="C21" s="144">
        <f t="shared" si="3"/>
        <v>1.0301117047110249</v>
      </c>
      <c r="D21" s="144">
        <f t="shared" si="3"/>
        <v>1.0114942528735633</v>
      </c>
      <c r="E21" s="144">
        <f t="shared" si="3"/>
        <v>1.0492356561445304</v>
      </c>
      <c r="F21" s="144">
        <f t="shared" si="3"/>
        <v>0.98879551820728295</v>
      </c>
      <c r="G21" s="144">
        <f t="shared" si="4"/>
        <v>1.0098360655737706</v>
      </c>
      <c r="I21" s="63"/>
      <c r="J21" s="63"/>
      <c r="K21" s="63"/>
      <c r="L21" s="63"/>
      <c r="M21" s="63"/>
      <c r="N21" s="63"/>
      <c r="O21" s="63"/>
      <c r="P21" s="63"/>
      <c r="Q21" s="63"/>
    </row>
    <row r="22" spans="1:17" x14ac:dyDescent="0.2">
      <c r="A22" s="4">
        <v>2009</v>
      </c>
      <c r="B22" s="144">
        <f t="shared" si="3"/>
        <v>1.0118001767427354</v>
      </c>
      <c r="C22" s="144">
        <f t="shared" si="3"/>
        <v>1.0429042904290429</v>
      </c>
      <c r="D22" s="144">
        <f t="shared" si="3"/>
        <v>0.98863636363636365</v>
      </c>
      <c r="E22" s="144">
        <f t="shared" si="3"/>
        <v>1.0157048249763481</v>
      </c>
      <c r="F22" s="144">
        <f t="shared" si="3"/>
        <v>0.9745042492917847</v>
      </c>
      <c r="G22" s="144">
        <f t="shared" si="4"/>
        <v>1</v>
      </c>
      <c r="I22" s="63"/>
      <c r="J22" s="63"/>
      <c r="K22" s="63"/>
      <c r="L22" s="63"/>
      <c r="M22" s="63"/>
      <c r="N22" s="63"/>
      <c r="O22" s="63"/>
      <c r="P22" s="63"/>
      <c r="Q22" s="63"/>
    </row>
    <row r="23" spans="1:17" x14ac:dyDescent="0.2">
      <c r="A23" s="4">
        <v>2010</v>
      </c>
      <c r="B23" s="144">
        <f t="shared" si="3"/>
        <v>1.0160809699958899</v>
      </c>
      <c r="C23" s="144">
        <f t="shared" si="3"/>
        <v>1.0447558770343581</v>
      </c>
      <c r="D23" s="144">
        <f t="shared" si="3"/>
        <v>0.9923371647509579</v>
      </c>
      <c r="E23" s="144">
        <f t="shared" si="3"/>
        <v>1.0052160953800298</v>
      </c>
      <c r="F23" s="144">
        <f t="shared" si="3"/>
        <v>0.96511627906976749</v>
      </c>
      <c r="G23" s="144">
        <f t="shared" si="4"/>
        <v>1.0129870129870129</v>
      </c>
      <c r="I23" s="63"/>
      <c r="J23" s="63"/>
      <c r="K23" s="63"/>
      <c r="L23" s="63"/>
      <c r="M23" s="63"/>
      <c r="N23" s="63"/>
      <c r="O23" s="63"/>
      <c r="P23" s="63"/>
      <c r="Q23" s="63"/>
    </row>
    <row r="24" spans="1:17" x14ac:dyDescent="0.2">
      <c r="A24" s="4">
        <v>2011</v>
      </c>
      <c r="B24" s="144">
        <f t="shared" si="3"/>
        <v>1.0107700864640745</v>
      </c>
      <c r="C24" s="144">
        <f t="shared" si="3"/>
        <v>0.97490263954997836</v>
      </c>
      <c r="D24" s="144">
        <f t="shared" si="3"/>
        <v>1.0077220077220077</v>
      </c>
      <c r="E24" s="144">
        <f>E11/E10</f>
        <v>1.0316901408450705</v>
      </c>
      <c r="F24" s="144">
        <f t="shared" si="3"/>
        <v>0.97289156626506024</v>
      </c>
      <c r="G24" s="144">
        <f t="shared" si="4"/>
        <v>1.0096153846153846</v>
      </c>
      <c r="I24" s="63"/>
      <c r="J24" s="63"/>
      <c r="K24" s="63"/>
      <c r="L24" s="63"/>
      <c r="M24" s="63"/>
      <c r="N24" s="63"/>
      <c r="O24" s="63"/>
      <c r="P24" s="63"/>
    </row>
    <row r="25" spans="1:17" x14ac:dyDescent="0.2">
      <c r="A25" s="4">
        <v>2012</v>
      </c>
      <c r="B25" s="144">
        <f t="shared" si="3"/>
        <v>1.0090045022511256</v>
      </c>
      <c r="C25" s="144">
        <f t="shared" si="3"/>
        <v>0.98357745228584115</v>
      </c>
      <c r="D25" s="144">
        <f>D12/D11</f>
        <v>0.97318007662835249</v>
      </c>
      <c r="E25" s="144">
        <f t="shared" si="3"/>
        <v>1.0095203880007184</v>
      </c>
      <c r="F25" s="144">
        <f t="shared" si="3"/>
        <v>0.97213622291021673</v>
      </c>
      <c r="G25" s="144">
        <f t="shared" si="4"/>
        <v>0.82857142857142863</v>
      </c>
      <c r="I25" s="63"/>
      <c r="J25" s="63"/>
      <c r="K25" s="63"/>
      <c r="L25" s="63"/>
      <c r="M25" s="63"/>
      <c r="N25" s="63"/>
      <c r="O25" s="63"/>
      <c r="P25" s="63"/>
      <c r="Q25" s="63"/>
    </row>
    <row r="26" spans="1:17" x14ac:dyDescent="0.2">
      <c r="D26" s="20"/>
    </row>
    <row r="27" spans="1:17" x14ac:dyDescent="0.2">
      <c r="A27" s="147" t="s">
        <v>61</v>
      </c>
      <c r="B27" s="87">
        <f>B29</f>
        <v>1.0118250710754704</v>
      </c>
      <c r="C27" s="87">
        <f t="shared" ref="C27:F27" si="5">C29</f>
        <v>1.0147150602625126</v>
      </c>
      <c r="D27" s="87">
        <f>D29</f>
        <v>0.98690235896096912</v>
      </c>
      <c r="E27" s="87">
        <f t="shared" si="5"/>
        <v>1.0105604102876642</v>
      </c>
      <c r="F27" s="87">
        <f t="shared" si="5"/>
        <v>0.9951649906407658</v>
      </c>
      <c r="G27" s="87">
        <f>G29</f>
        <v>0.97597552635241591</v>
      </c>
    </row>
    <row r="28" spans="1:17" x14ac:dyDescent="0.2">
      <c r="B28" s="20"/>
      <c r="C28" s="20"/>
      <c r="D28" s="20"/>
      <c r="E28" s="20"/>
      <c r="F28" s="20"/>
      <c r="G28" s="20"/>
    </row>
    <row r="29" spans="1:17" x14ac:dyDescent="0.2">
      <c r="A29" t="s">
        <v>14</v>
      </c>
      <c r="B29" s="20">
        <f>GEOMEAN(B17:B25)</f>
        <v>1.0118250710754704</v>
      </c>
      <c r="C29" s="20">
        <f t="shared" ref="C29:E29" si="6">GEOMEAN(C17:C25)</f>
        <v>1.0147150602625126</v>
      </c>
      <c r="D29" s="20">
        <f>GEOMEAN(D17:D26)</f>
        <v>0.98690235896096912</v>
      </c>
      <c r="E29" s="20">
        <f t="shared" si="6"/>
        <v>1.0105604102876642</v>
      </c>
      <c r="F29" s="20">
        <f>GEOMEAN(F17:F25)</f>
        <v>0.9951649906407658</v>
      </c>
      <c r="G29" s="20">
        <f>GEOMEAN(G17:G25)</f>
        <v>0.97597552635241591</v>
      </c>
      <c r="H29" s="20"/>
      <c r="I29" s="20"/>
    </row>
    <row r="30" spans="1:17" x14ac:dyDescent="0.2">
      <c r="A30" s="4"/>
      <c r="B30" s="20"/>
      <c r="C30" s="20"/>
      <c r="D30" s="20"/>
      <c r="E30" s="20"/>
      <c r="F30" s="20"/>
      <c r="G30" s="20"/>
    </row>
    <row r="31" spans="1:17" x14ac:dyDescent="0.2">
      <c r="A31" s="148"/>
      <c r="B31" s="20"/>
      <c r="C31" s="20"/>
      <c r="D31" s="63">
        <f>D29-1</f>
        <v>-1.3097641039030883E-2</v>
      </c>
      <c r="E31" s="63">
        <f>E29-1</f>
        <v>1.056041028766419E-2</v>
      </c>
      <c r="F31" s="20"/>
      <c r="G31" s="20"/>
    </row>
    <row r="32" spans="1:17" x14ac:dyDescent="0.2">
      <c r="A32" s="4"/>
      <c r="B32" s="20"/>
      <c r="C32" s="20"/>
      <c r="D32" s="20"/>
      <c r="E32" s="63"/>
      <c r="F32" s="20"/>
      <c r="G32" s="20"/>
    </row>
    <row r="33" spans="1:7" x14ac:dyDescent="0.2">
      <c r="A33" s="4"/>
      <c r="B33" s="20"/>
      <c r="C33" s="20"/>
      <c r="D33" s="20"/>
      <c r="E33" s="20"/>
      <c r="F33" s="20"/>
      <c r="G33" s="20"/>
    </row>
    <row r="34" spans="1:7" x14ac:dyDescent="0.2">
      <c r="A34" s="4"/>
      <c r="B34" s="20"/>
      <c r="C34" s="20"/>
      <c r="D34" s="20"/>
      <c r="E34" s="20"/>
      <c r="F34" s="20"/>
      <c r="G34" s="20"/>
    </row>
    <row r="35" spans="1:7" x14ac:dyDescent="0.2">
      <c r="A35" s="4"/>
      <c r="B35" s="20"/>
      <c r="C35" s="20"/>
      <c r="D35" s="20"/>
      <c r="E35" s="20"/>
      <c r="F35" s="20"/>
      <c r="G35" s="20"/>
    </row>
    <row r="36" spans="1:7" x14ac:dyDescent="0.2">
      <c r="A36" s="4"/>
      <c r="B36" s="20"/>
      <c r="C36" s="20"/>
      <c r="D36" s="20"/>
      <c r="E36" s="20"/>
      <c r="F36" s="20"/>
      <c r="G36" s="20"/>
    </row>
    <row r="37" spans="1:7" x14ac:dyDescent="0.2">
      <c r="A37" s="4"/>
      <c r="B37" s="20"/>
      <c r="C37" s="20"/>
      <c r="D37" s="20"/>
      <c r="E37" s="20"/>
      <c r="F37" s="20"/>
      <c r="G37" s="20"/>
    </row>
    <row r="38" spans="1:7" x14ac:dyDescent="0.2">
      <c r="B38" s="20"/>
      <c r="C38" s="20"/>
      <c r="D38" s="20"/>
      <c r="E38" s="20"/>
      <c r="F38" s="20"/>
      <c r="G38" s="20"/>
    </row>
    <row r="39" spans="1:7" x14ac:dyDescent="0.2">
      <c r="B39" s="20"/>
      <c r="C39" s="20"/>
      <c r="D39" s="20"/>
      <c r="E39" s="20"/>
      <c r="F39" s="20"/>
      <c r="G39" s="20"/>
    </row>
    <row r="40" spans="1:7" x14ac:dyDescent="0.2">
      <c r="B40" s="20"/>
      <c r="C40" s="20"/>
      <c r="D40" s="20"/>
      <c r="E40" s="20"/>
      <c r="F40" s="20"/>
      <c r="G40" s="20"/>
    </row>
    <row r="41" spans="1:7" x14ac:dyDescent="0.2">
      <c r="B41" s="20"/>
      <c r="C41" s="20"/>
      <c r="D41" s="20"/>
      <c r="E41" s="20"/>
      <c r="F41" s="20"/>
      <c r="G41" s="20"/>
    </row>
    <row r="42" spans="1:7" x14ac:dyDescent="0.2">
      <c r="B42" s="20"/>
      <c r="C42" s="20"/>
      <c r="D42" s="20"/>
      <c r="E42" s="20"/>
      <c r="F42" s="20"/>
      <c r="G42" s="20"/>
    </row>
    <row r="43" spans="1:7" x14ac:dyDescent="0.2">
      <c r="B43" s="20"/>
      <c r="C43" s="20"/>
      <c r="D43" s="20"/>
      <c r="E43" s="20"/>
      <c r="F43" s="20"/>
      <c r="G43" s="20"/>
    </row>
    <row r="44" spans="1:7" x14ac:dyDescent="0.2">
      <c r="B44" s="20"/>
      <c r="C44" s="20"/>
      <c r="D44" s="20"/>
      <c r="E44" s="20"/>
      <c r="F44" s="20"/>
      <c r="G44" s="20"/>
    </row>
    <row r="45" spans="1:7" x14ac:dyDescent="0.2">
      <c r="B45" s="20"/>
      <c r="C45" s="20"/>
      <c r="D45" s="20"/>
      <c r="E45" s="20"/>
      <c r="F45" s="20"/>
      <c r="G45" s="20"/>
    </row>
    <row r="46" spans="1:7" x14ac:dyDescent="0.2">
      <c r="B46" s="20"/>
      <c r="C46" s="20"/>
      <c r="D46" s="20"/>
      <c r="E46" s="20"/>
      <c r="F46" s="20"/>
      <c r="G46" s="20"/>
    </row>
    <row r="47" spans="1:7" x14ac:dyDescent="0.2">
      <c r="B47" s="20"/>
      <c r="C47" s="20"/>
      <c r="D47" s="20"/>
      <c r="E47" s="20"/>
      <c r="F47" s="20"/>
      <c r="G47" s="20"/>
    </row>
    <row r="48" spans="1:7" x14ac:dyDescent="0.2">
      <c r="B48" s="20"/>
      <c r="C48" s="20"/>
      <c r="D48" s="20"/>
      <c r="E48" s="20"/>
      <c r="F48" s="20"/>
      <c r="G48" s="20"/>
    </row>
    <row r="49" spans="2:7" x14ac:dyDescent="0.2">
      <c r="B49" s="20"/>
      <c r="C49" s="20"/>
      <c r="D49" s="20"/>
      <c r="E49" s="20"/>
      <c r="F49" s="20"/>
      <c r="G49" s="20"/>
    </row>
    <row r="50" spans="2:7" x14ac:dyDescent="0.2">
      <c r="B50" s="20"/>
      <c r="C50" s="20"/>
      <c r="D50" s="20"/>
      <c r="E50" s="20"/>
      <c r="F50" s="20"/>
      <c r="G50" s="20"/>
    </row>
    <row r="51" spans="2:7" x14ac:dyDescent="0.2">
      <c r="B51" s="20"/>
      <c r="C51" s="20"/>
      <c r="D51" s="20"/>
      <c r="E51" s="20"/>
      <c r="F51" s="20"/>
      <c r="G51" s="20"/>
    </row>
    <row r="52" spans="2:7" x14ac:dyDescent="0.2">
      <c r="B52" s="20"/>
      <c r="C52" s="20"/>
      <c r="D52" s="20"/>
      <c r="E52" s="20"/>
      <c r="F52" s="20"/>
      <c r="G52" s="20"/>
    </row>
    <row r="53" spans="2:7" x14ac:dyDescent="0.2">
      <c r="B53" s="20"/>
      <c r="C53" s="20"/>
      <c r="D53" s="20"/>
      <c r="E53" s="20"/>
      <c r="F53" s="20"/>
      <c r="G53" s="20"/>
    </row>
    <row r="54" spans="2:7" x14ac:dyDescent="0.2">
      <c r="B54" s="20"/>
      <c r="C54" s="20"/>
      <c r="D54" s="20"/>
      <c r="E54" s="20"/>
      <c r="F54" s="20"/>
      <c r="G54" s="20"/>
    </row>
    <row r="55" spans="2:7" x14ac:dyDescent="0.2">
      <c r="B55" s="20"/>
      <c r="C55" s="20"/>
      <c r="D55" s="20"/>
      <c r="E55" s="20"/>
      <c r="F55" s="20"/>
      <c r="G55" s="20"/>
    </row>
    <row r="56" spans="2:7" x14ac:dyDescent="0.2">
      <c r="B56" s="20"/>
      <c r="C56" s="20"/>
      <c r="F56" s="20"/>
      <c r="G56" s="20"/>
    </row>
    <row r="62" spans="2:7" x14ac:dyDescent="0.2">
      <c r="D62" s="21"/>
      <c r="E62" s="21"/>
    </row>
    <row r="63" spans="2:7" x14ac:dyDescent="0.2">
      <c r="B63" s="21"/>
      <c r="C63" s="21"/>
      <c r="D63" s="21"/>
      <c r="E63" s="21"/>
      <c r="F63" s="21"/>
      <c r="G63" s="21"/>
    </row>
    <row r="64" spans="2:7" x14ac:dyDescent="0.2">
      <c r="B64" s="21"/>
      <c r="C64" s="21"/>
      <c r="F64" s="21"/>
      <c r="G64" s="21"/>
    </row>
    <row r="82" spans="2:7" x14ac:dyDescent="0.2">
      <c r="D82" s="13"/>
      <c r="E82" s="13"/>
    </row>
    <row r="83" spans="2:7" x14ac:dyDescent="0.2">
      <c r="B83" s="13"/>
      <c r="C83" s="13"/>
      <c r="D83" s="13"/>
      <c r="E83" s="13"/>
      <c r="F83" s="13"/>
      <c r="G83" s="13"/>
    </row>
    <row r="84" spans="2:7" x14ac:dyDescent="0.2">
      <c r="B84" s="13"/>
      <c r="C84" s="13"/>
      <c r="F84" s="13"/>
      <c r="G84" s="13"/>
    </row>
  </sheetData>
  <mergeCells count="1">
    <mergeCell ref="B1:H1"/>
  </mergeCells>
  <phoneticPr fontId="0" type="noConversion"/>
  <pageMargins left="0.38" right="0.75" top="0.73" bottom="0.74" header="0.5" footer="0.5"/>
  <pageSetup orientation="portrait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G5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RowHeight="12.75" x14ac:dyDescent="0.2"/>
  <cols>
    <col min="1" max="1" width="11" customWidth="1"/>
    <col min="2" max="2" width="18.5703125" style="6" bestFit="1" customWidth="1"/>
    <col min="3" max="4" width="14.140625" style="6" customWidth="1"/>
    <col min="5" max="5" width="17.7109375" style="6" customWidth="1"/>
    <col min="6" max="7" width="12.7109375" style="6" bestFit="1" customWidth="1"/>
    <col min="8" max="8" width="11.7109375" bestFit="1" customWidth="1"/>
    <col min="9" max="9" width="10.7109375" bestFit="1" customWidth="1"/>
  </cols>
  <sheetData>
    <row r="1" spans="1:6" ht="13.5" thickBot="1" x14ac:dyDescent="0.25">
      <c r="B1" s="786" t="s">
        <v>200</v>
      </c>
      <c r="C1" s="787"/>
      <c r="D1" s="787"/>
      <c r="E1" s="787"/>
      <c r="F1" s="793"/>
    </row>
    <row r="2" spans="1:6" ht="42" customHeight="1" x14ac:dyDescent="0.2">
      <c r="B2" s="8" t="str">
        <f>'Rate Class Customer Model'!D2</f>
        <v>General Service &gt; 50</v>
      </c>
      <c r="C2" s="8" t="str">
        <f>'Rate Class Customer Model'!E2</f>
        <v xml:space="preserve">Streetlights Connections </v>
      </c>
      <c r="D2" s="8" t="str">
        <f>'Rate Class Customer Model'!F2</f>
        <v>Sentinel Lights Connections</v>
      </c>
      <c r="E2" s="8" t="str">
        <f>'Rate Class Customer Model'!H2</f>
        <v>Total</v>
      </c>
    </row>
    <row r="3" spans="1:6" x14ac:dyDescent="0.2">
      <c r="A3" s="24">
        <v>2003</v>
      </c>
      <c r="B3" s="36">
        <f>'[14]Rate Class Load Model'!B6+'[14]Rate Class Load Model'!C6</f>
        <v>303516</v>
      </c>
      <c r="C3" s="36">
        <f>'[14]Rate Class Load Model'!D6</f>
        <v>4595</v>
      </c>
      <c r="D3" s="36">
        <f>'[14]Rate Class Load Model'!E6</f>
        <v>374</v>
      </c>
      <c r="E3" s="150">
        <f t="shared" ref="E3:E14" si="0">SUM(B3:D3)</f>
        <v>308485</v>
      </c>
    </row>
    <row r="4" spans="1:6" x14ac:dyDescent="0.2">
      <c r="A4" s="24">
        <v>2004</v>
      </c>
      <c r="B4" s="36">
        <f>'[14]Rate Class Load Model'!B7+'[14]Rate Class Load Model'!C7</f>
        <v>301177.71999999997</v>
      </c>
      <c r="C4" s="36">
        <f>'[14]Rate Class Load Model'!D7</f>
        <v>4701</v>
      </c>
      <c r="D4" s="36">
        <f>'[14]Rate Class Load Model'!E7</f>
        <v>372</v>
      </c>
      <c r="E4" s="150">
        <f t="shared" si="0"/>
        <v>306250.71999999997</v>
      </c>
    </row>
    <row r="5" spans="1:6" x14ac:dyDescent="0.2">
      <c r="A5" s="24">
        <v>2005</v>
      </c>
      <c r="B5" s="36">
        <f>'[14]Rate Class Load Model'!B8+'[14]Rate Class Load Model'!C8</f>
        <v>297873.01</v>
      </c>
      <c r="C5" s="36">
        <f>'[14]Rate Class Load Model'!D8</f>
        <v>4431.21</v>
      </c>
      <c r="D5" s="36">
        <f>'[14]Rate Class Load Model'!E8</f>
        <v>363.54</v>
      </c>
      <c r="E5" s="150">
        <f t="shared" si="0"/>
        <v>302667.76</v>
      </c>
    </row>
    <row r="6" spans="1:6" x14ac:dyDescent="0.2">
      <c r="A6" s="24">
        <v>2006</v>
      </c>
      <c r="B6" s="36">
        <f>'[14]Rate Class Load Model'!B9+'[14]Rate Class Load Model'!C9</f>
        <v>304913.78000000003</v>
      </c>
      <c r="C6" s="36">
        <f>'[14]Rate Class Load Model'!D9</f>
        <v>4452.3599999999997</v>
      </c>
      <c r="D6" s="36">
        <f>'[14]Rate Class Load Model'!E9</f>
        <v>370.18</v>
      </c>
      <c r="E6" s="150">
        <f t="shared" si="0"/>
        <v>309736.32000000001</v>
      </c>
    </row>
    <row r="7" spans="1:6" x14ac:dyDescent="0.2">
      <c r="A7" s="24">
        <v>2007</v>
      </c>
      <c r="B7" s="36">
        <f>'[14]Rate Class Load Model'!B10+'[14]Rate Class Load Model'!C10</f>
        <v>313686.49999999994</v>
      </c>
      <c r="C7" s="36">
        <f>'[14]Rate Class Load Model'!D10</f>
        <v>4445.4399999999996</v>
      </c>
      <c r="D7" s="36">
        <f>'[14]Rate Class Load Model'!E10</f>
        <v>373.39</v>
      </c>
      <c r="E7" s="150">
        <f t="shared" si="0"/>
        <v>318505.32999999996</v>
      </c>
    </row>
    <row r="8" spans="1:6" x14ac:dyDescent="0.2">
      <c r="A8" s="24">
        <v>2008</v>
      </c>
      <c r="B8" s="36">
        <f>'[14]Rate Class Load Model'!B11+'[14]Rate Class Load Model'!C11</f>
        <v>297641.89</v>
      </c>
      <c r="C8" s="36">
        <f>'[14]Rate Class Load Model'!D11</f>
        <v>4841.55</v>
      </c>
      <c r="D8" s="36">
        <f>'[14]Rate Class Load Model'!E11</f>
        <v>378.71</v>
      </c>
      <c r="E8" s="150">
        <f t="shared" si="0"/>
        <v>302862.15000000002</v>
      </c>
    </row>
    <row r="9" spans="1:6" x14ac:dyDescent="0.2">
      <c r="A9" s="24">
        <v>2009</v>
      </c>
      <c r="B9" s="36">
        <f>[15]Historic!C106</f>
        <v>306994.46000000002</v>
      </c>
      <c r="C9" s="36">
        <f>[15]Historic!C140</f>
        <v>5111.5600000000004</v>
      </c>
      <c r="D9" s="136">
        <f>[15]Historic!C157</f>
        <v>361.94000000000005</v>
      </c>
      <c r="E9" s="150">
        <f t="shared" si="0"/>
        <v>312467.96000000002</v>
      </c>
    </row>
    <row r="10" spans="1:6" x14ac:dyDescent="0.2">
      <c r="A10" s="24">
        <v>2010</v>
      </c>
      <c r="B10" s="36">
        <f>[15]Historic!C107</f>
        <v>298436.81999999995</v>
      </c>
      <c r="C10" s="36">
        <f>[15]Historic!C141</f>
        <v>4952.9000000000005</v>
      </c>
      <c r="D10" s="175">
        <f>[15]Historic!C158</f>
        <v>351.69999999999993</v>
      </c>
      <c r="E10" s="150">
        <f t="shared" si="0"/>
        <v>303741.42</v>
      </c>
    </row>
    <row r="11" spans="1:6" x14ac:dyDescent="0.2">
      <c r="A11" s="24">
        <v>2011</v>
      </c>
      <c r="B11" s="36">
        <f>[15]Historic!C108</f>
        <v>298210.00000000006</v>
      </c>
      <c r="C11" s="36">
        <f>[15]Historic!C142</f>
        <v>4553.3</v>
      </c>
      <c r="D11" s="175">
        <f>[15]Historic!C159</f>
        <v>274.29999999999995</v>
      </c>
      <c r="E11" s="150">
        <f t="shared" si="0"/>
        <v>303037.60000000003</v>
      </c>
    </row>
    <row r="12" spans="1:6" x14ac:dyDescent="0.2">
      <c r="A12" s="24">
        <v>2012</v>
      </c>
      <c r="B12" s="36">
        <f>[15]Historic!C109</f>
        <v>295003.59999999998</v>
      </c>
      <c r="C12" s="36">
        <f>[15]Historic!C143</f>
        <v>5416.0000000000009</v>
      </c>
      <c r="D12" s="175">
        <f>[15]Historic!C160</f>
        <v>329.80000000000007</v>
      </c>
      <c r="E12" s="150">
        <f t="shared" si="0"/>
        <v>300749.39999999997</v>
      </c>
    </row>
    <row r="13" spans="1:6" x14ac:dyDescent="0.2">
      <c r="A13" s="24">
        <v>2013</v>
      </c>
      <c r="B13" s="25">
        <f>'Rate Class Energy Model'!J58*$B$28</f>
        <v>290865.21180620004</v>
      </c>
      <c r="C13" s="25">
        <f>'Rate Class Energy Model'!K58*$B$28</f>
        <v>4418.5179942916502</v>
      </c>
      <c r="D13" s="25">
        <f>'Rate Class Energy Model'!L58*$B$28</f>
        <v>298.06106516197389</v>
      </c>
      <c r="E13" s="150">
        <f t="shared" si="0"/>
        <v>295581.79086565366</v>
      </c>
    </row>
    <row r="14" spans="1:6" x14ac:dyDescent="0.2">
      <c r="A14" s="24">
        <v>2014</v>
      </c>
      <c r="B14" s="25">
        <f>'Rate Class Energy Model'!J59*B28</f>
        <v>290779.26529642585</v>
      </c>
      <c r="C14" s="25">
        <f>'Rate Class Energy Model'!K59*C28</f>
        <v>5229.9860393372019</v>
      </c>
      <c r="D14" s="25">
        <f>'Rate Class Energy Model'!L59*D28</f>
        <v>338.86175995396366</v>
      </c>
      <c r="E14" s="150">
        <f t="shared" si="0"/>
        <v>296348.11309571698</v>
      </c>
    </row>
    <row r="15" spans="1:6" x14ac:dyDescent="0.2">
      <c r="A15" s="17"/>
    </row>
    <row r="16" spans="1:6" x14ac:dyDescent="0.2">
      <c r="A16" s="85" t="s">
        <v>62</v>
      </c>
      <c r="B16" s="85" t="s">
        <v>62</v>
      </c>
      <c r="C16" s="5"/>
      <c r="D16" s="5"/>
      <c r="E16" s="5"/>
    </row>
    <row r="17" spans="1:5" x14ac:dyDescent="0.2">
      <c r="A17" s="4">
        <v>2003</v>
      </c>
      <c r="B17" s="23">
        <f>B3/'Rate Class Energy Model'!J7</f>
        <v>2.4075481245482812E-3</v>
      </c>
      <c r="C17" s="23">
        <f>C3/'Rate Class Energy Model'!K7</f>
        <v>2.9578485658779499E-3</v>
      </c>
      <c r="D17" s="23">
        <f>D3/'Rate Class Energy Model'!L7</f>
        <v>2.792357600961646E-3</v>
      </c>
      <c r="E17" s="23"/>
    </row>
    <row r="18" spans="1:5" x14ac:dyDescent="0.2">
      <c r="A18" s="4">
        <v>2004</v>
      </c>
      <c r="B18" s="23">
        <f>B4/'Rate Class Energy Model'!J8</f>
        <v>2.3670022394660802E-3</v>
      </c>
      <c r="C18" s="23">
        <f>C4/'Rate Class Energy Model'!K8</f>
        <v>2.7726056418189851E-3</v>
      </c>
      <c r="D18" s="23">
        <f>D4/'Rate Class Energy Model'!L8</f>
        <v>2.7757465415093495E-3</v>
      </c>
      <c r="E18" s="23"/>
    </row>
    <row r="19" spans="1:5" x14ac:dyDescent="0.2">
      <c r="A19" s="4">
        <v>2005</v>
      </c>
      <c r="B19" s="23">
        <f>B5/'Rate Class Energy Model'!J9</f>
        <v>2.3623085320778029E-3</v>
      </c>
      <c r="C19" s="23">
        <f>C5/'Rate Class Energy Model'!K9</f>
        <v>2.7921407740868951E-3</v>
      </c>
      <c r="D19" s="23">
        <f>D5/'Rate Class Energy Model'!L9</f>
        <v>2.6854466211528008E-3</v>
      </c>
      <c r="E19" s="23"/>
    </row>
    <row r="20" spans="1:5" x14ac:dyDescent="0.2">
      <c r="A20" s="4">
        <v>2006</v>
      </c>
      <c r="B20" s="23">
        <f>B6/'Rate Class Energy Model'!J10</f>
        <v>2.3721052566448601E-3</v>
      </c>
      <c r="C20" s="23">
        <f>C6/'Rate Class Energy Model'!K10</f>
        <v>2.7923774985610726E-3</v>
      </c>
      <c r="D20" s="23">
        <f>D6/'Rate Class Energy Model'!L10</f>
        <v>2.8448603537685061E-3</v>
      </c>
      <c r="E20" s="23"/>
    </row>
    <row r="21" spans="1:5" x14ac:dyDescent="0.2">
      <c r="A21" s="4">
        <v>2007</v>
      </c>
      <c r="B21" s="23">
        <f>B7/'Rate Class Energy Model'!J11</f>
        <v>2.3851118358251757E-3</v>
      </c>
      <c r="C21" s="23">
        <f>C7/'Rate Class Energy Model'!K11</f>
        <v>2.7518423989827913E-3</v>
      </c>
      <c r="D21" s="23">
        <f>D7/'Rate Class Energy Model'!L11</f>
        <v>2.797432795945637E-3</v>
      </c>
      <c r="E21" s="23"/>
    </row>
    <row r="22" spans="1:5" x14ac:dyDescent="0.2">
      <c r="A22" s="4">
        <v>2008</v>
      </c>
      <c r="B22" s="23">
        <f>B8/'Rate Class Energy Model'!J12</f>
        <v>2.3895415673783355E-3</v>
      </c>
      <c r="C22" s="23">
        <f>C8/'Rate Class Energy Model'!K12</f>
        <v>2.7921082864777445E-3</v>
      </c>
      <c r="D22" s="23">
        <f>D8/'Rate Class Energy Model'!L12</f>
        <v>2.7664947253170464E-3</v>
      </c>
      <c r="E22" s="23"/>
    </row>
    <row r="23" spans="1:5" x14ac:dyDescent="0.2">
      <c r="A23" s="4">
        <v>2009</v>
      </c>
      <c r="B23" s="23">
        <f>B9/'Rate Class Energy Model'!J13</f>
        <v>2.52688819134769E-3</v>
      </c>
      <c r="C23" s="23">
        <f>C9/'Rate Class Energy Model'!K13</f>
        <v>2.8877122256436537E-3</v>
      </c>
      <c r="D23" s="23">
        <f>D9/'Rate Class Energy Model'!L13</f>
        <v>2.8164382444518061E-3</v>
      </c>
      <c r="E23" s="23"/>
    </row>
    <row r="24" spans="1:5" x14ac:dyDescent="0.2">
      <c r="A24" s="4">
        <v>2010</v>
      </c>
      <c r="B24" s="23">
        <f>B10/'Rate Class Energy Model'!J14</f>
        <v>2.4186359292039431E-3</v>
      </c>
      <c r="C24" s="23">
        <f>C10/'Rate Class Energy Model'!K14</f>
        <v>2.7864118470744899E-3</v>
      </c>
      <c r="D24" s="23">
        <f>D10/'Rate Class Energy Model'!L14</f>
        <v>2.7596217976381962E-3</v>
      </c>
      <c r="E24" s="23"/>
    </row>
    <row r="25" spans="1:5" x14ac:dyDescent="0.2">
      <c r="A25" s="4">
        <v>2011</v>
      </c>
      <c r="B25" s="23">
        <f>B11/'Rate Class Energy Model'!J15</f>
        <v>2.4502238969775197E-3</v>
      </c>
      <c r="C25" s="23">
        <f>C11/'Rate Class Energy Model'!K15</f>
        <v>2.554122170204507E-3</v>
      </c>
      <c r="D25" s="23">
        <f>D11/'Rate Class Energy Model'!L15</f>
        <v>2.7674364639769158E-3</v>
      </c>
      <c r="E25" s="23"/>
    </row>
    <row r="26" spans="1:5" x14ac:dyDescent="0.2">
      <c r="A26" s="4">
        <v>2012</v>
      </c>
      <c r="B26" s="23">
        <f>B12/'Rate Class Energy Model'!J16</f>
        <v>2.4491067507469311E-3</v>
      </c>
      <c r="C26" s="23">
        <f>C12/'Rate Class Energy Model'!K16</f>
        <v>3.0065994636173272E-3</v>
      </c>
      <c r="D26" s="23">
        <f>D12/'Rate Class Energy Model'!L16</f>
        <v>2.6482727608524584E-3</v>
      </c>
      <c r="E26" s="23"/>
    </row>
    <row r="28" spans="1:5" x14ac:dyDescent="0.2">
      <c r="A28" t="s">
        <v>13</v>
      </c>
      <c r="B28" s="23">
        <f>AVERAGE(B17:B26)</f>
        <v>2.4128472324216619E-3</v>
      </c>
      <c r="C28" s="23">
        <f>AVERAGE(C17:C26)</f>
        <v>2.8093768872345416E-3</v>
      </c>
      <c r="D28" s="23">
        <f>AVERAGE(D17:D26)</f>
        <v>2.7654107905574362E-3</v>
      </c>
      <c r="E28" s="23"/>
    </row>
    <row r="30" spans="1:5" x14ac:dyDescent="0.2">
      <c r="A30" s="16" t="s">
        <v>439</v>
      </c>
      <c r="B30" s="149"/>
    </row>
    <row r="31" spans="1:5" x14ac:dyDescent="0.2">
      <c r="A31" s="16" t="s">
        <v>440</v>
      </c>
      <c r="B31" s="149"/>
    </row>
    <row r="32" spans="1:5" x14ac:dyDescent="0.2">
      <c r="A32" s="16">
        <v>2013</v>
      </c>
      <c r="B32" s="149">
        <f>'Manual Adj Industries'!B14</f>
        <v>526.93333333333339</v>
      </c>
    </row>
    <row r="33" spans="1:5" x14ac:dyDescent="0.2">
      <c r="A33" s="16">
        <v>2014</v>
      </c>
      <c r="B33" s="149">
        <f>'Manual Adj Industries'!B14</f>
        <v>526.93333333333339</v>
      </c>
    </row>
    <row r="35" spans="1:5" x14ac:dyDescent="0.2">
      <c r="B35" s="21"/>
      <c r="C35" s="21"/>
      <c r="D35" s="21"/>
      <c r="E35" s="21"/>
    </row>
    <row r="36" spans="1:5" x14ac:dyDescent="0.2">
      <c r="B36" s="21"/>
      <c r="C36" s="21"/>
      <c r="D36" s="21"/>
      <c r="E36" s="21"/>
    </row>
    <row r="55" spans="2:5" x14ac:dyDescent="0.2">
      <c r="B55" s="13"/>
      <c r="C55" s="13"/>
      <c r="D55" s="13"/>
      <c r="E55" s="13"/>
    </row>
    <row r="56" spans="2:5" x14ac:dyDescent="0.2">
      <c r="B56" s="13"/>
      <c r="C56" s="13"/>
      <c r="D56" s="13"/>
      <c r="E56" s="13"/>
    </row>
  </sheetData>
  <mergeCells count="1">
    <mergeCell ref="B1:F1"/>
  </mergeCells>
  <phoneticPr fontId="0" type="noConversion"/>
  <pageMargins left="0.38" right="0.75" top="0.73" bottom="0.74" header="0.5" footer="0.5"/>
  <pageSetup scale="7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AC96"/>
  <sheetViews>
    <sheetView workbookViewId="0">
      <selection activeCell="B96" sqref="B96"/>
    </sheetView>
  </sheetViews>
  <sheetFormatPr defaultRowHeight="12.75" x14ac:dyDescent="0.2"/>
  <cols>
    <col min="1" max="1" width="31.42578125" style="293" bestFit="1" customWidth="1"/>
    <col min="2" max="2" width="12.5703125" style="293" customWidth="1"/>
    <col min="3" max="3" width="11.7109375" style="293" customWidth="1"/>
    <col min="4" max="4" width="14.42578125" style="293" customWidth="1"/>
    <col min="5" max="5" width="10" style="293" customWidth="1"/>
    <col min="6" max="6" width="12.7109375" style="293" customWidth="1"/>
    <col min="7" max="8" width="9.140625" style="293"/>
    <col min="9" max="9" width="20.85546875" style="293" customWidth="1"/>
    <col min="10" max="10" width="14.85546875" style="293" customWidth="1"/>
    <col min="11" max="11" width="16.28515625" style="293" bestFit="1" customWidth="1"/>
    <col min="12" max="12" width="14" style="293" bestFit="1" customWidth="1"/>
    <col min="13" max="13" width="12.85546875" style="293" bestFit="1" customWidth="1"/>
    <col min="14" max="14" width="16.28515625" style="293" bestFit="1" customWidth="1"/>
    <col min="15" max="16" width="12.42578125" style="293" bestFit="1" customWidth="1"/>
    <col min="17" max="17" width="16.28515625" style="293" bestFit="1" customWidth="1"/>
    <col min="18" max="19" width="12.42578125" style="293" bestFit="1" customWidth="1"/>
    <col min="20" max="20" width="16.28515625" style="293" bestFit="1" customWidth="1"/>
    <col min="21" max="21" width="12.42578125" style="293" bestFit="1" customWidth="1"/>
    <col min="22" max="22" width="13.5703125" style="293" bestFit="1" customWidth="1"/>
    <col min="23" max="23" width="16.28515625" style="293" bestFit="1" customWidth="1"/>
    <col min="24" max="24" width="16.28515625" style="293" customWidth="1"/>
    <col min="25" max="25" width="13.5703125" style="293" bestFit="1" customWidth="1"/>
    <col min="26" max="29" width="8.7109375" style="293" customWidth="1"/>
    <col min="30" max="262" width="9.140625" style="293"/>
    <col min="263" max="263" width="31.42578125" style="293" bestFit="1" customWidth="1"/>
    <col min="264" max="264" width="12.7109375" style="293" customWidth="1"/>
    <col min="265" max="265" width="11.7109375" style="293" customWidth="1"/>
    <col min="266" max="266" width="12.7109375" style="293" customWidth="1"/>
    <col min="267" max="267" width="10" style="293" customWidth="1"/>
    <col min="268" max="268" width="12.7109375" style="293" customWidth="1"/>
    <col min="269" max="518" width="9.140625" style="293"/>
    <col min="519" max="519" width="31.42578125" style="293" bestFit="1" customWidth="1"/>
    <col min="520" max="520" width="12.7109375" style="293" customWidth="1"/>
    <col min="521" max="521" width="11.7109375" style="293" customWidth="1"/>
    <col min="522" max="522" width="12.7109375" style="293" customWidth="1"/>
    <col min="523" max="523" width="10" style="293" customWidth="1"/>
    <col min="524" max="524" width="12.7109375" style="293" customWidth="1"/>
    <col min="525" max="774" width="9.140625" style="293"/>
    <col min="775" max="775" width="31.42578125" style="293" bestFit="1" customWidth="1"/>
    <col min="776" max="776" width="12.7109375" style="293" customWidth="1"/>
    <col min="777" max="777" width="11.7109375" style="293" customWidth="1"/>
    <col min="778" max="778" width="12.7109375" style="293" customWidth="1"/>
    <col min="779" max="779" width="10" style="293" customWidth="1"/>
    <col min="780" max="780" width="12.7109375" style="293" customWidth="1"/>
    <col min="781" max="1030" width="9.140625" style="293"/>
    <col min="1031" max="1031" width="31.42578125" style="293" bestFit="1" customWidth="1"/>
    <col min="1032" max="1032" width="12.7109375" style="293" customWidth="1"/>
    <col min="1033" max="1033" width="11.7109375" style="293" customWidth="1"/>
    <col min="1034" max="1034" width="12.7109375" style="293" customWidth="1"/>
    <col min="1035" max="1035" width="10" style="293" customWidth="1"/>
    <col min="1036" max="1036" width="12.7109375" style="293" customWidth="1"/>
    <col min="1037" max="1286" width="9.140625" style="293"/>
    <col min="1287" max="1287" width="31.42578125" style="293" bestFit="1" customWidth="1"/>
    <col min="1288" max="1288" width="12.7109375" style="293" customWidth="1"/>
    <col min="1289" max="1289" width="11.7109375" style="293" customWidth="1"/>
    <col min="1290" max="1290" width="12.7109375" style="293" customWidth="1"/>
    <col min="1291" max="1291" width="10" style="293" customWidth="1"/>
    <col min="1292" max="1292" width="12.7109375" style="293" customWidth="1"/>
    <col min="1293" max="1542" width="9.140625" style="293"/>
    <col min="1543" max="1543" width="31.42578125" style="293" bestFit="1" customWidth="1"/>
    <col min="1544" max="1544" width="12.7109375" style="293" customWidth="1"/>
    <col min="1545" max="1545" width="11.7109375" style="293" customWidth="1"/>
    <col min="1546" max="1546" width="12.7109375" style="293" customWidth="1"/>
    <col min="1547" max="1547" width="10" style="293" customWidth="1"/>
    <col min="1548" max="1548" width="12.7109375" style="293" customWidth="1"/>
    <col min="1549" max="1798" width="9.140625" style="293"/>
    <col min="1799" max="1799" width="31.42578125" style="293" bestFit="1" customWidth="1"/>
    <col min="1800" max="1800" width="12.7109375" style="293" customWidth="1"/>
    <col min="1801" max="1801" width="11.7109375" style="293" customWidth="1"/>
    <col min="1802" max="1802" width="12.7109375" style="293" customWidth="1"/>
    <col min="1803" max="1803" width="10" style="293" customWidth="1"/>
    <col min="1804" max="1804" width="12.7109375" style="293" customWidth="1"/>
    <col min="1805" max="2054" width="9.140625" style="293"/>
    <col min="2055" max="2055" width="31.42578125" style="293" bestFit="1" customWidth="1"/>
    <col min="2056" max="2056" width="12.7109375" style="293" customWidth="1"/>
    <col min="2057" max="2057" width="11.7109375" style="293" customWidth="1"/>
    <col min="2058" max="2058" width="12.7109375" style="293" customWidth="1"/>
    <col min="2059" max="2059" width="10" style="293" customWidth="1"/>
    <col min="2060" max="2060" width="12.7109375" style="293" customWidth="1"/>
    <col min="2061" max="2310" width="9.140625" style="293"/>
    <col min="2311" max="2311" width="31.42578125" style="293" bestFit="1" customWidth="1"/>
    <col min="2312" max="2312" width="12.7109375" style="293" customWidth="1"/>
    <col min="2313" max="2313" width="11.7109375" style="293" customWidth="1"/>
    <col min="2314" max="2314" width="12.7109375" style="293" customWidth="1"/>
    <col min="2315" max="2315" width="10" style="293" customWidth="1"/>
    <col min="2316" max="2316" width="12.7109375" style="293" customWidth="1"/>
    <col min="2317" max="2566" width="9.140625" style="293"/>
    <col min="2567" max="2567" width="31.42578125" style="293" bestFit="1" customWidth="1"/>
    <col min="2568" max="2568" width="12.7109375" style="293" customWidth="1"/>
    <col min="2569" max="2569" width="11.7109375" style="293" customWidth="1"/>
    <col min="2570" max="2570" width="12.7109375" style="293" customWidth="1"/>
    <col min="2571" max="2571" width="10" style="293" customWidth="1"/>
    <col min="2572" max="2572" width="12.7109375" style="293" customWidth="1"/>
    <col min="2573" max="2822" width="9.140625" style="293"/>
    <col min="2823" max="2823" width="31.42578125" style="293" bestFit="1" customWidth="1"/>
    <col min="2824" max="2824" width="12.7109375" style="293" customWidth="1"/>
    <col min="2825" max="2825" width="11.7109375" style="293" customWidth="1"/>
    <col min="2826" max="2826" width="12.7109375" style="293" customWidth="1"/>
    <col min="2827" max="2827" width="10" style="293" customWidth="1"/>
    <col min="2828" max="2828" width="12.7109375" style="293" customWidth="1"/>
    <col min="2829" max="3078" width="9.140625" style="293"/>
    <col min="3079" max="3079" width="31.42578125" style="293" bestFit="1" customWidth="1"/>
    <col min="3080" max="3080" width="12.7109375" style="293" customWidth="1"/>
    <col min="3081" max="3081" width="11.7109375" style="293" customWidth="1"/>
    <col min="3082" max="3082" width="12.7109375" style="293" customWidth="1"/>
    <col min="3083" max="3083" width="10" style="293" customWidth="1"/>
    <col min="3084" max="3084" width="12.7109375" style="293" customWidth="1"/>
    <col min="3085" max="3334" width="9.140625" style="293"/>
    <col min="3335" max="3335" width="31.42578125" style="293" bestFit="1" customWidth="1"/>
    <col min="3336" max="3336" width="12.7109375" style="293" customWidth="1"/>
    <col min="3337" max="3337" width="11.7109375" style="293" customWidth="1"/>
    <col min="3338" max="3338" width="12.7109375" style="293" customWidth="1"/>
    <col min="3339" max="3339" width="10" style="293" customWidth="1"/>
    <col min="3340" max="3340" width="12.7109375" style="293" customWidth="1"/>
    <col min="3341" max="3590" width="9.140625" style="293"/>
    <col min="3591" max="3591" width="31.42578125" style="293" bestFit="1" customWidth="1"/>
    <col min="3592" max="3592" width="12.7109375" style="293" customWidth="1"/>
    <col min="3593" max="3593" width="11.7109375" style="293" customWidth="1"/>
    <col min="3594" max="3594" width="12.7109375" style="293" customWidth="1"/>
    <col min="3595" max="3595" width="10" style="293" customWidth="1"/>
    <col min="3596" max="3596" width="12.7109375" style="293" customWidth="1"/>
    <col min="3597" max="3846" width="9.140625" style="293"/>
    <col min="3847" max="3847" width="31.42578125" style="293" bestFit="1" customWidth="1"/>
    <col min="3848" max="3848" width="12.7109375" style="293" customWidth="1"/>
    <col min="3849" max="3849" width="11.7109375" style="293" customWidth="1"/>
    <col min="3850" max="3850" width="12.7109375" style="293" customWidth="1"/>
    <col min="3851" max="3851" width="10" style="293" customWidth="1"/>
    <col min="3852" max="3852" width="12.7109375" style="293" customWidth="1"/>
    <col min="3853" max="4102" width="9.140625" style="293"/>
    <col min="4103" max="4103" width="31.42578125" style="293" bestFit="1" customWidth="1"/>
    <col min="4104" max="4104" width="12.7109375" style="293" customWidth="1"/>
    <col min="4105" max="4105" width="11.7109375" style="293" customWidth="1"/>
    <col min="4106" max="4106" width="12.7109375" style="293" customWidth="1"/>
    <col min="4107" max="4107" width="10" style="293" customWidth="1"/>
    <col min="4108" max="4108" width="12.7109375" style="293" customWidth="1"/>
    <col min="4109" max="4358" width="9.140625" style="293"/>
    <col min="4359" max="4359" width="31.42578125" style="293" bestFit="1" customWidth="1"/>
    <col min="4360" max="4360" width="12.7109375" style="293" customWidth="1"/>
    <col min="4361" max="4361" width="11.7109375" style="293" customWidth="1"/>
    <col min="4362" max="4362" width="12.7109375" style="293" customWidth="1"/>
    <col min="4363" max="4363" width="10" style="293" customWidth="1"/>
    <col min="4364" max="4364" width="12.7109375" style="293" customWidth="1"/>
    <col min="4365" max="4614" width="9.140625" style="293"/>
    <col min="4615" max="4615" width="31.42578125" style="293" bestFit="1" customWidth="1"/>
    <col min="4616" max="4616" width="12.7109375" style="293" customWidth="1"/>
    <col min="4617" max="4617" width="11.7109375" style="293" customWidth="1"/>
    <col min="4618" max="4618" width="12.7109375" style="293" customWidth="1"/>
    <col min="4619" max="4619" width="10" style="293" customWidth="1"/>
    <col min="4620" max="4620" width="12.7109375" style="293" customWidth="1"/>
    <col min="4621" max="4870" width="9.140625" style="293"/>
    <col min="4871" max="4871" width="31.42578125" style="293" bestFit="1" customWidth="1"/>
    <col min="4872" max="4872" width="12.7109375" style="293" customWidth="1"/>
    <col min="4873" max="4873" width="11.7109375" style="293" customWidth="1"/>
    <col min="4874" max="4874" width="12.7109375" style="293" customWidth="1"/>
    <col min="4875" max="4875" width="10" style="293" customWidth="1"/>
    <col min="4876" max="4876" width="12.7109375" style="293" customWidth="1"/>
    <col min="4877" max="5126" width="9.140625" style="293"/>
    <col min="5127" max="5127" width="31.42578125" style="293" bestFit="1" customWidth="1"/>
    <col min="5128" max="5128" width="12.7109375" style="293" customWidth="1"/>
    <col min="5129" max="5129" width="11.7109375" style="293" customWidth="1"/>
    <col min="5130" max="5130" width="12.7109375" style="293" customWidth="1"/>
    <col min="5131" max="5131" width="10" style="293" customWidth="1"/>
    <col min="5132" max="5132" width="12.7109375" style="293" customWidth="1"/>
    <col min="5133" max="5382" width="9.140625" style="293"/>
    <col min="5383" max="5383" width="31.42578125" style="293" bestFit="1" customWidth="1"/>
    <col min="5384" max="5384" width="12.7109375" style="293" customWidth="1"/>
    <col min="5385" max="5385" width="11.7109375" style="293" customWidth="1"/>
    <col min="5386" max="5386" width="12.7109375" style="293" customWidth="1"/>
    <col min="5387" max="5387" width="10" style="293" customWidth="1"/>
    <col min="5388" max="5388" width="12.7109375" style="293" customWidth="1"/>
    <col min="5389" max="5638" width="9.140625" style="293"/>
    <col min="5639" max="5639" width="31.42578125" style="293" bestFit="1" customWidth="1"/>
    <col min="5640" max="5640" width="12.7109375" style="293" customWidth="1"/>
    <col min="5641" max="5641" width="11.7109375" style="293" customWidth="1"/>
    <col min="5642" max="5642" width="12.7109375" style="293" customWidth="1"/>
    <col min="5643" max="5643" width="10" style="293" customWidth="1"/>
    <col min="5644" max="5644" width="12.7109375" style="293" customWidth="1"/>
    <col min="5645" max="5894" width="9.140625" style="293"/>
    <col min="5895" max="5895" width="31.42578125" style="293" bestFit="1" customWidth="1"/>
    <col min="5896" max="5896" width="12.7109375" style="293" customWidth="1"/>
    <col min="5897" max="5897" width="11.7109375" style="293" customWidth="1"/>
    <col min="5898" max="5898" width="12.7109375" style="293" customWidth="1"/>
    <col min="5899" max="5899" width="10" style="293" customWidth="1"/>
    <col min="5900" max="5900" width="12.7109375" style="293" customWidth="1"/>
    <col min="5901" max="6150" width="9.140625" style="293"/>
    <col min="6151" max="6151" width="31.42578125" style="293" bestFit="1" customWidth="1"/>
    <col min="6152" max="6152" width="12.7109375" style="293" customWidth="1"/>
    <col min="6153" max="6153" width="11.7109375" style="293" customWidth="1"/>
    <col min="6154" max="6154" width="12.7109375" style="293" customWidth="1"/>
    <col min="6155" max="6155" width="10" style="293" customWidth="1"/>
    <col min="6156" max="6156" width="12.7109375" style="293" customWidth="1"/>
    <col min="6157" max="6406" width="9.140625" style="293"/>
    <col min="6407" max="6407" width="31.42578125" style="293" bestFit="1" customWidth="1"/>
    <col min="6408" max="6408" width="12.7109375" style="293" customWidth="1"/>
    <col min="6409" max="6409" width="11.7109375" style="293" customWidth="1"/>
    <col min="6410" max="6410" width="12.7109375" style="293" customWidth="1"/>
    <col min="6411" max="6411" width="10" style="293" customWidth="1"/>
    <col min="6412" max="6412" width="12.7109375" style="293" customWidth="1"/>
    <col min="6413" max="6662" width="9.140625" style="293"/>
    <col min="6663" max="6663" width="31.42578125" style="293" bestFit="1" customWidth="1"/>
    <col min="6664" max="6664" width="12.7109375" style="293" customWidth="1"/>
    <col min="6665" max="6665" width="11.7109375" style="293" customWidth="1"/>
    <col min="6666" max="6666" width="12.7109375" style="293" customWidth="1"/>
    <col min="6667" max="6667" width="10" style="293" customWidth="1"/>
    <col min="6668" max="6668" width="12.7109375" style="293" customWidth="1"/>
    <col min="6669" max="6918" width="9.140625" style="293"/>
    <col min="6919" max="6919" width="31.42578125" style="293" bestFit="1" customWidth="1"/>
    <col min="6920" max="6920" width="12.7109375" style="293" customWidth="1"/>
    <col min="6921" max="6921" width="11.7109375" style="293" customWidth="1"/>
    <col min="6922" max="6922" width="12.7109375" style="293" customWidth="1"/>
    <col min="6923" max="6923" width="10" style="293" customWidth="1"/>
    <col min="6924" max="6924" width="12.7109375" style="293" customWidth="1"/>
    <col min="6925" max="7174" width="9.140625" style="293"/>
    <col min="7175" max="7175" width="31.42578125" style="293" bestFit="1" customWidth="1"/>
    <col min="7176" max="7176" width="12.7109375" style="293" customWidth="1"/>
    <col min="7177" max="7177" width="11.7109375" style="293" customWidth="1"/>
    <col min="7178" max="7178" width="12.7109375" style="293" customWidth="1"/>
    <col min="7179" max="7179" width="10" style="293" customWidth="1"/>
    <col min="7180" max="7180" width="12.7109375" style="293" customWidth="1"/>
    <col min="7181" max="7430" width="9.140625" style="293"/>
    <col min="7431" max="7431" width="31.42578125" style="293" bestFit="1" customWidth="1"/>
    <col min="7432" max="7432" width="12.7109375" style="293" customWidth="1"/>
    <col min="7433" max="7433" width="11.7109375" style="293" customWidth="1"/>
    <col min="7434" max="7434" width="12.7109375" style="293" customWidth="1"/>
    <col min="7435" max="7435" width="10" style="293" customWidth="1"/>
    <col min="7436" max="7436" width="12.7109375" style="293" customWidth="1"/>
    <col min="7437" max="7686" width="9.140625" style="293"/>
    <col min="7687" max="7687" width="31.42578125" style="293" bestFit="1" customWidth="1"/>
    <col min="7688" max="7688" width="12.7109375" style="293" customWidth="1"/>
    <col min="7689" max="7689" width="11.7109375" style="293" customWidth="1"/>
    <col min="7690" max="7690" width="12.7109375" style="293" customWidth="1"/>
    <col min="7691" max="7691" width="10" style="293" customWidth="1"/>
    <col min="7692" max="7692" width="12.7109375" style="293" customWidth="1"/>
    <col min="7693" max="7942" width="9.140625" style="293"/>
    <col min="7943" max="7943" width="31.42578125" style="293" bestFit="1" customWidth="1"/>
    <col min="7944" max="7944" width="12.7109375" style="293" customWidth="1"/>
    <col min="7945" max="7945" width="11.7109375" style="293" customWidth="1"/>
    <col min="7946" max="7946" width="12.7109375" style="293" customWidth="1"/>
    <col min="7947" max="7947" width="10" style="293" customWidth="1"/>
    <col min="7948" max="7948" width="12.7109375" style="293" customWidth="1"/>
    <col min="7949" max="8198" width="9.140625" style="293"/>
    <col min="8199" max="8199" width="31.42578125" style="293" bestFit="1" customWidth="1"/>
    <col min="8200" max="8200" width="12.7109375" style="293" customWidth="1"/>
    <col min="8201" max="8201" width="11.7109375" style="293" customWidth="1"/>
    <col min="8202" max="8202" width="12.7109375" style="293" customWidth="1"/>
    <col min="8203" max="8203" width="10" style="293" customWidth="1"/>
    <col min="8204" max="8204" width="12.7109375" style="293" customWidth="1"/>
    <col min="8205" max="8454" width="9.140625" style="293"/>
    <col min="8455" max="8455" width="31.42578125" style="293" bestFit="1" customWidth="1"/>
    <col min="8456" max="8456" width="12.7109375" style="293" customWidth="1"/>
    <col min="8457" max="8457" width="11.7109375" style="293" customWidth="1"/>
    <col min="8458" max="8458" width="12.7109375" style="293" customWidth="1"/>
    <col min="8459" max="8459" width="10" style="293" customWidth="1"/>
    <col min="8460" max="8460" width="12.7109375" style="293" customWidth="1"/>
    <col min="8461" max="8710" width="9.140625" style="293"/>
    <col min="8711" max="8711" width="31.42578125" style="293" bestFit="1" customWidth="1"/>
    <col min="8712" max="8712" width="12.7109375" style="293" customWidth="1"/>
    <col min="8713" max="8713" width="11.7109375" style="293" customWidth="1"/>
    <col min="8714" max="8714" width="12.7109375" style="293" customWidth="1"/>
    <col min="8715" max="8715" width="10" style="293" customWidth="1"/>
    <col min="8716" max="8716" width="12.7109375" style="293" customWidth="1"/>
    <col min="8717" max="8966" width="9.140625" style="293"/>
    <col min="8967" max="8967" width="31.42578125" style="293" bestFit="1" customWidth="1"/>
    <col min="8968" max="8968" width="12.7109375" style="293" customWidth="1"/>
    <col min="8969" max="8969" width="11.7109375" style="293" customWidth="1"/>
    <col min="8970" max="8970" width="12.7109375" style="293" customWidth="1"/>
    <col min="8971" max="8971" width="10" style="293" customWidth="1"/>
    <col min="8972" max="8972" width="12.7109375" style="293" customWidth="1"/>
    <col min="8973" max="9222" width="9.140625" style="293"/>
    <col min="9223" max="9223" width="31.42578125" style="293" bestFit="1" customWidth="1"/>
    <col min="9224" max="9224" width="12.7109375" style="293" customWidth="1"/>
    <col min="9225" max="9225" width="11.7109375" style="293" customWidth="1"/>
    <col min="9226" max="9226" width="12.7109375" style="293" customWidth="1"/>
    <col min="9227" max="9227" width="10" style="293" customWidth="1"/>
    <col min="9228" max="9228" width="12.7109375" style="293" customWidth="1"/>
    <col min="9229" max="9478" width="9.140625" style="293"/>
    <col min="9479" max="9479" width="31.42578125" style="293" bestFit="1" customWidth="1"/>
    <col min="9480" max="9480" width="12.7109375" style="293" customWidth="1"/>
    <col min="9481" max="9481" width="11.7109375" style="293" customWidth="1"/>
    <col min="9482" max="9482" width="12.7109375" style="293" customWidth="1"/>
    <col min="9483" max="9483" width="10" style="293" customWidth="1"/>
    <col min="9484" max="9484" width="12.7109375" style="293" customWidth="1"/>
    <col min="9485" max="9734" width="9.140625" style="293"/>
    <col min="9735" max="9735" width="31.42578125" style="293" bestFit="1" customWidth="1"/>
    <col min="9736" max="9736" width="12.7109375" style="293" customWidth="1"/>
    <col min="9737" max="9737" width="11.7109375" style="293" customWidth="1"/>
    <col min="9738" max="9738" width="12.7109375" style="293" customWidth="1"/>
    <col min="9739" max="9739" width="10" style="293" customWidth="1"/>
    <col min="9740" max="9740" width="12.7109375" style="293" customWidth="1"/>
    <col min="9741" max="9990" width="9.140625" style="293"/>
    <col min="9991" max="9991" width="31.42578125" style="293" bestFit="1" customWidth="1"/>
    <col min="9992" max="9992" width="12.7109375" style="293" customWidth="1"/>
    <col min="9993" max="9993" width="11.7109375" style="293" customWidth="1"/>
    <col min="9994" max="9994" width="12.7109375" style="293" customWidth="1"/>
    <col min="9995" max="9995" width="10" style="293" customWidth="1"/>
    <col min="9996" max="9996" width="12.7109375" style="293" customWidth="1"/>
    <col min="9997" max="10246" width="9.140625" style="293"/>
    <col min="10247" max="10247" width="31.42578125" style="293" bestFit="1" customWidth="1"/>
    <col min="10248" max="10248" width="12.7109375" style="293" customWidth="1"/>
    <col min="10249" max="10249" width="11.7109375" style="293" customWidth="1"/>
    <col min="10250" max="10250" width="12.7109375" style="293" customWidth="1"/>
    <col min="10251" max="10251" width="10" style="293" customWidth="1"/>
    <col min="10252" max="10252" width="12.7109375" style="293" customWidth="1"/>
    <col min="10253" max="10502" width="9.140625" style="293"/>
    <col min="10503" max="10503" width="31.42578125" style="293" bestFit="1" customWidth="1"/>
    <col min="10504" max="10504" width="12.7109375" style="293" customWidth="1"/>
    <col min="10505" max="10505" width="11.7109375" style="293" customWidth="1"/>
    <col min="10506" max="10506" width="12.7109375" style="293" customWidth="1"/>
    <col min="10507" max="10507" width="10" style="293" customWidth="1"/>
    <col min="10508" max="10508" width="12.7109375" style="293" customWidth="1"/>
    <col min="10509" max="10758" width="9.140625" style="293"/>
    <col min="10759" max="10759" width="31.42578125" style="293" bestFit="1" customWidth="1"/>
    <col min="10760" max="10760" width="12.7109375" style="293" customWidth="1"/>
    <col min="10761" max="10761" width="11.7109375" style="293" customWidth="1"/>
    <col min="10762" max="10762" width="12.7109375" style="293" customWidth="1"/>
    <col min="10763" max="10763" width="10" style="293" customWidth="1"/>
    <col min="10764" max="10764" width="12.7109375" style="293" customWidth="1"/>
    <col min="10765" max="11014" width="9.140625" style="293"/>
    <col min="11015" max="11015" width="31.42578125" style="293" bestFit="1" customWidth="1"/>
    <col min="11016" max="11016" width="12.7109375" style="293" customWidth="1"/>
    <col min="11017" max="11017" width="11.7109375" style="293" customWidth="1"/>
    <col min="11018" max="11018" width="12.7109375" style="293" customWidth="1"/>
    <col min="11019" max="11019" width="10" style="293" customWidth="1"/>
    <col min="11020" max="11020" width="12.7109375" style="293" customWidth="1"/>
    <col min="11021" max="11270" width="9.140625" style="293"/>
    <col min="11271" max="11271" width="31.42578125" style="293" bestFit="1" customWidth="1"/>
    <col min="11272" max="11272" width="12.7109375" style="293" customWidth="1"/>
    <col min="11273" max="11273" width="11.7109375" style="293" customWidth="1"/>
    <col min="11274" max="11274" width="12.7109375" style="293" customWidth="1"/>
    <col min="11275" max="11275" width="10" style="293" customWidth="1"/>
    <col min="11276" max="11276" width="12.7109375" style="293" customWidth="1"/>
    <col min="11277" max="11526" width="9.140625" style="293"/>
    <col min="11527" max="11527" width="31.42578125" style="293" bestFit="1" customWidth="1"/>
    <col min="11528" max="11528" width="12.7109375" style="293" customWidth="1"/>
    <col min="11529" max="11529" width="11.7109375" style="293" customWidth="1"/>
    <col min="11530" max="11530" width="12.7109375" style="293" customWidth="1"/>
    <col min="11531" max="11531" width="10" style="293" customWidth="1"/>
    <col min="11532" max="11532" width="12.7109375" style="293" customWidth="1"/>
    <col min="11533" max="11782" width="9.140625" style="293"/>
    <col min="11783" max="11783" width="31.42578125" style="293" bestFit="1" customWidth="1"/>
    <col min="11784" max="11784" width="12.7109375" style="293" customWidth="1"/>
    <col min="11785" max="11785" width="11.7109375" style="293" customWidth="1"/>
    <col min="11786" max="11786" width="12.7109375" style="293" customWidth="1"/>
    <col min="11787" max="11787" width="10" style="293" customWidth="1"/>
    <col min="11788" max="11788" width="12.7109375" style="293" customWidth="1"/>
    <col min="11789" max="12038" width="9.140625" style="293"/>
    <col min="12039" max="12039" width="31.42578125" style="293" bestFit="1" customWidth="1"/>
    <col min="12040" max="12040" width="12.7109375" style="293" customWidth="1"/>
    <col min="12041" max="12041" width="11.7109375" style="293" customWidth="1"/>
    <col min="12042" max="12042" width="12.7109375" style="293" customWidth="1"/>
    <col min="12043" max="12043" width="10" style="293" customWidth="1"/>
    <col min="12044" max="12044" width="12.7109375" style="293" customWidth="1"/>
    <col min="12045" max="12294" width="9.140625" style="293"/>
    <col min="12295" max="12295" width="31.42578125" style="293" bestFit="1" customWidth="1"/>
    <col min="12296" max="12296" width="12.7109375" style="293" customWidth="1"/>
    <col min="12297" max="12297" width="11.7109375" style="293" customWidth="1"/>
    <col min="12298" max="12298" width="12.7109375" style="293" customWidth="1"/>
    <col min="12299" max="12299" width="10" style="293" customWidth="1"/>
    <col min="12300" max="12300" width="12.7109375" style="293" customWidth="1"/>
    <col min="12301" max="12550" width="9.140625" style="293"/>
    <col min="12551" max="12551" width="31.42578125" style="293" bestFit="1" customWidth="1"/>
    <col min="12552" max="12552" width="12.7109375" style="293" customWidth="1"/>
    <col min="12553" max="12553" width="11.7109375" style="293" customWidth="1"/>
    <col min="12554" max="12554" width="12.7109375" style="293" customWidth="1"/>
    <col min="12555" max="12555" width="10" style="293" customWidth="1"/>
    <col min="12556" max="12556" width="12.7109375" style="293" customWidth="1"/>
    <col min="12557" max="12806" width="9.140625" style="293"/>
    <col min="12807" max="12807" width="31.42578125" style="293" bestFit="1" customWidth="1"/>
    <col min="12808" max="12808" width="12.7109375" style="293" customWidth="1"/>
    <col min="12809" max="12809" width="11.7109375" style="293" customWidth="1"/>
    <col min="12810" max="12810" width="12.7109375" style="293" customWidth="1"/>
    <col min="12811" max="12811" width="10" style="293" customWidth="1"/>
    <col min="12812" max="12812" width="12.7109375" style="293" customWidth="1"/>
    <col min="12813" max="13062" width="9.140625" style="293"/>
    <col min="13063" max="13063" width="31.42578125" style="293" bestFit="1" customWidth="1"/>
    <col min="13064" max="13064" width="12.7109375" style="293" customWidth="1"/>
    <col min="13065" max="13065" width="11.7109375" style="293" customWidth="1"/>
    <col min="13066" max="13066" width="12.7109375" style="293" customWidth="1"/>
    <col min="13067" max="13067" width="10" style="293" customWidth="1"/>
    <col min="13068" max="13068" width="12.7109375" style="293" customWidth="1"/>
    <col min="13069" max="13318" width="9.140625" style="293"/>
    <col min="13319" max="13319" width="31.42578125" style="293" bestFit="1" customWidth="1"/>
    <col min="13320" max="13320" width="12.7109375" style="293" customWidth="1"/>
    <col min="13321" max="13321" width="11.7109375" style="293" customWidth="1"/>
    <col min="13322" max="13322" width="12.7109375" style="293" customWidth="1"/>
    <col min="13323" max="13323" width="10" style="293" customWidth="1"/>
    <col min="13324" max="13324" width="12.7109375" style="293" customWidth="1"/>
    <col min="13325" max="13574" width="9.140625" style="293"/>
    <col min="13575" max="13575" width="31.42578125" style="293" bestFit="1" customWidth="1"/>
    <col min="13576" max="13576" width="12.7109375" style="293" customWidth="1"/>
    <col min="13577" max="13577" width="11.7109375" style="293" customWidth="1"/>
    <col min="13578" max="13578" width="12.7109375" style="293" customWidth="1"/>
    <col min="13579" max="13579" width="10" style="293" customWidth="1"/>
    <col min="13580" max="13580" width="12.7109375" style="293" customWidth="1"/>
    <col min="13581" max="13830" width="9.140625" style="293"/>
    <col min="13831" max="13831" width="31.42578125" style="293" bestFit="1" customWidth="1"/>
    <col min="13832" max="13832" width="12.7109375" style="293" customWidth="1"/>
    <col min="13833" max="13833" width="11.7109375" style="293" customWidth="1"/>
    <col min="13834" max="13834" width="12.7109375" style="293" customWidth="1"/>
    <col min="13835" max="13835" width="10" style="293" customWidth="1"/>
    <col min="13836" max="13836" width="12.7109375" style="293" customWidth="1"/>
    <col min="13837" max="14086" width="9.140625" style="293"/>
    <col min="14087" max="14087" width="31.42578125" style="293" bestFit="1" customWidth="1"/>
    <col min="14088" max="14088" width="12.7109375" style="293" customWidth="1"/>
    <col min="14089" max="14089" width="11.7109375" style="293" customWidth="1"/>
    <col min="14090" max="14090" width="12.7109375" style="293" customWidth="1"/>
    <col min="14091" max="14091" width="10" style="293" customWidth="1"/>
    <col min="14092" max="14092" width="12.7109375" style="293" customWidth="1"/>
    <col min="14093" max="14342" width="9.140625" style="293"/>
    <col min="14343" max="14343" width="31.42578125" style="293" bestFit="1" customWidth="1"/>
    <col min="14344" max="14344" width="12.7109375" style="293" customWidth="1"/>
    <col min="14345" max="14345" width="11.7109375" style="293" customWidth="1"/>
    <col min="14346" max="14346" width="12.7109375" style="293" customWidth="1"/>
    <col min="14347" max="14347" width="10" style="293" customWidth="1"/>
    <col min="14348" max="14348" width="12.7109375" style="293" customWidth="1"/>
    <col min="14349" max="14598" width="9.140625" style="293"/>
    <col min="14599" max="14599" width="31.42578125" style="293" bestFit="1" customWidth="1"/>
    <col min="14600" max="14600" width="12.7109375" style="293" customWidth="1"/>
    <col min="14601" max="14601" width="11.7109375" style="293" customWidth="1"/>
    <col min="14602" max="14602" width="12.7109375" style="293" customWidth="1"/>
    <col min="14603" max="14603" width="10" style="293" customWidth="1"/>
    <col min="14604" max="14604" width="12.7109375" style="293" customWidth="1"/>
    <col min="14605" max="14854" width="9.140625" style="293"/>
    <col min="14855" max="14855" width="31.42578125" style="293" bestFit="1" customWidth="1"/>
    <col min="14856" max="14856" width="12.7109375" style="293" customWidth="1"/>
    <col min="14857" max="14857" width="11.7109375" style="293" customWidth="1"/>
    <col min="14858" max="14858" width="12.7109375" style="293" customWidth="1"/>
    <col min="14859" max="14859" width="10" style="293" customWidth="1"/>
    <col min="14860" max="14860" width="12.7109375" style="293" customWidth="1"/>
    <col min="14861" max="15110" width="9.140625" style="293"/>
    <col min="15111" max="15111" width="31.42578125" style="293" bestFit="1" customWidth="1"/>
    <col min="15112" max="15112" width="12.7109375" style="293" customWidth="1"/>
    <col min="15113" max="15113" width="11.7109375" style="293" customWidth="1"/>
    <col min="15114" max="15114" width="12.7109375" style="293" customWidth="1"/>
    <col min="15115" max="15115" width="10" style="293" customWidth="1"/>
    <col min="15116" max="15116" width="12.7109375" style="293" customWidth="1"/>
    <col min="15117" max="15366" width="9.140625" style="293"/>
    <col min="15367" max="15367" width="31.42578125" style="293" bestFit="1" customWidth="1"/>
    <col min="15368" max="15368" width="12.7109375" style="293" customWidth="1"/>
    <col min="15369" max="15369" width="11.7109375" style="293" customWidth="1"/>
    <col min="15370" max="15370" width="12.7109375" style="293" customWidth="1"/>
    <col min="15371" max="15371" width="10" style="293" customWidth="1"/>
    <col min="15372" max="15372" width="12.7109375" style="293" customWidth="1"/>
    <col min="15373" max="15622" width="9.140625" style="293"/>
    <col min="15623" max="15623" width="31.42578125" style="293" bestFit="1" customWidth="1"/>
    <col min="15624" max="15624" width="12.7109375" style="293" customWidth="1"/>
    <col min="15625" max="15625" width="11.7109375" style="293" customWidth="1"/>
    <col min="15626" max="15626" width="12.7109375" style="293" customWidth="1"/>
    <col min="15627" max="15627" width="10" style="293" customWidth="1"/>
    <col min="15628" max="15628" width="12.7109375" style="293" customWidth="1"/>
    <col min="15629" max="15878" width="9.140625" style="293"/>
    <col min="15879" max="15879" width="31.42578125" style="293" bestFit="1" customWidth="1"/>
    <col min="15880" max="15880" width="12.7109375" style="293" customWidth="1"/>
    <col min="15881" max="15881" width="11.7109375" style="293" customWidth="1"/>
    <col min="15882" max="15882" width="12.7109375" style="293" customWidth="1"/>
    <col min="15883" max="15883" width="10" style="293" customWidth="1"/>
    <col min="15884" max="15884" width="12.7109375" style="293" customWidth="1"/>
    <col min="15885" max="16134" width="9.140625" style="293"/>
    <col min="16135" max="16135" width="31.42578125" style="293" bestFit="1" customWidth="1"/>
    <col min="16136" max="16136" width="12.7109375" style="293" customWidth="1"/>
    <col min="16137" max="16137" width="11.7109375" style="293" customWidth="1"/>
    <col min="16138" max="16138" width="12.7109375" style="293" customWidth="1"/>
    <col min="16139" max="16139" width="10" style="293" customWidth="1"/>
    <col min="16140" max="16140" width="12.7109375" style="293" customWidth="1"/>
    <col min="16141" max="16384" width="9.140625" style="293"/>
  </cols>
  <sheetData>
    <row r="1" spans="1:29" ht="25.5" x14ac:dyDescent="0.2">
      <c r="A1" s="473" t="s">
        <v>190</v>
      </c>
      <c r="B1" s="474" t="s">
        <v>138</v>
      </c>
      <c r="C1" s="474" t="s">
        <v>182</v>
      </c>
      <c r="D1" s="434" t="s">
        <v>369</v>
      </c>
    </row>
    <row r="2" spans="1:29" x14ac:dyDescent="0.2">
      <c r="A2" s="475" t="str">
        <f t="array" ref="A2:A7">TRANSPOSE('Rate Class Energy Model'!H2:M2)</f>
        <v xml:space="preserve">Residential </v>
      </c>
      <c r="B2" s="476">
        <f>Summary!L13</f>
        <v>88880994.441716522</v>
      </c>
      <c r="C2" s="477"/>
      <c r="D2" s="532">
        <f>Z5</f>
        <v>0.88054364833686127</v>
      </c>
      <c r="E2" s="293" t="s">
        <v>302</v>
      </c>
      <c r="J2" s="332" t="s">
        <v>310</v>
      </c>
      <c r="K2" s="332"/>
      <c r="L2" s="478" t="s">
        <v>370</v>
      </c>
    </row>
    <row r="3" spans="1:29" x14ac:dyDescent="0.2">
      <c r="A3" s="475" t="str">
        <v>General Service &lt; 50 kW</v>
      </c>
      <c r="B3" s="476">
        <f>Summary!L17</f>
        <v>37014297.944330722</v>
      </c>
      <c r="C3" s="477"/>
      <c r="D3" s="532">
        <f t="shared" ref="D3:D7" si="0">Z6</f>
        <v>0.83338982710626108</v>
      </c>
      <c r="J3" s="479" t="s">
        <v>303</v>
      </c>
      <c r="K3" s="590"/>
      <c r="L3" s="480"/>
      <c r="M3" s="479" t="s">
        <v>304</v>
      </c>
      <c r="N3" s="590"/>
      <c r="O3" s="480"/>
      <c r="P3" s="479" t="s">
        <v>305</v>
      </c>
      <c r="Q3" s="590"/>
      <c r="R3" s="480"/>
      <c r="S3" s="479" t="s">
        <v>306</v>
      </c>
      <c r="T3" s="590"/>
      <c r="U3" s="480"/>
      <c r="V3" s="479" t="s">
        <v>307</v>
      </c>
      <c r="W3" s="590"/>
      <c r="X3" s="590"/>
      <c r="Y3" s="480"/>
      <c r="Z3" s="481" t="s">
        <v>312</v>
      </c>
      <c r="AA3" s="293" t="s">
        <v>455</v>
      </c>
      <c r="AB3" s="293" t="s">
        <v>454</v>
      </c>
      <c r="AC3" s="293" t="s">
        <v>9</v>
      </c>
    </row>
    <row r="4" spans="1:29" x14ac:dyDescent="0.2">
      <c r="A4" s="475" t="str">
        <v>General Service &gt; 50</v>
      </c>
      <c r="B4" s="476">
        <f>Summary!L21</f>
        <v>120548540.28792873</v>
      </c>
      <c r="C4" s="482">
        <f>Summary!L22</f>
        <v>290865.21180620004</v>
      </c>
      <c r="D4" s="532">
        <f t="shared" si="0"/>
        <v>6.655123497612267E-2</v>
      </c>
      <c r="J4" s="483" t="s">
        <v>311</v>
      </c>
      <c r="K4" s="591" t="s">
        <v>453</v>
      </c>
      <c r="L4" s="484" t="s">
        <v>9</v>
      </c>
      <c r="M4" s="483" t="s">
        <v>311</v>
      </c>
      <c r="N4" s="591" t="s">
        <v>453</v>
      </c>
      <c r="O4" s="484" t="s">
        <v>9</v>
      </c>
      <c r="P4" s="483" t="s">
        <v>311</v>
      </c>
      <c r="Q4" s="591" t="s">
        <v>453</v>
      </c>
      <c r="R4" s="484" t="s">
        <v>9</v>
      </c>
      <c r="S4" s="483" t="s">
        <v>311</v>
      </c>
      <c r="T4" s="591" t="s">
        <v>453</v>
      </c>
      <c r="U4" s="484" t="s">
        <v>9</v>
      </c>
      <c r="V4" s="483" t="s">
        <v>311</v>
      </c>
      <c r="W4" s="591" t="s">
        <v>453</v>
      </c>
      <c r="X4" s="591" t="s">
        <v>454</v>
      </c>
      <c r="Y4" s="484" t="s">
        <v>9</v>
      </c>
      <c r="Z4" s="485"/>
    </row>
    <row r="5" spans="1:29" x14ac:dyDescent="0.2">
      <c r="A5" s="475" t="str">
        <v xml:space="preserve">Streetlights </v>
      </c>
      <c r="B5" s="476">
        <f>Summary!L26</f>
        <v>1831246.477157607</v>
      </c>
      <c r="C5" s="482">
        <f>Summary!L27</f>
        <v>4418.5179942916502</v>
      </c>
      <c r="D5" s="532">
        <f t="shared" si="0"/>
        <v>0.14773995695486622</v>
      </c>
      <c r="I5" s="486" t="s">
        <v>94</v>
      </c>
      <c r="J5" s="578">
        <v>20468133.399999999</v>
      </c>
      <c r="K5" s="488"/>
      <c r="L5" s="488">
        <v>23614070</v>
      </c>
      <c r="M5" s="578">
        <v>17739595.800000001</v>
      </c>
      <c r="N5" s="488"/>
      <c r="O5" s="488">
        <f>17739595.8+4492.42+8420.72+33772.55+142011.08+496323.33+1471905.33+97494.37+371538.46+3022.88+6883.96</f>
        <v>20375460.899999999</v>
      </c>
      <c r="P5" s="487">
        <v>21013350.399999999</v>
      </c>
      <c r="Q5" s="592"/>
      <c r="R5" s="488">
        <f>21013350.4+476402.9+1601457.8+32834.99+418585.28+128077.52+3071.57+6052.6+7695.53</f>
        <v>23687528.59</v>
      </c>
      <c r="S5" s="487">
        <v>19876421.800000001</v>
      </c>
      <c r="T5" s="592"/>
      <c r="U5" s="488">
        <f>19876521.8+363603.99+1425267.21+27812.95+8362.35+322519.75+109993.37+4278.64+6103.93+6506.68</f>
        <v>22150970.670000002</v>
      </c>
      <c r="V5" s="487">
        <f>J5+M5+P5+S5</f>
        <v>79097501.400000006</v>
      </c>
      <c r="W5" s="487">
        <f>K5+N5+Q5+T5</f>
        <v>0</v>
      </c>
      <c r="X5" s="594">
        <f>Y5-SUM(V5:W5)</f>
        <v>10730528.75999999</v>
      </c>
      <c r="Y5" s="487">
        <f>L5+O5+R5+U5</f>
        <v>89828030.159999996</v>
      </c>
      <c r="Z5" s="489">
        <f>V5/Y5</f>
        <v>0.88054364833686127</v>
      </c>
      <c r="AA5" s="595">
        <f>W5/Y5</f>
        <v>0</v>
      </c>
      <c r="AB5" s="595">
        <f>X5/Y5</f>
        <v>0.11945635166313871</v>
      </c>
      <c r="AC5" s="596">
        <f>SUM(Z5:AB5)</f>
        <v>1</v>
      </c>
    </row>
    <row r="6" spans="1:29" x14ac:dyDescent="0.2">
      <c r="A6" s="475" t="str">
        <v>Sentinel Lights</v>
      </c>
      <c r="B6" s="476">
        <f>Summary!L31</f>
        <v>123530.84818503985</v>
      </c>
      <c r="C6" s="482">
        <f>Summary!L32</f>
        <v>298.06106516197389</v>
      </c>
      <c r="D6" s="532">
        <f t="shared" si="0"/>
        <v>0.99622124465596662</v>
      </c>
      <c r="I6" s="486" t="s">
        <v>308</v>
      </c>
      <c r="J6" s="579">
        <v>8084913.7999999998</v>
      </c>
      <c r="K6" s="488"/>
      <c r="L6" s="488">
        <v>9497526</v>
      </c>
      <c r="M6" s="579">
        <v>7533691.7999999998</v>
      </c>
      <c r="N6" s="488"/>
      <c r="O6" s="488">
        <f>7533691.8+20740.74+92143.94+193894.66+534287.49+508347.29+42759.15+2253.24+27537.98</f>
        <v>8955656.290000001</v>
      </c>
      <c r="P6" s="487">
        <v>7757185.5999999996</v>
      </c>
      <c r="Q6" s="592"/>
      <c r="R6" s="488">
        <f>7757185.6+156353.57+633270.6+24525.09+152141.27+4480.87+532551.21+32888.41+75317.3+88194.71</f>
        <v>9456908.629999999</v>
      </c>
      <c r="S6" s="487">
        <v>7819043.5</v>
      </c>
      <c r="T6" s="592"/>
      <c r="U6" s="488">
        <f>7819043.5+126359.49+600178.62+41747.82+141063.83+2541.74+587918.09+27970.98+53578.53+120770.56</f>
        <v>9521173.1600000001</v>
      </c>
      <c r="V6" s="487">
        <f t="shared" ref="V6:V11" si="1">J6+M6+P6+S6</f>
        <v>31194834.699999999</v>
      </c>
      <c r="W6" s="487">
        <f t="shared" ref="W6:W10" si="2">K6+N6+Q6+T6</f>
        <v>0</v>
      </c>
      <c r="X6" s="594">
        <f t="shared" ref="X6:X10" si="3">Y6-SUM(V6:W6)</f>
        <v>6236429.379999999</v>
      </c>
      <c r="Y6" s="487">
        <f t="shared" ref="Y6:Y11" si="4">L6+O6+R6+U6</f>
        <v>37431264.079999998</v>
      </c>
      <c r="Z6" s="489">
        <f t="shared" ref="Z6:Z11" si="5">V6/Y6</f>
        <v>0.83338982710626108</v>
      </c>
      <c r="AA6" s="595">
        <f t="shared" ref="AA6:AA11" si="6">W6/Y6</f>
        <v>0</v>
      </c>
      <c r="AB6" s="595">
        <f t="shared" ref="AB6:AB11" si="7">X6/Y6</f>
        <v>0.16661017289373892</v>
      </c>
      <c r="AC6" s="596">
        <f t="shared" ref="AC6:AC11" si="8">SUM(Z6:AB6)</f>
        <v>1</v>
      </c>
    </row>
    <row r="7" spans="1:29" x14ac:dyDescent="0.2">
      <c r="A7" s="475" t="str">
        <v xml:space="preserve">Unmetered Loads </v>
      </c>
      <c r="B7" s="476">
        <f>Summary!L36</f>
        <v>343738.39716340863</v>
      </c>
      <c r="C7" s="482"/>
      <c r="D7" s="532">
        <f t="shared" si="0"/>
        <v>1</v>
      </c>
      <c r="I7" s="486" t="s">
        <v>309</v>
      </c>
      <c r="J7" s="579">
        <v>2851528.5</v>
      </c>
      <c r="K7" s="488">
        <v>23135064</v>
      </c>
      <c r="L7" s="488">
        <v>31472630</v>
      </c>
      <c r="M7" s="579">
        <v>1948961</v>
      </c>
      <c r="N7" s="488">
        <v>24849344</v>
      </c>
      <c r="O7" s="488">
        <f>26798305+35380.79+682555.47+195144.46+562386.72+615199.02+1380663.92+383396.21+1085941.69</f>
        <v>31738973.279999997</v>
      </c>
      <c r="P7" s="487">
        <v>1796132.6</v>
      </c>
      <c r="Q7" s="592">
        <v>26857711.600000001</v>
      </c>
      <c r="R7" s="488">
        <f>28653844.2+666727.85+707011.9+1113040.39+239424.09+401516.61+708763.55+863465.64</f>
        <v>33353794.23</v>
      </c>
      <c r="S7" s="487">
        <v>1938291.1</v>
      </c>
      <c r="T7" s="592">
        <v>24860788.699999999</v>
      </c>
      <c r="U7" s="488">
        <f>26799079.8+274826.87+303903.62+1433214.35+196023.78+60881.89+360808.07+620981.25+280374.92+1350260.3</f>
        <v>31680354.850000009</v>
      </c>
      <c r="V7" s="487">
        <f t="shared" si="1"/>
        <v>8534913.1999999993</v>
      </c>
      <c r="W7" s="487">
        <f t="shared" si="2"/>
        <v>99702908.299999997</v>
      </c>
      <c r="X7" s="594">
        <f t="shared" si="3"/>
        <v>20007930.860000014</v>
      </c>
      <c r="Y7" s="487">
        <f t="shared" si="4"/>
        <v>128245752.36000001</v>
      </c>
      <c r="Z7" s="489">
        <f t="shared" si="5"/>
        <v>6.655123497612267E-2</v>
      </c>
      <c r="AA7" s="595">
        <f t="shared" si="6"/>
        <v>0.77743633972470993</v>
      </c>
      <c r="AB7" s="595">
        <f t="shared" si="7"/>
        <v>0.15601242529916734</v>
      </c>
      <c r="AC7" s="596">
        <f t="shared" si="8"/>
        <v>1</v>
      </c>
    </row>
    <row r="8" spans="1:29" x14ac:dyDescent="0.2">
      <c r="A8" s="490" t="s">
        <v>172</v>
      </c>
      <c r="B8" s="491">
        <f>SUM(B2:B7)</f>
        <v>248742348.39648202</v>
      </c>
      <c r="C8" s="491">
        <f>SUM(C2:C7)</f>
        <v>295581.79086565366</v>
      </c>
      <c r="D8" s="491"/>
      <c r="I8" s="486" t="s">
        <v>95</v>
      </c>
      <c r="J8" s="579">
        <v>78285.3</v>
      </c>
      <c r="K8" s="488">
        <v>383959.3</v>
      </c>
      <c r="L8" s="488">
        <v>462244.6</v>
      </c>
      <c r="M8" s="579">
        <v>66754</v>
      </c>
      <c r="N8" s="488">
        <v>354475.3</v>
      </c>
      <c r="O8" s="488">
        <f>421229.4</f>
        <v>421229.4</v>
      </c>
      <c r="P8" s="487">
        <v>54410.6</v>
      </c>
      <c r="Q8" s="592">
        <v>296565.2</v>
      </c>
      <c r="R8" s="488">
        <v>350975.8</v>
      </c>
      <c r="S8" s="487">
        <v>55975.199999999997</v>
      </c>
      <c r="T8" s="592">
        <v>438458</v>
      </c>
      <c r="U8" s="488">
        <v>494433.2</v>
      </c>
      <c r="V8" s="487">
        <f t="shared" si="1"/>
        <v>255425.09999999998</v>
      </c>
      <c r="W8" s="487">
        <f t="shared" si="2"/>
        <v>1473457.8</v>
      </c>
      <c r="X8" s="594">
        <f t="shared" si="3"/>
        <v>0.10000000009313226</v>
      </c>
      <c r="Y8" s="487">
        <f t="shared" si="4"/>
        <v>1728883</v>
      </c>
      <c r="Z8" s="489">
        <f t="shared" si="5"/>
        <v>0.14773995695486622</v>
      </c>
      <c r="AA8" s="595">
        <f t="shared" si="6"/>
        <v>0.85225998520431978</v>
      </c>
      <c r="AB8" s="595">
        <f t="shared" si="7"/>
        <v>5.7840814036075466E-8</v>
      </c>
      <c r="AC8" s="596">
        <f t="shared" si="8"/>
        <v>1</v>
      </c>
    </row>
    <row r="9" spans="1:29" x14ac:dyDescent="0.2">
      <c r="B9" s="429">
        <f>Summary!L40</f>
        <v>248742348.39648202</v>
      </c>
      <c r="C9" s="429">
        <f>Summary!L41</f>
        <v>295581.79086565366</v>
      </c>
      <c r="I9" s="486" t="s">
        <v>96</v>
      </c>
      <c r="J9" s="579">
        <v>30849.4</v>
      </c>
      <c r="K9" s="488"/>
      <c r="L9" s="488">
        <v>30966.2</v>
      </c>
      <c r="M9" s="579">
        <v>30311.1</v>
      </c>
      <c r="N9" s="488"/>
      <c r="O9" s="488">
        <f>30311.1+112.18</f>
        <v>30423.279999999999</v>
      </c>
      <c r="P9" s="487">
        <v>28689.200000000001</v>
      </c>
      <c r="Q9" s="592"/>
      <c r="R9" s="488">
        <f>28689.2+108.6</f>
        <v>28797.8</v>
      </c>
      <c r="S9" s="487">
        <v>27777.4</v>
      </c>
      <c r="T9" s="592"/>
      <c r="U9" s="488">
        <f>27777.4+108.59</f>
        <v>27885.99</v>
      </c>
      <c r="V9" s="487">
        <f t="shared" si="1"/>
        <v>117627.1</v>
      </c>
      <c r="W9" s="487">
        <f t="shared" si="2"/>
        <v>0</v>
      </c>
      <c r="X9" s="594">
        <f t="shared" si="3"/>
        <v>446.16999999999825</v>
      </c>
      <c r="Y9" s="487">
        <f t="shared" si="4"/>
        <v>118073.27</v>
      </c>
      <c r="Z9" s="489">
        <f t="shared" si="5"/>
        <v>0.99622124465596662</v>
      </c>
      <c r="AA9" s="595">
        <f t="shared" si="6"/>
        <v>0</v>
      </c>
      <c r="AB9" s="595">
        <f t="shared" si="7"/>
        <v>3.7787553440333977E-3</v>
      </c>
      <c r="AC9" s="596">
        <f t="shared" si="8"/>
        <v>1</v>
      </c>
    </row>
    <row r="10" spans="1:29" x14ac:dyDescent="0.2">
      <c r="I10" s="486" t="s">
        <v>97</v>
      </c>
      <c r="J10" s="579">
        <v>100024</v>
      </c>
      <c r="K10" s="488"/>
      <c r="L10" s="488">
        <v>100024</v>
      </c>
      <c r="M10" s="579">
        <v>100035.4</v>
      </c>
      <c r="N10" s="488"/>
      <c r="O10" s="488">
        <f>100035.4</f>
        <v>100035.4</v>
      </c>
      <c r="P10" s="487">
        <v>100035.4</v>
      </c>
      <c r="Q10" s="592"/>
      <c r="R10" s="488">
        <v>100035.4</v>
      </c>
      <c r="S10" s="487">
        <v>100868.6</v>
      </c>
      <c r="T10" s="592"/>
      <c r="U10" s="488">
        <v>100868.6</v>
      </c>
      <c r="V10" s="487">
        <f t="shared" si="1"/>
        <v>400963.4</v>
      </c>
      <c r="W10" s="487">
        <f t="shared" si="2"/>
        <v>0</v>
      </c>
      <c r="X10" s="594">
        <f t="shared" si="3"/>
        <v>0</v>
      </c>
      <c r="Y10" s="487">
        <f t="shared" si="4"/>
        <v>400963.4</v>
      </c>
      <c r="Z10" s="489">
        <f t="shared" si="5"/>
        <v>1</v>
      </c>
      <c r="AA10" s="595">
        <f t="shared" si="6"/>
        <v>0</v>
      </c>
      <c r="AB10" s="595">
        <f t="shared" si="7"/>
        <v>0</v>
      </c>
      <c r="AC10" s="596">
        <f t="shared" si="8"/>
        <v>1</v>
      </c>
    </row>
    <row r="11" spans="1:29" x14ac:dyDescent="0.2">
      <c r="A11" s="473" t="s">
        <v>189</v>
      </c>
      <c r="B11" s="794" t="s">
        <v>191</v>
      </c>
      <c r="C11" s="796" t="s">
        <v>192</v>
      </c>
      <c r="D11" s="492"/>
      <c r="E11" s="493"/>
      <c r="F11" s="494"/>
      <c r="I11" s="293" t="s">
        <v>9</v>
      </c>
      <c r="J11" s="580">
        <f>SUM(J5:J10)</f>
        <v>31613734.399999999</v>
      </c>
      <c r="K11" s="496">
        <f>SUM(K7:K10)</f>
        <v>23519023.300000001</v>
      </c>
      <c r="L11" s="496">
        <f>SUM(L5:L10)</f>
        <v>65177460.800000004</v>
      </c>
      <c r="M11" s="580">
        <f>SUM(M5:M10)</f>
        <v>27419349.100000001</v>
      </c>
      <c r="N11" s="496">
        <f>SUM(N7:N8)</f>
        <v>25203819.300000001</v>
      </c>
      <c r="O11" s="496">
        <f t="shared" ref="O11:P11" si="9">SUM(O5:O10)</f>
        <v>61621778.549999997</v>
      </c>
      <c r="P11" s="495">
        <f t="shared" si="9"/>
        <v>30749803.800000001</v>
      </c>
      <c r="Q11" s="593">
        <f>SUM(Q6:Q9)</f>
        <v>27154276.800000001</v>
      </c>
      <c r="R11" s="496">
        <f>SUM(R5:R10)</f>
        <v>66978040.449999996</v>
      </c>
      <c r="S11" s="495">
        <f>SUM(S5:S10)</f>
        <v>29818377.600000001</v>
      </c>
      <c r="T11" s="593">
        <f>SUM(T6:T9)</f>
        <v>25299246.699999999</v>
      </c>
      <c r="U11" s="496">
        <f>SUM(U5:U10)</f>
        <v>63975686.470000014</v>
      </c>
      <c r="V11" s="577">
        <f t="shared" si="1"/>
        <v>119601264.90000001</v>
      </c>
      <c r="W11" s="577">
        <f>SUM(W5:W10)</f>
        <v>101176366.09999999</v>
      </c>
      <c r="X11" s="577">
        <f>SUM(X5:X10)</f>
        <v>36975335.270000003</v>
      </c>
      <c r="Y11" s="577">
        <f t="shared" si="4"/>
        <v>257752966.26999998</v>
      </c>
      <c r="Z11" s="489">
        <f t="shared" si="5"/>
        <v>0.46401508634711869</v>
      </c>
      <c r="AA11" s="595">
        <f t="shared" si="6"/>
        <v>0.39253230550222368</v>
      </c>
      <c r="AB11" s="595">
        <f t="shared" si="7"/>
        <v>0.14345260815065772</v>
      </c>
      <c r="AC11" s="596">
        <f t="shared" si="8"/>
        <v>1</v>
      </c>
    </row>
    <row r="12" spans="1:29" ht="12.75" customHeight="1" x14ac:dyDescent="0.2">
      <c r="A12" s="497" t="s">
        <v>188</v>
      </c>
      <c r="B12" s="795"/>
      <c r="C12" s="797"/>
      <c r="D12" s="798">
        <v>2013</v>
      </c>
      <c r="E12" s="799"/>
      <c r="F12" s="800"/>
    </row>
    <row r="13" spans="1:29" x14ac:dyDescent="0.2">
      <c r="A13" s="498" t="str">
        <f t="shared" ref="A13:A18" si="10">A2</f>
        <v xml:space="preserve">Residential </v>
      </c>
      <c r="B13" s="476">
        <f t="shared" ref="B13:B18" si="11">B2*D2</f>
        <v>78263595.113517359</v>
      </c>
      <c r="C13" s="533">
        <v>1.0468</v>
      </c>
      <c r="D13" s="499">
        <f>B13*C13</f>
        <v>81926331.364829972</v>
      </c>
      <c r="E13" s="534">
        <v>7.9320000000000002E-2</v>
      </c>
      <c r="F13" s="500">
        <f t="shared" ref="F13:F18" si="12">D13*E13</f>
        <v>6498396.6038583135</v>
      </c>
    </row>
    <row r="14" spans="1:29" x14ac:dyDescent="0.2">
      <c r="A14" s="498" t="str">
        <f t="shared" si="10"/>
        <v>General Service &lt; 50 kW</v>
      </c>
      <c r="B14" s="476">
        <f t="shared" si="11"/>
        <v>30847339.364285417</v>
      </c>
      <c r="C14" s="533">
        <f>C13</f>
        <v>1.0468</v>
      </c>
      <c r="D14" s="499">
        <f t="shared" ref="D14:D18" si="13">B14*C14</f>
        <v>32290994.846533973</v>
      </c>
      <c r="E14" s="534">
        <v>7.9320000000000002E-2</v>
      </c>
      <c r="F14" s="500">
        <f t="shared" si="12"/>
        <v>2561321.7112270747</v>
      </c>
      <c r="G14" s="293" t="s">
        <v>346</v>
      </c>
    </row>
    <row r="15" spans="1:29" x14ac:dyDescent="0.2">
      <c r="A15" s="498" t="str">
        <f t="shared" si="10"/>
        <v>General Service &gt; 50</v>
      </c>
      <c r="B15" s="476">
        <f t="shared" si="11"/>
        <v>8022654.2307305355</v>
      </c>
      <c r="C15" s="533">
        <f t="shared" ref="C15:C18" si="14">C14</f>
        <v>1.0468</v>
      </c>
      <c r="D15" s="499">
        <f t="shared" si="13"/>
        <v>8398114.4487287235</v>
      </c>
      <c r="E15" s="534">
        <v>7.9320000000000002E-2</v>
      </c>
      <c r="F15" s="500">
        <f t="shared" si="12"/>
        <v>666138.43807316234</v>
      </c>
      <c r="H15" s="293" t="s">
        <v>371</v>
      </c>
    </row>
    <row r="16" spans="1:29" x14ac:dyDescent="0.2">
      <c r="A16" s="498" t="str">
        <f t="shared" si="10"/>
        <v xml:space="preserve">Streetlights </v>
      </c>
      <c r="B16" s="476">
        <f t="shared" si="11"/>
        <v>270548.27570901526</v>
      </c>
      <c r="C16" s="533">
        <f t="shared" si="14"/>
        <v>1.0468</v>
      </c>
      <c r="D16" s="499">
        <f t="shared" si="13"/>
        <v>283209.93501219718</v>
      </c>
      <c r="E16" s="534">
        <v>7.9320000000000002E-2</v>
      </c>
      <c r="F16" s="500">
        <f t="shared" si="12"/>
        <v>22464.212045167482</v>
      </c>
    </row>
    <row r="17" spans="1:14" x14ac:dyDescent="0.2">
      <c r="A17" s="498" t="str">
        <f t="shared" si="10"/>
        <v>Sentinel Lights</v>
      </c>
      <c r="B17" s="476">
        <f t="shared" si="11"/>
        <v>123064.05533230766</v>
      </c>
      <c r="C17" s="533">
        <f t="shared" si="14"/>
        <v>1.0468</v>
      </c>
      <c r="D17" s="499">
        <f t="shared" si="13"/>
        <v>128823.45312185965</v>
      </c>
      <c r="E17" s="534">
        <v>7.9320000000000002E-2</v>
      </c>
      <c r="F17" s="500">
        <f t="shared" si="12"/>
        <v>10218.276301625909</v>
      </c>
      <c r="H17" s="293" t="s">
        <v>314</v>
      </c>
    </row>
    <row r="18" spans="1:14" x14ac:dyDescent="0.2">
      <c r="A18" s="498" t="str">
        <f t="shared" si="10"/>
        <v xml:space="preserve">Unmetered Loads </v>
      </c>
      <c r="B18" s="476">
        <f t="shared" si="11"/>
        <v>343738.39716340863</v>
      </c>
      <c r="C18" s="533">
        <f t="shared" si="14"/>
        <v>1.0468</v>
      </c>
      <c r="D18" s="499">
        <f t="shared" si="13"/>
        <v>359825.35415065615</v>
      </c>
      <c r="E18" s="534">
        <v>7.9320000000000002E-2</v>
      </c>
      <c r="F18" s="500">
        <f t="shared" si="12"/>
        <v>28541.347091230047</v>
      </c>
      <c r="H18" s="501" t="s">
        <v>313</v>
      </c>
    </row>
    <row r="19" spans="1:14" x14ac:dyDescent="0.2">
      <c r="A19" s="490" t="s">
        <v>172</v>
      </c>
      <c r="B19" s="491">
        <f>SUM(B13:B18)</f>
        <v>117870939.43673804</v>
      </c>
      <c r="C19" s="497"/>
      <c r="D19" s="491">
        <f>SUM(D13:D18)</f>
        <v>123387299.40237737</v>
      </c>
      <c r="E19" s="502"/>
      <c r="F19" s="503">
        <f>SUM(F13:F18)</f>
        <v>9787080.5885965731</v>
      </c>
    </row>
    <row r="20" spans="1:14" x14ac:dyDescent="0.2">
      <c r="A20" s="504"/>
      <c r="B20" s="505"/>
      <c r="C20" s="506"/>
      <c r="D20" s="505"/>
      <c r="E20" s="507"/>
      <c r="F20" s="508"/>
    </row>
    <row r="21" spans="1:14" x14ac:dyDescent="0.2">
      <c r="A21" s="473" t="s">
        <v>187</v>
      </c>
      <c r="B21" s="794" t="s">
        <v>191</v>
      </c>
      <c r="C21" s="796" t="s">
        <v>192</v>
      </c>
      <c r="D21" s="492"/>
      <c r="E21" s="493"/>
      <c r="F21" s="494"/>
      <c r="I21" s="473" t="s">
        <v>456</v>
      </c>
      <c r="J21" s="794" t="s">
        <v>191</v>
      </c>
      <c r="K21" s="796" t="s">
        <v>192</v>
      </c>
      <c r="L21" s="492"/>
      <c r="M21" s="493"/>
      <c r="N21" s="494"/>
    </row>
    <row r="22" spans="1:14" x14ac:dyDescent="0.2">
      <c r="A22" s="497" t="s">
        <v>179</v>
      </c>
      <c r="B22" s="795"/>
      <c r="C22" s="797"/>
      <c r="D22" s="798">
        <v>2013</v>
      </c>
      <c r="E22" s="799"/>
      <c r="F22" s="800"/>
      <c r="I22" s="497" t="s">
        <v>179</v>
      </c>
      <c r="J22" s="795"/>
      <c r="K22" s="797"/>
      <c r="L22" s="798">
        <v>2013</v>
      </c>
      <c r="M22" s="799"/>
      <c r="N22" s="800"/>
    </row>
    <row r="23" spans="1:14" x14ac:dyDescent="0.2">
      <c r="A23" s="498" t="str">
        <f t="shared" ref="A23:A28" si="15">A13</f>
        <v xml:space="preserve">Residential </v>
      </c>
      <c r="B23" s="476">
        <f t="shared" ref="B23:B28" si="16">B2-B13</f>
        <v>10617399.328199163</v>
      </c>
      <c r="C23" s="477">
        <f t="shared" ref="C23:C28" si="17">C13</f>
        <v>1.0468</v>
      </c>
      <c r="D23" s="499">
        <f t="shared" ref="D23:D28" si="18">B23*C23</f>
        <v>11114293.616758883</v>
      </c>
      <c r="E23" s="534">
        <f>0.02065+0.05936</f>
        <v>8.0009999999999998E-2</v>
      </c>
      <c r="F23" s="500">
        <f t="shared" ref="F23:F28" si="19">D23*E23</f>
        <v>889254.63227687823</v>
      </c>
      <c r="G23" s="597"/>
      <c r="I23" s="498" t="str">
        <f>A23</f>
        <v xml:space="preserve">Residential </v>
      </c>
      <c r="J23" s="482">
        <f>B2*AA5</f>
        <v>0</v>
      </c>
      <c r="K23" s="477">
        <f>C23</f>
        <v>1.0468</v>
      </c>
      <c r="L23" s="499">
        <f t="shared" ref="L23:L28" si="20">J23*K23</f>
        <v>0</v>
      </c>
      <c r="M23" s="534">
        <f>0.02065+0.05936</f>
        <v>8.0009999999999998E-2</v>
      </c>
      <c r="N23" s="500">
        <f t="shared" ref="N23:N28" si="21">L23*M23</f>
        <v>0</v>
      </c>
    </row>
    <row r="24" spans="1:14" x14ac:dyDescent="0.2">
      <c r="A24" s="498" t="str">
        <f t="shared" si="15"/>
        <v>General Service &lt; 50 kW</v>
      </c>
      <c r="B24" s="476">
        <f t="shared" si="16"/>
        <v>6166958.5800453052</v>
      </c>
      <c r="C24" s="477">
        <f t="shared" si="17"/>
        <v>1.0468</v>
      </c>
      <c r="D24" s="499">
        <f t="shared" si="18"/>
        <v>6455572.2415914256</v>
      </c>
      <c r="E24" s="534">
        <f t="shared" ref="E24:E28" si="22">0.02065+0.05936</f>
        <v>8.0009999999999998E-2</v>
      </c>
      <c r="F24" s="500">
        <f t="shared" si="19"/>
        <v>516510.33504972997</v>
      </c>
      <c r="I24" s="498" t="str">
        <f t="shared" ref="I24:I28" si="23">A24</f>
        <v>General Service &lt; 50 kW</v>
      </c>
      <c r="J24" s="482">
        <f t="shared" ref="J24:J28" si="24">B3*AA6</f>
        <v>0</v>
      </c>
      <c r="K24" s="477">
        <f t="shared" ref="K24:K28" si="25">C24</f>
        <v>1.0468</v>
      </c>
      <c r="L24" s="499">
        <f t="shared" si="20"/>
        <v>0</v>
      </c>
      <c r="M24" s="534">
        <f t="shared" ref="M24:M28" si="26">0.02065+0.05936</f>
        <v>8.0009999999999998E-2</v>
      </c>
      <c r="N24" s="500">
        <f t="shared" si="21"/>
        <v>0</v>
      </c>
    </row>
    <row r="25" spans="1:14" x14ac:dyDescent="0.2">
      <c r="A25" s="498" t="str">
        <f t="shared" si="15"/>
        <v>General Service &gt; 50</v>
      </c>
      <c r="B25" s="476">
        <f t="shared" si="16"/>
        <v>112525886.0571982</v>
      </c>
      <c r="C25" s="477">
        <f t="shared" si="17"/>
        <v>1.0468</v>
      </c>
      <c r="D25" s="499">
        <f t="shared" si="18"/>
        <v>117792097.52467507</v>
      </c>
      <c r="E25" s="534">
        <f t="shared" si="22"/>
        <v>8.0009999999999998E-2</v>
      </c>
      <c r="F25" s="500">
        <f t="shared" si="19"/>
        <v>9424545.7229492515</v>
      </c>
      <c r="I25" s="498" t="str">
        <f t="shared" si="23"/>
        <v>General Service &gt; 50</v>
      </c>
      <c r="J25" s="482">
        <f t="shared" si="24"/>
        <v>93718815.92060405</v>
      </c>
      <c r="K25" s="477">
        <f t="shared" si="25"/>
        <v>1.0468</v>
      </c>
      <c r="L25" s="499">
        <f t="shared" si="20"/>
        <v>98104856.50568831</v>
      </c>
      <c r="M25" s="534">
        <f t="shared" si="26"/>
        <v>8.0009999999999998E-2</v>
      </c>
      <c r="N25" s="500">
        <f t="shared" si="21"/>
        <v>7849369.5690201214</v>
      </c>
    </row>
    <row r="26" spans="1:14" x14ac:dyDescent="0.2">
      <c r="A26" s="498" t="str">
        <f t="shared" si="15"/>
        <v xml:space="preserve">Streetlights </v>
      </c>
      <c r="B26" s="476">
        <f t="shared" si="16"/>
        <v>1560698.2014485917</v>
      </c>
      <c r="C26" s="477">
        <f t="shared" si="17"/>
        <v>1.0468</v>
      </c>
      <c r="D26" s="499">
        <f t="shared" si="18"/>
        <v>1633738.8772763857</v>
      </c>
      <c r="E26" s="534">
        <f t="shared" si="22"/>
        <v>8.0009999999999998E-2</v>
      </c>
      <c r="F26" s="500">
        <f t="shared" si="19"/>
        <v>130715.44757088361</v>
      </c>
      <c r="I26" s="498" t="str">
        <f t="shared" si="23"/>
        <v xml:space="preserve">Streetlights </v>
      </c>
      <c r="J26" s="482">
        <f t="shared" si="24"/>
        <v>1560698.0955278049</v>
      </c>
      <c r="K26" s="477">
        <f t="shared" si="25"/>
        <v>1.0468</v>
      </c>
      <c r="L26" s="499">
        <f t="shared" si="20"/>
        <v>1633738.766398506</v>
      </c>
      <c r="M26" s="534">
        <f t="shared" si="26"/>
        <v>8.0009999999999998E-2</v>
      </c>
      <c r="N26" s="500">
        <f t="shared" si="21"/>
        <v>130715.43869954447</v>
      </c>
    </row>
    <row r="27" spans="1:14" x14ac:dyDescent="0.2">
      <c r="A27" s="498" t="str">
        <f t="shared" si="15"/>
        <v>Sentinel Lights</v>
      </c>
      <c r="B27" s="476">
        <f t="shared" si="16"/>
        <v>466.79285273219284</v>
      </c>
      <c r="C27" s="477">
        <f t="shared" si="17"/>
        <v>1.0468</v>
      </c>
      <c r="D27" s="499">
        <f t="shared" si="18"/>
        <v>488.63875824005942</v>
      </c>
      <c r="E27" s="534">
        <f t="shared" si="22"/>
        <v>8.0009999999999998E-2</v>
      </c>
      <c r="F27" s="500">
        <f t="shared" si="19"/>
        <v>39.095987046787151</v>
      </c>
      <c r="I27" s="498" t="str">
        <f t="shared" si="23"/>
        <v>Sentinel Lights</v>
      </c>
      <c r="J27" s="482">
        <f t="shared" si="24"/>
        <v>0</v>
      </c>
      <c r="K27" s="477">
        <f t="shared" si="25"/>
        <v>1.0468</v>
      </c>
      <c r="L27" s="499">
        <f t="shared" si="20"/>
        <v>0</v>
      </c>
      <c r="M27" s="534">
        <f t="shared" si="26"/>
        <v>8.0009999999999998E-2</v>
      </c>
      <c r="N27" s="500">
        <f t="shared" si="21"/>
        <v>0</v>
      </c>
    </row>
    <row r="28" spans="1:14" x14ac:dyDescent="0.2">
      <c r="A28" s="498" t="str">
        <f t="shared" si="15"/>
        <v xml:space="preserve">Unmetered Loads </v>
      </c>
      <c r="B28" s="476">
        <f t="shared" si="16"/>
        <v>0</v>
      </c>
      <c r="C28" s="477">
        <f t="shared" si="17"/>
        <v>1.0468</v>
      </c>
      <c r="D28" s="499">
        <f t="shared" si="18"/>
        <v>0</v>
      </c>
      <c r="E28" s="534">
        <f t="shared" si="22"/>
        <v>8.0009999999999998E-2</v>
      </c>
      <c r="F28" s="500">
        <f t="shared" si="19"/>
        <v>0</v>
      </c>
      <c r="I28" s="498" t="str">
        <f t="shared" si="23"/>
        <v xml:space="preserve">Unmetered Loads </v>
      </c>
      <c r="J28" s="482">
        <f t="shared" si="24"/>
        <v>0</v>
      </c>
      <c r="K28" s="477">
        <f t="shared" si="25"/>
        <v>1.0468</v>
      </c>
      <c r="L28" s="499">
        <f t="shared" si="20"/>
        <v>0</v>
      </c>
      <c r="M28" s="534">
        <f t="shared" si="26"/>
        <v>8.0009999999999998E-2</v>
      </c>
      <c r="N28" s="500">
        <f t="shared" si="21"/>
        <v>0</v>
      </c>
    </row>
    <row r="29" spans="1:14" x14ac:dyDescent="0.2">
      <c r="A29" s="490" t="s">
        <v>172</v>
      </c>
      <c r="B29" s="491">
        <f>SUM(B23:B28)</f>
        <v>130871408.95974398</v>
      </c>
      <c r="C29" s="497"/>
      <c r="D29" s="491">
        <f>SUM(D23:D28)</f>
        <v>136996190.89906001</v>
      </c>
      <c r="E29" s="502"/>
      <c r="F29" s="503">
        <f>SUM(F23:F28)</f>
        <v>10961065.233833788</v>
      </c>
      <c r="I29" s="490" t="s">
        <v>172</v>
      </c>
      <c r="J29" s="491"/>
      <c r="K29" s="497"/>
      <c r="L29" s="491">
        <f>SUM(L23:L28)</f>
        <v>99738595.272086814</v>
      </c>
      <c r="M29" s="502"/>
      <c r="N29" s="503">
        <f>SUM(N23:N28)</f>
        <v>7980085.0077196658</v>
      </c>
    </row>
    <row r="31" spans="1:14" x14ac:dyDescent="0.2">
      <c r="A31" s="509" t="s">
        <v>186</v>
      </c>
      <c r="B31" s="510"/>
      <c r="C31" s="511" t="s">
        <v>184</v>
      </c>
      <c r="D31" s="512"/>
      <c r="E31" s="513"/>
      <c r="F31" s="510"/>
    </row>
    <row r="32" spans="1:14" x14ac:dyDescent="0.2">
      <c r="A32" s="497" t="s">
        <v>179</v>
      </c>
      <c r="B32" s="514"/>
      <c r="C32" s="515" t="s">
        <v>183</v>
      </c>
      <c r="D32" s="807">
        <v>2013</v>
      </c>
      <c r="E32" s="802"/>
      <c r="F32" s="803"/>
    </row>
    <row r="33" spans="1:8" x14ac:dyDescent="0.2">
      <c r="A33" s="516" t="str">
        <f t="shared" ref="A33:A38" si="27">A23</f>
        <v xml:space="preserve">Residential </v>
      </c>
      <c r="B33" s="499"/>
      <c r="C33" s="517" t="s">
        <v>138</v>
      </c>
      <c r="D33" s="499">
        <f>D13+D23</f>
        <v>93040624.981588855</v>
      </c>
      <c r="E33" s="535">
        <v>6.4999999999999997E-3</v>
      </c>
      <c r="F33" s="500">
        <f t="shared" ref="F33:F38" si="28">D33*E33</f>
        <v>604764.06238032749</v>
      </c>
      <c r="G33" s="293" t="s">
        <v>347</v>
      </c>
    </row>
    <row r="34" spans="1:8" x14ac:dyDescent="0.2">
      <c r="A34" s="516" t="str">
        <f t="shared" si="27"/>
        <v>General Service &lt; 50 kW</v>
      </c>
      <c r="B34" s="499"/>
      <c r="C34" s="517" t="s">
        <v>138</v>
      </c>
      <c r="D34" s="499">
        <f>D14+D24</f>
        <v>38746567.0881254</v>
      </c>
      <c r="E34" s="535">
        <v>6.0000000000000001E-3</v>
      </c>
      <c r="F34" s="500">
        <f t="shared" si="28"/>
        <v>232479.4025287524</v>
      </c>
      <c r="G34" s="293" t="s">
        <v>348</v>
      </c>
    </row>
    <row r="35" spans="1:8" x14ac:dyDescent="0.2">
      <c r="A35" s="516" t="str">
        <f t="shared" si="27"/>
        <v>General Service &gt; 50</v>
      </c>
      <c r="B35" s="499"/>
      <c r="C35" s="517" t="s">
        <v>182</v>
      </c>
      <c r="D35" s="499">
        <f>C4</f>
        <v>290865.21180620004</v>
      </c>
      <c r="E35" s="535">
        <v>2.4552</v>
      </c>
      <c r="F35" s="500">
        <f t="shared" si="28"/>
        <v>714132.26802658231</v>
      </c>
    </row>
    <row r="36" spans="1:8" x14ac:dyDescent="0.2">
      <c r="A36" s="516" t="str">
        <f t="shared" si="27"/>
        <v xml:space="preserve">Streetlights </v>
      </c>
      <c r="B36" s="499"/>
      <c r="C36" s="517" t="s">
        <v>182</v>
      </c>
      <c r="D36" s="499">
        <f>C5</f>
        <v>4418.5179942916502</v>
      </c>
      <c r="E36" s="535">
        <v>1.8515999999999999</v>
      </c>
      <c r="F36" s="500">
        <f t="shared" si="28"/>
        <v>8181.3279182304195</v>
      </c>
    </row>
    <row r="37" spans="1:8" x14ac:dyDescent="0.2">
      <c r="A37" s="516" t="str">
        <f t="shared" si="27"/>
        <v>Sentinel Lights</v>
      </c>
      <c r="B37" s="499"/>
      <c r="C37" s="517" t="s">
        <v>182</v>
      </c>
      <c r="D37" s="499">
        <f>C6</f>
        <v>298.06106516197389</v>
      </c>
      <c r="E37" s="535">
        <v>1.8609</v>
      </c>
      <c r="F37" s="500">
        <f t="shared" si="28"/>
        <v>554.66183615991724</v>
      </c>
      <c r="H37" s="440"/>
    </row>
    <row r="38" spans="1:8" x14ac:dyDescent="0.2">
      <c r="A38" s="516" t="str">
        <f t="shared" si="27"/>
        <v xml:space="preserve">Unmetered Loads </v>
      </c>
      <c r="B38" s="499"/>
      <c r="C38" s="517" t="s">
        <v>138</v>
      </c>
      <c r="D38" s="499">
        <f>D18+D28</f>
        <v>359825.35415065615</v>
      </c>
      <c r="E38" s="535">
        <v>6.0000000000000001E-3</v>
      </c>
      <c r="F38" s="500">
        <f t="shared" si="28"/>
        <v>2158.9521249039367</v>
      </c>
    </row>
    <row r="39" spans="1:8" x14ac:dyDescent="0.2">
      <c r="A39" s="490" t="s">
        <v>172</v>
      </c>
      <c r="B39" s="491"/>
      <c r="C39" s="497"/>
      <c r="D39" s="491"/>
      <c r="E39" s="502"/>
      <c r="F39" s="518">
        <f>SUM(F33:F38)</f>
        <v>1562270.6748149565</v>
      </c>
    </row>
    <row r="41" spans="1:8" x14ac:dyDescent="0.2">
      <c r="A41" s="509" t="s">
        <v>185</v>
      </c>
      <c r="B41" s="510"/>
      <c r="C41" s="519" t="s">
        <v>184</v>
      </c>
      <c r="D41" s="512"/>
      <c r="E41" s="513"/>
      <c r="F41" s="510"/>
    </row>
    <row r="42" spans="1:8" x14ac:dyDescent="0.2">
      <c r="A42" s="497" t="s">
        <v>179</v>
      </c>
      <c r="B42" s="514"/>
      <c r="C42" s="520" t="s">
        <v>183</v>
      </c>
      <c r="D42" s="807">
        <v>2013</v>
      </c>
      <c r="E42" s="802"/>
      <c r="F42" s="803"/>
    </row>
    <row r="43" spans="1:8" x14ac:dyDescent="0.2">
      <c r="A43" s="516" t="str">
        <f t="shared" ref="A43:A48" si="29">A33</f>
        <v xml:space="preserve">Residential </v>
      </c>
      <c r="B43" s="499"/>
      <c r="C43" s="517" t="str">
        <f t="shared" ref="C43:D48" si="30">C33</f>
        <v>kWh</v>
      </c>
      <c r="D43" s="499">
        <f t="shared" si="30"/>
        <v>93040624.981588855</v>
      </c>
      <c r="E43" s="535">
        <v>3.3999999999999998E-3</v>
      </c>
      <c r="F43" s="500">
        <f t="shared" ref="F43:F48" si="31">D43*E43</f>
        <v>316338.12493740208</v>
      </c>
    </row>
    <row r="44" spans="1:8" x14ac:dyDescent="0.2">
      <c r="A44" s="516" t="str">
        <f t="shared" si="29"/>
        <v>General Service &lt; 50 kW</v>
      </c>
      <c r="B44" s="499"/>
      <c r="C44" s="517" t="str">
        <f t="shared" si="30"/>
        <v>kWh</v>
      </c>
      <c r="D44" s="499">
        <f t="shared" si="30"/>
        <v>38746567.0881254</v>
      </c>
      <c r="E44" s="535">
        <v>3.0999999999999999E-3</v>
      </c>
      <c r="F44" s="500">
        <f t="shared" si="31"/>
        <v>120114.35797318873</v>
      </c>
      <c r="H44" s="293" t="s">
        <v>384</v>
      </c>
    </row>
    <row r="45" spans="1:8" x14ac:dyDescent="0.2">
      <c r="A45" s="516" t="str">
        <f t="shared" si="29"/>
        <v>General Service &gt; 50</v>
      </c>
      <c r="B45" s="499"/>
      <c r="C45" s="517" t="str">
        <f t="shared" si="30"/>
        <v>kW</v>
      </c>
      <c r="D45" s="499">
        <f t="shared" si="30"/>
        <v>290865.21180620004</v>
      </c>
      <c r="E45" s="535">
        <v>1.2283999999999999</v>
      </c>
      <c r="F45" s="500">
        <f t="shared" si="31"/>
        <v>357298.82618273608</v>
      </c>
    </row>
    <row r="46" spans="1:8" x14ac:dyDescent="0.2">
      <c r="A46" s="516" t="str">
        <f t="shared" si="29"/>
        <v xml:space="preserve">Streetlights </v>
      </c>
      <c r="B46" s="499"/>
      <c r="C46" s="517" t="str">
        <f t="shared" si="30"/>
        <v>kW</v>
      </c>
      <c r="D46" s="499">
        <f t="shared" si="30"/>
        <v>4418.5179942916502</v>
      </c>
      <c r="E46" s="535">
        <v>0.94950000000000001</v>
      </c>
      <c r="F46" s="500">
        <f t="shared" si="31"/>
        <v>4195.3828355799224</v>
      </c>
    </row>
    <row r="47" spans="1:8" x14ac:dyDescent="0.2">
      <c r="A47" s="516" t="str">
        <f t="shared" si="29"/>
        <v>Sentinel Lights</v>
      </c>
      <c r="B47" s="499"/>
      <c r="C47" s="517" t="str">
        <f t="shared" si="30"/>
        <v>kW</v>
      </c>
      <c r="D47" s="499">
        <f t="shared" si="30"/>
        <v>298.06106516197389</v>
      </c>
      <c r="E47" s="535">
        <v>0.96960000000000002</v>
      </c>
      <c r="F47" s="500">
        <f t="shared" si="31"/>
        <v>289.00000878104987</v>
      </c>
    </row>
    <row r="48" spans="1:8" x14ac:dyDescent="0.2">
      <c r="A48" s="516" t="str">
        <f t="shared" si="29"/>
        <v xml:space="preserve">Unmetered Loads </v>
      </c>
      <c r="B48" s="499"/>
      <c r="C48" s="517" t="str">
        <f t="shared" si="30"/>
        <v>kWh</v>
      </c>
      <c r="D48" s="499">
        <f t="shared" si="30"/>
        <v>359825.35415065615</v>
      </c>
      <c r="E48" s="535">
        <v>3.0999999999999999E-3</v>
      </c>
      <c r="F48" s="500">
        <f t="shared" si="31"/>
        <v>1115.4585978670341</v>
      </c>
    </row>
    <row r="49" spans="1:7" x14ac:dyDescent="0.2">
      <c r="A49" s="490" t="s">
        <v>172</v>
      </c>
      <c r="B49" s="491"/>
      <c r="C49" s="497"/>
      <c r="D49" s="491"/>
      <c r="E49" s="502"/>
      <c r="F49" s="518">
        <f>SUM(F43:F48)</f>
        <v>799351.15053555497</v>
      </c>
    </row>
    <row r="51" spans="1:7" x14ac:dyDescent="0.2">
      <c r="A51" s="509" t="s">
        <v>181</v>
      </c>
      <c r="B51" s="510"/>
      <c r="C51" s="519" t="s">
        <v>184</v>
      </c>
      <c r="D51" s="512"/>
      <c r="E51" s="513"/>
      <c r="F51" s="510"/>
    </row>
    <row r="52" spans="1:7" x14ac:dyDescent="0.2">
      <c r="A52" s="497" t="s">
        <v>179</v>
      </c>
      <c r="B52" s="514"/>
      <c r="C52" s="520" t="s">
        <v>183</v>
      </c>
      <c r="D52" s="807">
        <v>2013</v>
      </c>
      <c r="E52" s="802"/>
      <c r="F52" s="808"/>
    </row>
    <row r="53" spans="1:7" x14ac:dyDescent="0.2">
      <c r="A53" s="516" t="str">
        <f t="shared" ref="A53:A58" si="32">A43</f>
        <v xml:space="preserve">Residential </v>
      </c>
      <c r="B53" s="499"/>
      <c r="C53" s="517" t="str">
        <f t="shared" ref="C53" si="33">C43</f>
        <v>kWh</v>
      </c>
      <c r="D53" s="499">
        <f>D43</f>
        <v>93040624.981588855</v>
      </c>
      <c r="E53" s="535">
        <v>4.4000000000000003E-3</v>
      </c>
      <c r="F53" s="500">
        <f t="shared" ref="F53:F58" si="34">D53*E53</f>
        <v>409378.749918991</v>
      </c>
      <c r="G53" s="293" t="s">
        <v>349</v>
      </c>
    </row>
    <row r="54" spans="1:7" x14ac:dyDescent="0.2">
      <c r="A54" s="516" t="str">
        <f t="shared" si="32"/>
        <v>General Service &lt; 50 kW</v>
      </c>
      <c r="B54" s="499"/>
      <c r="C54" s="517" t="str">
        <f t="shared" ref="C54:D54" si="35">C44</f>
        <v>kWh</v>
      </c>
      <c r="D54" s="499">
        <f t="shared" si="35"/>
        <v>38746567.0881254</v>
      </c>
      <c r="E54" s="535">
        <f>E53</f>
        <v>4.4000000000000003E-3</v>
      </c>
      <c r="F54" s="500">
        <f t="shared" si="34"/>
        <v>170484.89518775177</v>
      </c>
    </row>
    <row r="55" spans="1:7" x14ac:dyDescent="0.2">
      <c r="A55" s="516" t="str">
        <f t="shared" si="32"/>
        <v>General Service &gt; 50</v>
      </c>
      <c r="B55" s="499"/>
      <c r="C55" s="517" t="s">
        <v>138</v>
      </c>
      <c r="D55" s="499">
        <f>B4</f>
        <v>120548540.28792873</v>
      </c>
      <c r="E55" s="535">
        <f t="shared" ref="E55:E58" si="36">E54</f>
        <v>4.4000000000000003E-3</v>
      </c>
      <c r="F55" s="500">
        <f t="shared" si="34"/>
        <v>530413.57726688648</v>
      </c>
    </row>
    <row r="56" spans="1:7" x14ac:dyDescent="0.2">
      <c r="A56" s="516" t="str">
        <f t="shared" si="32"/>
        <v xml:space="preserve">Streetlights </v>
      </c>
      <c r="B56" s="499"/>
      <c r="C56" s="517" t="s">
        <v>138</v>
      </c>
      <c r="D56" s="499">
        <f>B5</f>
        <v>1831246.477157607</v>
      </c>
      <c r="E56" s="535">
        <f t="shared" si="36"/>
        <v>4.4000000000000003E-3</v>
      </c>
      <c r="F56" s="500">
        <f t="shared" si="34"/>
        <v>8057.484499493471</v>
      </c>
    </row>
    <row r="57" spans="1:7" x14ac:dyDescent="0.2">
      <c r="A57" s="516" t="str">
        <f t="shared" si="32"/>
        <v>Sentinel Lights</v>
      </c>
      <c r="B57" s="499"/>
      <c r="C57" s="517" t="s">
        <v>138</v>
      </c>
      <c r="D57" s="499">
        <f>B6</f>
        <v>123530.84818503985</v>
      </c>
      <c r="E57" s="535">
        <f t="shared" si="36"/>
        <v>4.4000000000000003E-3</v>
      </c>
      <c r="F57" s="500">
        <f t="shared" si="34"/>
        <v>543.53573201417544</v>
      </c>
    </row>
    <row r="58" spans="1:7" x14ac:dyDescent="0.2">
      <c r="A58" s="516" t="str">
        <f t="shared" si="32"/>
        <v xml:space="preserve">Unmetered Loads </v>
      </c>
      <c r="B58" s="499"/>
      <c r="C58" s="517" t="str">
        <f t="shared" ref="C58:D58" si="37">C48</f>
        <v>kWh</v>
      </c>
      <c r="D58" s="499">
        <f t="shared" si="37"/>
        <v>359825.35415065615</v>
      </c>
      <c r="E58" s="535">
        <f t="shared" si="36"/>
        <v>4.4000000000000003E-3</v>
      </c>
      <c r="F58" s="500">
        <f t="shared" si="34"/>
        <v>1583.2315582628871</v>
      </c>
    </row>
    <row r="59" spans="1:7" x14ac:dyDescent="0.2">
      <c r="A59" s="490" t="s">
        <v>172</v>
      </c>
      <c r="B59" s="491"/>
      <c r="C59" s="497"/>
      <c r="D59" s="491"/>
      <c r="E59" s="502"/>
      <c r="F59" s="518">
        <f>SUM(F53:F58)</f>
        <v>1120461.4741633995</v>
      </c>
    </row>
    <row r="61" spans="1:7" x14ac:dyDescent="0.2">
      <c r="A61" s="509" t="s">
        <v>180</v>
      </c>
      <c r="B61" s="510"/>
      <c r="C61" s="519" t="s">
        <v>184</v>
      </c>
      <c r="D61" s="512"/>
      <c r="E61" s="513"/>
      <c r="F61" s="510"/>
    </row>
    <row r="62" spans="1:7" x14ac:dyDescent="0.2">
      <c r="A62" s="497" t="s">
        <v>179</v>
      </c>
      <c r="B62" s="514"/>
      <c r="C62" s="520" t="s">
        <v>183</v>
      </c>
      <c r="D62" s="801">
        <v>2013</v>
      </c>
      <c r="E62" s="802"/>
      <c r="F62" s="803"/>
    </row>
    <row r="63" spans="1:7" x14ac:dyDescent="0.2">
      <c r="A63" s="516" t="str">
        <f t="shared" ref="A63:A68" si="38">A53</f>
        <v xml:space="preserve">Residential </v>
      </c>
      <c r="B63" s="499"/>
      <c r="C63" s="517" t="str">
        <f t="shared" ref="C63" si="39">C53</f>
        <v>kWh</v>
      </c>
      <c r="D63" s="499">
        <f t="shared" ref="D63:D68" si="40">D53</f>
        <v>93040624.981588855</v>
      </c>
      <c r="E63" s="535">
        <v>1.1999999999999999E-3</v>
      </c>
      <c r="F63" s="500">
        <f t="shared" ref="F63:F68" si="41">D63*E63</f>
        <v>111648.74997790661</v>
      </c>
      <c r="G63" s="293" t="s">
        <v>349</v>
      </c>
    </row>
    <row r="64" spans="1:7" x14ac:dyDescent="0.2">
      <c r="A64" s="516" t="str">
        <f t="shared" si="38"/>
        <v>General Service &lt; 50 kW</v>
      </c>
      <c r="B64" s="499"/>
      <c r="C64" s="517" t="str">
        <f t="shared" ref="C64" si="42">C54</f>
        <v>kWh</v>
      </c>
      <c r="D64" s="499">
        <f t="shared" si="40"/>
        <v>38746567.0881254</v>
      </c>
      <c r="E64" s="535">
        <f>E63</f>
        <v>1.1999999999999999E-3</v>
      </c>
      <c r="F64" s="500">
        <f t="shared" si="41"/>
        <v>46495.88050575048</v>
      </c>
    </row>
    <row r="65" spans="1:7" x14ac:dyDescent="0.2">
      <c r="A65" s="516" t="str">
        <f t="shared" si="38"/>
        <v>General Service &gt; 50</v>
      </c>
      <c r="B65" s="499"/>
      <c r="C65" s="517" t="str">
        <f t="shared" ref="C65" si="43">C55</f>
        <v>kWh</v>
      </c>
      <c r="D65" s="499">
        <f t="shared" si="40"/>
        <v>120548540.28792873</v>
      </c>
      <c r="E65" s="535">
        <f t="shared" ref="E65:E68" si="44">E64</f>
        <v>1.1999999999999999E-3</v>
      </c>
      <c r="F65" s="500">
        <f t="shared" si="41"/>
        <v>144658.24834551447</v>
      </c>
    </row>
    <row r="66" spans="1:7" x14ac:dyDescent="0.2">
      <c r="A66" s="516" t="str">
        <f t="shared" si="38"/>
        <v xml:space="preserve">Streetlights </v>
      </c>
      <c r="B66" s="499"/>
      <c r="C66" s="517" t="str">
        <f t="shared" ref="C66" si="45">C56</f>
        <v>kWh</v>
      </c>
      <c r="D66" s="499">
        <f t="shared" si="40"/>
        <v>1831246.477157607</v>
      </c>
      <c r="E66" s="535">
        <f t="shared" si="44"/>
        <v>1.1999999999999999E-3</v>
      </c>
      <c r="F66" s="500">
        <f t="shared" si="41"/>
        <v>2197.4957725891281</v>
      </c>
    </row>
    <row r="67" spans="1:7" x14ac:dyDescent="0.2">
      <c r="A67" s="516" t="str">
        <f t="shared" si="38"/>
        <v>Sentinel Lights</v>
      </c>
      <c r="B67" s="499"/>
      <c r="C67" s="517" t="str">
        <f t="shared" ref="C67" si="46">C57</f>
        <v>kWh</v>
      </c>
      <c r="D67" s="499">
        <f t="shared" si="40"/>
        <v>123530.84818503985</v>
      </c>
      <c r="E67" s="535">
        <f t="shared" si="44"/>
        <v>1.1999999999999999E-3</v>
      </c>
      <c r="F67" s="500">
        <f t="shared" si="41"/>
        <v>148.23701782204782</v>
      </c>
    </row>
    <row r="68" spans="1:7" x14ac:dyDescent="0.2">
      <c r="A68" s="516" t="str">
        <f t="shared" si="38"/>
        <v xml:space="preserve">Unmetered Loads </v>
      </c>
      <c r="B68" s="499"/>
      <c r="C68" s="517" t="str">
        <f t="shared" ref="C68" si="47">C58</f>
        <v>kWh</v>
      </c>
      <c r="D68" s="499">
        <f t="shared" si="40"/>
        <v>359825.35415065615</v>
      </c>
      <c r="E68" s="535">
        <f t="shared" si="44"/>
        <v>1.1999999999999999E-3</v>
      </c>
      <c r="F68" s="500">
        <f t="shared" si="41"/>
        <v>431.79042498078735</v>
      </c>
    </row>
    <row r="69" spans="1:7" x14ac:dyDescent="0.2">
      <c r="A69" s="490" t="s">
        <v>172</v>
      </c>
      <c r="B69" s="491"/>
      <c r="C69" s="497"/>
      <c r="D69" s="491"/>
      <c r="E69" s="502"/>
      <c r="F69" s="518">
        <f>SUM(F63:F68)</f>
        <v>305580.4020445635</v>
      </c>
    </row>
    <row r="71" spans="1:7" x14ac:dyDescent="0.2">
      <c r="A71" s="509" t="s">
        <v>350</v>
      </c>
      <c r="B71" s="510"/>
      <c r="C71" s="519" t="s">
        <v>184</v>
      </c>
      <c r="D71" s="512"/>
      <c r="E71" s="513"/>
      <c r="F71" s="510"/>
    </row>
    <row r="72" spans="1:7" x14ac:dyDescent="0.2">
      <c r="A72" s="497" t="s">
        <v>179</v>
      </c>
      <c r="B72" s="514"/>
      <c r="C72" s="520" t="s">
        <v>183</v>
      </c>
      <c r="D72" s="801">
        <v>2013</v>
      </c>
      <c r="E72" s="802"/>
      <c r="F72" s="803"/>
    </row>
    <row r="73" spans="1:7" x14ac:dyDescent="0.2">
      <c r="A73" s="485" t="s">
        <v>94</v>
      </c>
      <c r="B73" s="514"/>
      <c r="C73" s="517" t="str">
        <f t="shared" ref="C73" si="48">C63</f>
        <v>kWh</v>
      </c>
      <c r="D73" s="521">
        <f>B2</f>
        <v>88880994.441716522</v>
      </c>
      <c r="E73" s="736">
        <v>1.1000000000000001E-3</v>
      </c>
      <c r="F73" s="500">
        <f t="shared" ref="F73:F78" si="49">D73*E73</f>
        <v>97769.093885888185</v>
      </c>
      <c r="G73" s="293" t="s">
        <v>349</v>
      </c>
    </row>
    <row r="74" spans="1:7" x14ac:dyDescent="0.2">
      <c r="A74" s="485" t="s">
        <v>308</v>
      </c>
      <c r="B74" s="514"/>
      <c r="C74" s="517" t="str">
        <f t="shared" ref="C74" si="50">C64</f>
        <v>kWh</v>
      </c>
      <c r="D74" s="521">
        <f>B3</f>
        <v>37014297.944330722</v>
      </c>
      <c r="E74" s="736">
        <v>1E-3</v>
      </c>
      <c r="F74" s="500">
        <f t="shared" si="49"/>
        <v>37014.297944330719</v>
      </c>
    </row>
    <row r="75" spans="1:7" x14ac:dyDescent="0.2">
      <c r="A75" s="485" t="s">
        <v>309</v>
      </c>
      <c r="B75" s="514"/>
      <c r="C75" s="517" t="str">
        <f t="shared" ref="C75:C77" si="51">C45</f>
        <v>kW</v>
      </c>
      <c r="D75" s="521">
        <f>C4</f>
        <v>290865.21180620004</v>
      </c>
      <c r="E75" s="736">
        <v>0.39989999999999998</v>
      </c>
      <c r="F75" s="500">
        <f t="shared" si="49"/>
        <v>116316.99820129939</v>
      </c>
    </row>
    <row r="76" spans="1:7" x14ac:dyDescent="0.2">
      <c r="A76" s="516" t="s">
        <v>95</v>
      </c>
      <c r="B76" s="499"/>
      <c r="C76" s="517" t="str">
        <f t="shared" si="51"/>
        <v>kW</v>
      </c>
      <c r="D76" s="521">
        <f t="shared" ref="D76:D77" si="52">C5</f>
        <v>4418.5179942916502</v>
      </c>
      <c r="E76" s="737">
        <v>0.30909999999999999</v>
      </c>
      <c r="F76" s="500">
        <f t="shared" si="49"/>
        <v>1365.7639120355491</v>
      </c>
      <c r="G76" s="293" t="s">
        <v>351</v>
      </c>
    </row>
    <row r="77" spans="1:7" x14ac:dyDescent="0.2">
      <c r="A77" s="516" t="s">
        <v>96</v>
      </c>
      <c r="B77" s="499"/>
      <c r="C77" s="517" t="str">
        <f t="shared" si="51"/>
        <v>kW</v>
      </c>
      <c r="D77" s="521">
        <f t="shared" si="52"/>
        <v>298.06106516197389</v>
      </c>
      <c r="E77" s="737">
        <v>0.31559999999999999</v>
      </c>
      <c r="F77" s="500">
        <f t="shared" si="49"/>
        <v>94.068072165118963</v>
      </c>
    </row>
    <row r="78" spans="1:7" x14ac:dyDescent="0.2">
      <c r="A78" s="516" t="str">
        <f>A68</f>
        <v xml:space="preserve">Unmetered Loads </v>
      </c>
      <c r="B78" s="499"/>
      <c r="C78" s="517" t="str">
        <f t="shared" ref="C78" si="53">C68</f>
        <v>kWh</v>
      </c>
      <c r="D78" s="521">
        <f>B7</f>
        <v>343738.39716340863</v>
      </c>
      <c r="E78" s="737">
        <v>1E-3</v>
      </c>
      <c r="F78" s="500">
        <f t="shared" si="49"/>
        <v>343.73839716340865</v>
      </c>
    </row>
    <row r="79" spans="1:7" x14ac:dyDescent="0.2">
      <c r="A79" s="490" t="s">
        <v>172</v>
      </c>
      <c r="B79" s="491"/>
      <c r="C79" s="497"/>
      <c r="D79" s="522"/>
      <c r="E79" s="491"/>
      <c r="F79" s="491">
        <f t="shared" ref="F79" si="54">SUM(F73:F78)</f>
        <v>252903.96041288238</v>
      </c>
      <c r="G79" s="293" t="s">
        <v>352</v>
      </c>
    </row>
    <row r="81" spans="1:7" x14ac:dyDescent="0.2">
      <c r="A81" s="523" t="s">
        <v>355</v>
      </c>
      <c r="B81" s="510"/>
      <c r="C81" s="519"/>
      <c r="D81" s="512"/>
      <c r="E81" s="513"/>
      <c r="F81" s="510"/>
    </row>
    <row r="82" spans="1:7" x14ac:dyDescent="0.2">
      <c r="A82" s="497" t="s">
        <v>179</v>
      </c>
      <c r="B82" s="514"/>
      <c r="C82" s="524" t="s">
        <v>356</v>
      </c>
      <c r="D82" s="804">
        <v>2013</v>
      </c>
      <c r="E82" s="805"/>
      <c r="F82" s="806"/>
      <c r="G82" s="293" t="s">
        <v>353</v>
      </c>
    </row>
    <row r="83" spans="1:7" x14ac:dyDescent="0.2">
      <c r="A83" s="485" t="s">
        <v>151</v>
      </c>
      <c r="B83" s="514"/>
      <c r="C83" s="451"/>
      <c r="D83" s="536">
        <f>'Rate Class Customer Model'!B13</f>
        <v>10204.255841796119</v>
      </c>
      <c r="E83" s="538">
        <v>0.79</v>
      </c>
      <c r="F83" s="525">
        <f>D83*E83*12</f>
        <v>96736.345380227212</v>
      </c>
      <c r="G83" s="293" t="s">
        <v>354</v>
      </c>
    </row>
    <row r="84" spans="1:7" x14ac:dyDescent="0.2">
      <c r="A84" s="485" t="s">
        <v>152</v>
      </c>
      <c r="B84" s="514"/>
      <c r="D84" s="537">
        <f>'Rate Class Customer Model'!C13</f>
        <v>1124.3042867708639</v>
      </c>
      <c r="E84" s="539">
        <f>E83</f>
        <v>0.79</v>
      </c>
      <c r="F84" s="525">
        <f>D84*E84*12</f>
        <v>10658.40463858779</v>
      </c>
    </row>
    <row r="85" spans="1:7" x14ac:dyDescent="0.2">
      <c r="A85" s="490" t="s">
        <v>172</v>
      </c>
      <c r="B85" s="491"/>
      <c r="C85" s="497"/>
      <c r="D85" s="491"/>
      <c r="E85" s="502"/>
      <c r="F85" s="518">
        <f>SUM(F83:F84)</f>
        <v>107394.750018815</v>
      </c>
    </row>
    <row r="87" spans="1:7" x14ac:dyDescent="0.2">
      <c r="A87" s="526"/>
      <c r="B87" s="527">
        <v>2013</v>
      </c>
    </row>
    <row r="88" spans="1:7" x14ac:dyDescent="0.2">
      <c r="A88" s="526"/>
      <c r="B88" s="528"/>
    </row>
    <row r="89" spans="1:7" x14ac:dyDescent="0.2">
      <c r="A89" s="529" t="s">
        <v>178</v>
      </c>
      <c r="B89" s="530">
        <f>F19+F29</f>
        <v>20748145.822430361</v>
      </c>
    </row>
    <row r="90" spans="1:7" x14ac:dyDescent="0.2">
      <c r="A90" s="529" t="s">
        <v>177</v>
      </c>
      <c r="B90" s="531">
        <f>F59</f>
        <v>1120461.4741633995</v>
      </c>
    </row>
    <row r="91" spans="1:7" x14ac:dyDescent="0.2">
      <c r="A91" s="529" t="s">
        <v>176</v>
      </c>
      <c r="B91" s="531">
        <f>F39</f>
        <v>1562270.6748149565</v>
      </c>
    </row>
    <row r="92" spans="1:7" x14ac:dyDescent="0.2">
      <c r="A92" s="529" t="s">
        <v>175</v>
      </c>
      <c r="B92" s="531">
        <f>F49</f>
        <v>799351.15053555497</v>
      </c>
    </row>
    <row r="93" spans="1:7" x14ac:dyDescent="0.2">
      <c r="A93" s="529" t="s">
        <v>174</v>
      </c>
      <c r="B93" s="531">
        <f>F69</f>
        <v>305580.4020445635</v>
      </c>
    </row>
    <row r="94" spans="1:7" x14ac:dyDescent="0.2">
      <c r="A94" s="529" t="s">
        <v>173</v>
      </c>
      <c r="B94" s="530">
        <f>F79</f>
        <v>252903.96041288238</v>
      </c>
    </row>
    <row r="95" spans="1:7" x14ac:dyDescent="0.2">
      <c r="A95" s="529" t="s">
        <v>357</v>
      </c>
      <c r="B95" s="530">
        <f>F85</f>
        <v>107394.750018815</v>
      </c>
    </row>
    <row r="96" spans="1:7" x14ac:dyDescent="0.2">
      <c r="A96" s="492" t="s">
        <v>172</v>
      </c>
      <c r="B96" s="491">
        <f>SUM(B89:B95)</f>
        <v>24896108.234420534</v>
      </c>
    </row>
  </sheetData>
  <mergeCells count="15">
    <mergeCell ref="B11:B12"/>
    <mergeCell ref="C11:C12"/>
    <mergeCell ref="D12:F12"/>
    <mergeCell ref="B21:B22"/>
    <mergeCell ref="C21:C22"/>
    <mergeCell ref="D22:F22"/>
    <mergeCell ref="J21:J22"/>
    <mergeCell ref="K21:K22"/>
    <mergeCell ref="L22:N22"/>
    <mergeCell ref="D72:F72"/>
    <mergeCell ref="D82:F82"/>
    <mergeCell ref="D32:F32"/>
    <mergeCell ref="D42:F42"/>
    <mergeCell ref="D52:F52"/>
    <mergeCell ref="D62:F62"/>
  </mergeCells>
  <hyperlinks>
    <hyperlink ref="H18" r:id="rId1"/>
  </hyperlinks>
  <pageMargins left="0.7" right="0.7" top="0.75" bottom="0.75" header="0.3" footer="0.3"/>
  <pageSetup orientation="portrait" r:id="rId2"/>
  <headerFooter alignWithMargins="0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AC96"/>
  <sheetViews>
    <sheetView tabSelected="1" workbookViewId="0">
      <selection activeCell="C106" sqref="C106"/>
    </sheetView>
  </sheetViews>
  <sheetFormatPr defaultRowHeight="12.75" x14ac:dyDescent="0.2"/>
  <cols>
    <col min="1" max="1" width="31.42578125" style="293" bestFit="1" customWidth="1"/>
    <col min="2" max="2" width="12.7109375" style="293" customWidth="1"/>
    <col min="3" max="3" width="11.7109375" style="293" customWidth="1"/>
    <col min="4" max="4" width="12.7109375" style="293" customWidth="1"/>
    <col min="5" max="5" width="10" style="293" customWidth="1"/>
    <col min="6" max="6" width="12.7109375" style="293" customWidth="1"/>
    <col min="7" max="8" width="9.140625" style="293"/>
    <col min="9" max="9" width="20.85546875" style="293" customWidth="1"/>
    <col min="10" max="10" width="14.85546875" style="293" customWidth="1"/>
    <col min="11" max="11" width="16.28515625" style="293" bestFit="1" customWidth="1"/>
    <col min="12" max="12" width="14" style="293" bestFit="1" customWidth="1"/>
    <col min="13" max="13" width="12.85546875" style="293" bestFit="1" customWidth="1"/>
    <col min="14" max="14" width="16.28515625" style="293" bestFit="1" customWidth="1"/>
    <col min="15" max="16" width="12.42578125" style="293" bestFit="1" customWidth="1"/>
    <col min="17" max="17" width="16.28515625" style="293" bestFit="1" customWidth="1"/>
    <col min="18" max="19" width="12.42578125" style="293" bestFit="1" customWidth="1"/>
    <col min="20" max="20" width="16.28515625" style="293" bestFit="1" customWidth="1"/>
    <col min="21" max="21" width="12.42578125" style="293" bestFit="1" customWidth="1"/>
    <col min="22" max="22" width="13.5703125" style="293" bestFit="1" customWidth="1"/>
    <col min="23" max="23" width="16.28515625" style="293" bestFit="1" customWidth="1"/>
    <col min="24" max="24" width="16.28515625" style="293" customWidth="1"/>
    <col min="25" max="25" width="13.5703125" style="293" bestFit="1" customWidth="1"/>
    <col min="26" max="29" width="8.7109375" style="293" customWidth="1"/>
    <col min="30" max="256" width="9.140625" style="293"/>
    <col min="257" max="257" width="31.42578125" style="293" bestFit="1" customWidth="1"/>
    <col min="258" max="258" width="12.7109375" style="293" customWidth="1"/>
    <col min="259" max="259" width="11.7109375" style="293" customWidth="1"/>
    <col min="260" max="260" width="12.7109375" style="293" customWidth="1"/>
    <col min="261" max="261" width="10" style="293" customWidth="1"/>
    <col min="262" max="262" width="12.7109375" style="293" customWidth="1"/>
    <col min="263" max="512" width="9.140625" style="293"/>
    <col min="513" max="513" width="31.42578125" style="293" bestFit="1" customWidth="1"/>
    <col min="514" max="514" width="12.7109375" style="293" customWidth="1"/>
    <col min="515" max="515" width="11.7109375" style="293" customWidth="1"/>
    <col min="516" max="516" width="12.7109375" style="293" customWidth="1"/>
    <col min="517" max="517" width="10" style="293" customWidth="1"/>
    <col min="518" max="518" width="12.7109375" style="293" customWidth="1"/>
    <col min="519" max="768" width="9.140625" style="293"/>
    <col min="769" max="769" width="31.42578125" style="293" bestFit="1" customWidth="1"/>
    <col min="770" max="770" width="12.7109375" style="293" customWidth="1"/>
    <col min="771" max="771" width="11.7109375" style="293" customWidth="1"/>
    <col min="772" max="772" width="12.7109375" style="293" customWidth="1"/>
    <col min="773" max="773" width="10" style="293" customWidth="1"/>
    <col min="774" max="774" width="12.7109375" style="293" customWidth="1"/>
    <col min="775" max="1024" width="9.140625" style="293"/>
    <col min="1025" max="1025" width="31.42578125" style="293" bestFit="1" customWidth="1"/>
    <col min="1026" max="1026" width="12.7109375" style="293" customWidth="1"/>
    <col min="1027" max="1027" width="11.7109375" style="293" customWidth="1"/>
    <col min="1028" max="1028" width="12.7109375" style="293" customWidth="1"/>
    <col min="1029" max="1029" width="10" style="293" customWidth="1"/>
    <col min="1030" max="1030" width="12.7109375" style="293" customWidth="1"/>
    <col min="1031" max="1280" width="9.140625" style="293"/>
    <col min="1281" max="1281" width="31.42578125" style="293" bestFit="1" customWidth="1"/>
    <col min="1282" max="1282" width="12.7109375" style="293" customWidth="1"/>
    <col min="1283" max="1283" width="11.7109375" style="293" customWidth="1"/>
    <col min="1284" max="1284" width="12.7109375" style="293" customWidth="1"/>
    <col min="1285" max="1285" width="10" style="293" customWidth="1"/>
    <col min="1286" max="1286" width="12.7109375" style="293" customWidth="1"/>
    <col min="1287" max="1536" width="9.140625" style="293"/>
    <col min="1537" max="1537" width="31.42578125" style="293" bestFit="1" customWidth="1"/>
    <col min="1538" max="1538" width="12.7109375" style="293" customWidth="1"/>
    <col min="1539" max="1539" width="11.7109375" style="293" customWidth="1"/>
    <col min="1540" max="1540" width="12.7109375" style="293" customWidth="1"/>
    <col min="1541" max="1541" width="10" style="293" customWidth="1"/>
    <col min="1542" max="1542" width="12.7109375" style="293" customWidth="1"/>
    <col min="1543" max="1792" width="9.140625" style="293"/>
    <col min="1793" max="1793" width="31.42578125" style="293" bestFit="1" customWidth="1"/>
    <col min="1794" max="1794" width="12.7109375" style="293" customWidth="1"/>
    <col min="1795" max="1795" width="11.7109375" style="293" customWidth="1"/>
    <col min="1796" max="1796" width="12.7109375" style="293" customWidth="1"/>
    <col min="1797" max="1797" width="10" style="293" customWidth="1"/>
    <col min="1798" max="1798" width="12.7109375" style="293" customWidth="1"/>
    <col min="1799" max="2048" width="9.140625" style="293"/>
    <col min="2049" max="2049" width="31.42578125" style="293" bestFit="1" customWidth="1"/>
    <col min="2050" max="2050" width="12.7109375" style="293" customWidth="1"/>
    <col min="2051" max="2051" width="11.7109375" style="293" customWidth="1"/>
    <col min="2052" max="2052" width="12.7109375" style="293" customWidth="1"/>
    <col min="2053" max="2053" width="10" style="293" customWidth="1"/>
    <col min="2054" max="2054" width="12.7109375" style="293" customWidth="1"/>
    <col min="2055" max="2304" width="9.140625" style="293"/>
    <col min="2305" max="2305" width="31.42578125" style="293" bestFit="1" customWidth="1"/>
    <col min="2306" max="2306" width="12.7109375" style="293" customWidth="1"/>
    <col min="2307" max="2307" width="11.7109375" style="293" customWidth="1"/>
    <col min="2308" max="2308" width="12.7109375" style="293" customWidth="1"/>
    <col min="2309" max="2309" width="10" style="293" customWidth="1"/>
    <col min="2310" max="2310" width="12.7109375" style="293" customWidth="1"/>
    <col min="2311" max="2560" width="9.140625" style="293"/>
    <col min="2561" max="2561" width="31.42578125" style="293" bestFit="1" customWidth="1"/>
    <col min="2562" max="2562" width="12.7109375" style="293" customWidth="1"/>
    <col min="2563" max="2563" width="11.7109375" style="293" customWidth="1"/>
    <col min="2564" max="2564" width="12.7109375" style="293" customWidth="1"/>
    <col min="2565" max="2565" width="10" style="293" customWidth="1"/>
    <col min="2566" max="2566" width="12.7109375" style="293" customWidth="1"/>
    <col min="2567" max="2816" width="9.140625" style="293"/>
    <col min="2817" max="2817" width="31.42578125" style="293" bestFit="1" customWidth="1"/>
    <col min="2818" max="2818" width="12.7109375" style="293" customWidth="1"/>
    <col min="2819" max="2819" width="11.7109375" style="293" customWidth="1"/>
    <col min="2820" max="2820" width="12.7109375" style="293" customWidth="1"/>
    <col min="2821" max="2821" width="10" style="293" customWidth="1"/>
    <col min="2822" max="2822" width="12.7109375" style="293" customWidth="1"/>
    <col min="2823" max="3072" width="9.140625" style="293"/>
    <col min="3073" max="3073" width="31.42578125" style="293" bestFit="1" customWidth="1"/>
    <col min="3074" max="3074" width="12.7109375" style="293" customWidth="1"/>
    <col min="3075" max="3075" width="11.7109375" style="293" customWidth="1"/>
    <col min="3076" max="3076" width="12.7109375" style="293" customWidth="1"/>
    <col min="3077" max="3077" width="10" style="293" customWidth="1"/>
    <col min="3078" max="3078" width="12.7109375" style="293" customWidth="1"/>
    <col min="3079" max="3328" width="9.140625" style="293"/>
    <col min="3329" max="3329" width="31.42578125" style="293" bestFit="1" customWidth="1"/>
    <col min="3330" max="3330" width="12.7109375" style="293" customWidth="1"/>
    <col min="3331" max="3331" width="11.7109375" style="293" customWidth="1"/>
    <col min="3332" max="3332" width="12.7109375" style="293" customWidth="1"/>
    <col min="3333" max="3333" width="10" style="293" customWidth="1"/>
    <col min="3334" max="3334" width="12.7109375" style="293" customWidth="1"/>
    <col min="3335" max="3584" width="9.140625" style="293"/>
    <col min="3585" max="3585" width="31.42578125" style="293" bestFit="1" customWidth="1"/>
    <col min="3586" max="3586" width="12.7109375" style="293" customWidth="1"/>
    <col min="3587" max="3587" width="11.7109375" style="293" customWidth="1"/>
    <col min="3588" max="3588" width="12.7109375" style="293" customWidth="1"/>
    <col min="3589" max="3589" width="10" style="293" customWidth="1"/>
    <col min="3590" max="3590" width="12.7109375" style="293" customWidth="1"/>
    <col min="3591" max="3840" width="9.140625" style="293"/>
    <col min="3841" max="3841" width="31.42578125" style="293" bestFit="1" customWidth="1"/>
    <col min="3842" max="3842" width="12.7109375" style="293" customWidth="1"/>
    <col min="3843" max="3843" width="11.7109375" style="293" customWidth="1"/>
    <col min="3844" max="3844" width="12.7109375" style="293" customWidth="1"/>
    <col min="3845" max="3845" width="10" style="293" customWidth="1"/>
    <col min="3846" max="3846" width="12.7109375" style="293" customWidth="1"/>
    <col min="3847" max="4096" width="9.140625" style="293"/>
    <col min="4097" max="4097" width="31.42578125" style="293" bestFit="1" customWidth="1"/>
    <col min="4098" max="4098" width="12.7109375" style="293" customWidth="1"/>
    <col min="4099" max="4099" width="11.7109375" style="293" customWidth="1"/>
    <col min="4100" max="4100" width="12.7109375" style="293" customWidth="1"/>
    <col min="4101" max="4101" width="10" style="293" customWidth="1"/>
    <col min="4102" max="4102" width="12.7109375" style="293" customWidth="1"/>
    <col min="4103" max="4352" width="9.140625" style="293"/>
    <col min="4353" max="4353" width="31.42578125" style="293" bestFit="1" customWidth="1"/>
    <col min="4354" max="4354" width="12.7109375" style="293" customWidth="1"/>
    <col min="4355" max="4355" width="11.7109375" style="293" customWidth="1"/>
    <col min="4356" max="4356" width="12.7109375" style="293" customWidth="1"/>
    <col min="4357" max="4357" width="10" style="293" customWidth="1"/>
    <col min="4358" max="4358" width="12.7109375" style="293" customWidth="1"/>
    <col min="4359" max="4608" width="9.140625" style="293"/>
    <col min="4609" max="4609" width="31.42578125" style="293" bestFit="1" customWidth="1"/>
    <col min="4610" max="4610" width="12.7109375" style="293" customWidth="1"/>
    <col min="4611" max="4611" width="11.7109375" style="293" customWidth="1"/>
    <col min="4612" max="4612" width="12.7109375" style="293" customWidth="1"/>
    <col min="4613" max="4613" width="10" style="293" customWidth="1"/>
    <col min="4614" max="4614" width="12.7109375" style="293" customWidth="1"/>
    <col min="4615" max="4864" width="9.140625" style="293"/>
    <col min="4865" max="4865" width="31.42578125" style="293" bestFit="1" customWidth="1"/>
    <col min="4866" max="4866" width="12.7109375" style="293" customWidth="1"/>
    <col min="4867" max="4867" width="11.7109375" style="293" customWidth="1"/>
    <col min="4868" max="4868" width="12.7109375" style="293" customWidth="1"/>
    <col min="4869" max="4869" width="10" style="293" customWidth="1"/>
    <col min="4870" max="4870" width="12.7109375" style="293" customWidth="1"/>
    <col min="4871" max="5120" width="9.140625" style="293"/>
    <col min="5121" max="5121" width="31.42578125" style="293" bestFit="1" customWidth="1"/>
    <col min="5122" max="5122" width="12.7109375" style="293" customWidth="1"/>
    <col min="5123" max="5123" width="11.7109375" style="293" customWidth="1"/>
    <col min="5124" max="5124" width="12.7109375" style="293" customWidth="1"/>
    <col min="5125" max="5125" width="10" style="293" customWidth="1"/>
    <col min="5126" max="5126" width="12.7109375" style="293" customWidth="1"/>
    <col min="5127" max="5376" width="9.140625" style="293"/>
    <col min="5377" max="5377" width="31.42578125" style="293" bestFit="1" customWidth="1"/>
    <col min="5378" max="5378" width="12.7109375" style="293" customWidth="1"/>
    <col min="5379" max="5379" width="11.7109375" style="293" customWidth="1"/>
    <col min="5380" max="5380" width="12.7109375" style="293" customWidth="1"/>
    <col min="5381" max="5381" width="10" style="293" customWidth="1"/>
    <col min="5382" max="5382" width="12.7109375" style="293" customWidth="1"/>
    <col min="5383" max="5632" width="9.140625" style="293"/>
    <col min="5633" max="5633" width="31.42578125" style="293" bestFit="1" customWidth="1"/>
    <col min="5634" max="5634" width="12.7109375" style="293" customWidth="1"/>
    <col min="5635" max="5635" width="11.7109375" style="293" customWidth="1"/>
    <col min="5636" max="5636" width="12.7109375" style="293" customWidth="1"/>
    <col min="5637" max="5637" width="10" style="293" customWidth="1"/>
    <col min="5638" max="5638" width="12.7109375" style="293" customWidth="1"/>
    <col min="5639" max="5888" width="9.140625" style="293"/>
    <col min="5889" max="5889" width="31.42578125" style="293" bestFit="1" customWidth="1"/>
    <col min="5890" max="5890" width="12.7109375" style="293" customWidth="1"/>
    <col min="5891" max="5891" width="11.7109375" style="293" customWidth="1"/>
    <col min="5892" max="5892" width="12.7109375" style="293" customWidth="1"/>
    <col min="5893" max="5893" width="10" style="293" customWidth="1"/>
    <col min="5894" max="5894" width="12.7109375" style="293" customWidth="1"/>
    <col min="5895" max="6144" width="9.140625" style="293"/>
    <col min="6145" max="6145" width="31.42578125" style="293" bestFit="1" customWidth="1"/>
    <col min="6146" max="6146" width="12.7109375" style="293" customWidth="1"/>
    <col min="6147" max="6147" width="11.7109375" style="293" customWidth="1"/>
    <col min="6148" max="6148" width="12.7109375" style="293" customWidth="1"/>
    <col min="6149" max="6149" width="10" style="293" customWidth="1"/>
    <col min="6150" max="6150" width="12.7109375" style="293" customWidth="1"/>
    <col min="6151" max="6400" width="9.140625" style="293"/>
    <col min="6401" max="6401" width="31.42578125" style="293" bestFit="1" customWidth="1"/>
    <col min="6402" max="6402" width="12.7109375" style="293" customWidth="1"/>
    <col min="6403" max="6403" width="11.7109375" style="293" customWidth="1"/>
    <col min="6404" max="6404" width="12.7109375" style="293" customWidth="1"/>
    <col min="6405" max="6405" width="10" style="293" customWidth="1"/>
    <col min="6406" max="6406" width="12.7109375" style="293" customWidth="1"/>
    <col min="6407" max="6656" width="9.140625" style="293"/>
    <col min="6657" max="6657" width="31.42578125" style="293" bestFit="1" customWidth="1"/>
    <col min="6658" max="6658" width="12.7109375" style="293" customWidth="1"/>
    <col min="6659" max="6659" width="11.7109375" style="293" customWidth="1"/>
    <col min="6660" max="6660" width="12.7109375" style="293" customWidth="1"/>
    <col min="6661" max="6661" width="10" style="293" customWidth="1"/>
    <col min="6662" max="6662" width="12.7109375" style="293" customWidth="1"/>
    <col min="6663" max="6912" width="9.140625" style="293"/>
    <col min="6913" max="6913" width="31.42578125" style="293" bestFit="1" customWidth="1"/>
    <col min="6914" max="6914" width="12.7109375" style="293" customWidth="1"/>
    <col min="6915" max="6915" width="11.7109375" style="293" customWidth="1"/>
    <col min="6916" max="6916" width="12.7109375" style="293" customWidth="1"/>
    <col min="6917" max="6917" width="10" style="293" customWidth="1"/>
    <col min="6918" max="6918" width="12.7109375" style="293" customWidth="1"/>
    <col min="6919" max="7168" width="9.140625" style="293"/>
    <col min="7169" max="7169" width="31.42578125" style="293" bestFit="1" customWidth="1"/>
    <col min="7170" max="7170" width="12.7109375" style="293" customWidth="1"/>
    <col min="7171" max="7171" width="11.7109375" style="293" customWidth="1"/>
    <col min="7172" max="7172" width="12.7109375" style="293" customWidth="1"/>
    <col min="7173" max="7173" width="10" style="293" customWidth="1"/>
    <col min="7174" max="7174" width="12.7109375" style="293" customWidth="1"/>
    <col min="7175" max="7424" width="9.140625" style="293"/>
    <col min="7425" max="7425" width="31.42578125" style="293" bestFit="1" customWidth="1"/>
    <col min="7426" max="7426" width="12.7109375" style="293" customWidth="1"/>
    <col min="7427" max="7427" width="11.7109375" style="293" customWidth="1"/>
    <col min="7428" max="7428" width="12.7109375" style="293" customWidth="1"/>
    <col min="7429" max="7429" width="10" style="293" customWidth="1"/>
    <col min="7430" max="7430" width="12.7109375" style="293" customWidth="1"/>
    <col min="7431" max="7680" width="9.140625" style="293"/>
    <col min="7681" max="7681" width="31.42578125" style="293" bestFit="1" customWidth="1"/>
    <col min="7682" max="7682" width="12.7109375" style="293" customWidth="1"/>
    <col min="7683" max="7683" width="11.7109375" style="293" customWidth="1"/>
    <col min="7684" max="7684" width="12.7109375" style="293" customWidth="1"/>
    <col min="7685" max="7685" width="10" style="293" customWidth="1"/>
    <col min="7686" max="7686" width="12.7109375" style="293" customWidth="1"/>
    <col min="7687" max="7936" width="9.140625" style="293"/>
    <col min="7937" max="7937" width="31.42578125" style="293" bestFit="1" customWidth="1"/>
    <col min="7938" max="7938" width="12.7109375" style="293" customWidth="1"/>
    <col min="7939" max="7939" width="11.7109375" style="293" customWidth="1"/>
    <col min="7940" max="7940" width="12.7109375" style="293" customWidth="1"/>
    <col min="7941" max="7941" width="10" style="293" customWidth="1"/>
    <col min="7942" max="7942" width="12.7109375" style="293" customWidth="1"/>
    <col min="7943" max="8192" width="9.140625" style="293"/>
    <col min="8193" max="8193" width="31.42578125" style="293" bestFit="1" customWidth="1"/>
    <col min="8194" max="8194" width="12.7109375" style="293" customWidth="1"/>
    <col min="8195" max="8195" width="11.7109375" style="293" customWidth="1"/>
    <col min="8196" max="8196" width="12.7109375" style="293" customWidth="1"/>
    <col min="8197" max="8197" width="10" style="293" customWidth="1"/>
    <col min="8198" max="8198" width="12.7109375" style="293" customWidth="1"/>
    <col min="8199" max="8448" width="9.140625" style="293"/>
    <col min="8449" max="8449" width="31.42578125" style="293" bestFit="1" customWidth="1"/>
    <col min="8450" max="8450" width="12.7109375" style="293" customWidth="1"/>
    <col min="8451" max="8451" width="11.7109375" style="293" customWidth="1"/>
    <col min="8452" max="8452" width="12.7109375" style="293" customWidth="1"/>
    <col min="8453" max="8453" width="10" style="293" customWidth="1"/>
    <col min="8454" max="8454" width="12.7109375" style="293" customWidth="1"/>
    <col min="8455" max="8704" width="9.140625" style="293"/>
    <col min="8705" max="8705" width="31.42578125" style="293" bestFit="1" customWidth="1"/>
    <col min="8706" max="8706" width="12.7109375" style="293" customWidth="1"/>
    <col min="8707" max="8707" width="11.7109375" style="293" customWidth="1"/>
    <col min="8708" max="8708" width="12.7109375" style="293" customWidth="1"/>
    <col min="8709" max="8709" width="10" style="293" customWidth="1"/>
    <col min="8710" max="8710" width="12.7109375" style="293" customWidth="1"/>
    <col min="8711" max="8960" width="9.140625" style="293"/>
    <col min="8961" max="8961" width="31.42578125" style="293" bestFit="1" customWidth="1"/>
    <col min="8962" max="8962" width="12.7109375" style="293" customWidth="1"/>
    <col min="8963" max="8963" width="11.7109375" style="293" customWidth="1"/>
    <col min="8964" max="8964" width="12.7109375" style="293" customWidth="1"/>
    <col min="8965" max="8965" width="10" style="293" customWidth="1"/>
    <col min="8966" max="8966" width="12.7109375" style="293" customWidth="1"/>
    <col min="8967" max="9216" width="9.140625" style="293"/>
    <col min="9217" max="9217" width="31.42578125" style="293" bestFit="1" customWidth="1"/>
    <col min="9218" max="9218" width="12.7109375" style="293" customWidth="1"/>
    <col min="9219" max="9219" width="11.7109375" style="293" customWidth="1"/>
    <col min="9220" max="9220" width="12.7109375" style="293" customWidth="1"/>
    <col min="9221" max="9221" width="10" style="293" customWidth="1"/>
    <col min="9222" max="9222" width="12.7109375" style="293" customWidth="1"/>
    <col min="9223" max="9472" width="9.140625" style="293"/>
    <col min="9473" max="9473" width="31.42578125" style="293" bestFit="1" customWidth="1"/>
    <col min="9474" max="9474" width="12.7109375" style="293" customWidth="1"/>
    <col min="9475" max="9475" width="11.7109375" style="293" customWidth="1"/>
    <col min="9476" max="9476" width="12.7109375" style="293" customWidth="1"/>
    <col min="9477" max="9477" width="10" style="293" customWidth="1"/>
    <col min="9478" max="9478" width="12.7109375" style="293" customWidth="1"/>
    <col min="9479" max="9728" width="9.140625" style="293"/>
    <col min="9729" max="9729" width="31.42578125" style="293" bestFit="1" customWidth="1"/>
    <col min="9730" max="9730" width="12.7109375" style="293" customWidth="1"/>
    <col min="9731" max="9731" width="11.7109375" style="293" customWidth="1"/>
    <col min="9732" max="9732" width="12.7109375" style="293" customWidth="1"/>
    <col min="9733" max="9733" width="10" style="293" customWidth="1"/>
    <col min="9734" max="9734" width="12.7109375" style="293" customWidth="1"/>
    <col min="9735" max="9984" width="9.140625" style="293"/>
    <col min="9985" max="9985" width="31.42578125" style="293" bestFit="1" customWidth="1"/>
    <col min="9986" max="9986" width="12.7109375" style="293" customWidth="1"/>
    <col min="9987" max="9987" width="11.7109375" style="293" customWidth="1"/>
    <col min="9988" max="9988" width="12.7109375" style="293" customWidth="1"/>
    <col min="9989" max="9989" width="10" style="293" customWidth="1"/>
    <col min="9990" max="9990" width="12.7109375" style="293" customWidth="1"/>
    <col min="9991" max="10240" width="9.140625" style="293"/>
    <col min="10241" max="10241" width="31.42578125" style="293" bestFit="1" customWidth="1"/>
    <col min="10242" max="10242" width="12.7109375" style="293" customWidth="1"/>
    <col min="10243" max="10243" width="11.7109375" style="293" customWidth="1"/>
    <col min="10244" max="10244" width="12.7109375" style="293" customWidth="1"/>
    <col min="10245" max="10245" width="10" style="293" customWidth="1"/>
    <col min="10246" max="10246" width="12.7109375" style="293" customWidth="1"/>
    <col min="10247" max="10496" width="9.140625" style="293"/>
    <col min="10497" max="10497" width="31.42578125" style="293" bestFit="1" customWidth="1"/>
    <col min="10498" max="10498" width="12.7109375" style="293" customWidth="1"/>
    <col min="10499" max="10499" width="11.7109375" style="293" customWidth="1"/>
    <col min="10500" max="10500" width="12.7109375" style="293" customWidth="1"/>
    <col min="10501" max="10501" width="10" style="293" customWidth="1"/>
    <col min="10502" max="10502" width="12.7109375" style="293" customWidth="1"/>
    <col min="10503" max="10752" width="9.140625" style="293"/>
    <col min="10753" max="10753" width="31.42578125" style="293" bestFit="1" customWidth="1"/>
    <col min="10754" max="10754" width="12.7109375" style="293" customWidth="1"/>
    <col min="10755" max="10755" width="11.7109375" style="293" customWidth="1"/>
    <col min="10756" max="10756" width="12.7109375" style="293" customWidth="1"/>
    <col min="10757" max="10757" width="10" style="293" customWidth="1"/>
    <col min="10758" max="10758" width="12.7109375" style="293" customWidth="1"/>
    <col min="10759" max="11008" width="9.140625" style="293"/>
    <col min="11009" max="11009" width="31.42578125" style="293" bestFit="1" customWidth="1"/>
    <col min="11010" max="11010" width="12.7109375" style="293" customWidth="1"/>
    <col min="11011" max="11011" width="11.7109375" style="293" customWidth="1"/>
    <col min="11012" max="11012" width="12.7109375" style="293" customWidth="1"/>
    <col min="11013" max="11013" width="10" style="293" customWidth="1"/>
    <col min="11014" max="11014" width="12.7109375" style="293" customWidth="1"/>
    <col min="11015" max="11264" width="9.140625" style="293"/>
    <col min="11265" max="11265" width="31.42578125" style="293" bestFit="1" customWidth="1"/>
    <col min="11266" max="11266" width="12.7109375" style="293" customWidth="1"/>
    <col min="11267" max="11267" width="11.7109375" style="293" customWidth="1"/>
    <col min="11268" max="11268" width="12.7109375" style="293" customWidth="1"/>
    <col min="11269" max="11269" width="10" style="293" customWidth="1"/>
    <col min="11270" max="11270" width="12.7109375" style="293" customWidth="1"/>
    <col min="11271" max="11520" width="9.140625" style="293"/>
    <col min="11521" max="11521" width="31.42578125" style="293" bestFit="1" customWidth="1"/>
    <col min="11522" max="11522" width="12.7109375" style="293" customWidth="1"/>
    <col min="11523" max="11523" width="11.7109375" style="293" customWidth="1"/>
    <col min="11524" max="11524" width="12.7109375" style="293" customWidth="1"/>
    <col min="11525" max="11525" width="10" style="293" customWidth="1"/>
    <col min="11526" max="11526" width="12.7109375" style="293" customWidth="1"/>
    <col min="11527" max="11776" width="9.140625" style="293"/>
    <col min="11777" max="11777" width="31.42578125" style="293" bestFit="1" customWidth="1"/>
    <col min="11778" max="11778" width="12.7109375" style="293" customWidth="1"/>
    <col min="11779" max="11779" width="11.7109375" style="293" customWidth="1"/>
    <col min="11780" max="11780" width="12.7109375" style="293" customWidth="1"/>
    <col min="11781" max="11781" width="10" style="293" customWidth="1"/>
    <col min="11782" max="11782" width="12.7109375" style="293" customWidth="1"/>
    <col min="11783" max="12032" width="9.140625" style="293"/>
    <col min="12033" max="12033" width="31.42578125" style="293" bestFit="1" customWidth="1"/>
    <col min="12034" max="12034" width="12.7109375" style="293" customWidth="1"/>
    <col min="12035" max="12035" width="11.7109375" style="293" customWidth="1"/>
    <col min="12036" max="12036" width="12.7109375" style="293" customWidth="1"/>
    <col min="12037" max="12037" width="10" style="293" customWidth="1"/>
    <col min="12038" max="12038" width="12.7109375" style="293" customWidth="1"/>
    <col min="12039" max="12288" width="9.140625" style="293"/>
    <col min="12289" max="12289" width="31.42578125" style="293" bestFit="1" customWidth="1"/>
    <col min="12290" max="12290" width="12.7109375" style="293" customWidth="1"/>
    <col min="12291" max="12291" width="11.7109375" style="293" customWidth="1"/>
    <col min="12292" max="12292" width="12.7109375" style="293" customWidth="1"/>
    <col min="12293" max="12293" width="10" style="293" customWidth="1"/>
    <col min="12294" max="12294" width="12.7109375" style="293" customWidth="1"/>
    <col min="12295" max="12544" width="9.140625" style="293"/>
    <col min="12545" max="12545" width="31.42578125" style="293" bestFit="1" customWidth="1"/>
    <col min="12546" max="12546" width="12.7109375" style="293" customWidth="1"/>
    <col min="12547" max="12547" width="11.7109375" style="293" customWidth="1"/>
    <col min="12548" max="12548" width="12.7109375" style="293" customWidth="1"/>
    <col min="12549" max="12549" width="10" style="293" customWidth="1"/>
    <col min="12550" max="12550" width="12.7109375" style="293" customWidth="1"/>
    <col min="12551" max="12800" width="9.140625" style="293"/>
    <col min="12801" max="12801" width="31.42578125" style="293" bestFit="1" customWidth="1"/>
    <col min="12802" max="12802" width="12.7109375" style="293" customWidth="1"/>
    <col min="12803" max="12803" width="11.7109375" style="293" customWidth="1"/>
    <col min="12804" max="12804" width="12.7109375" style="293" customWidth="1"/>
    <col min="12805" max="12805" width="10" style="293" customWidth="1"/>
    <col min="12806" max="12806" width="12.7109375" style="293" customWidth="1"/>
    <col min="12807" max="13056" width="9.140625" style="293"/>
    <col min="13057" max="13057" width="31.42578125" style="293" bestFit="1" customWidth="1"/>
    <col min="13058" max="13058" width="12.7109375" style="293" customWidth="1"/>
    <col min="13059" max="13059" width="11.7109375" style="293" customWidth="1"/>
    <col min="13060" max="13060" width="12.7109375" style="293" customWidth="1"/>
    <col min="13061" max="13061" width="10" style="293" customWidth="1"/>
    <col min="13062" max="13062" width="12.7109375" style="293" customWidth="1"/>
    <col min="13063" max="13312" width="9.140625" style="293"/>
    <col min="13313" max="13313" width="31.42578125" style="293" bestFit="1" customWidth="1"/>
    <col min="13314" max="13314" width="12.7109375" style="293" customWidth="1"/>
    <col min="13315" max="13315" width="11.7109375" style="293" customWidth="1"/>
    <col min="13316" max="13316" width="12.7109375" style="293" customWidth="1"/>
    <col min="13317" max="13317" width="10" style="293" customWidth="1"/>
    <col min="13318" max="13318" width="12.7109375" style="293" customWidth="1"/>
    <col min="13319" max="13568" width="9.140625" style="293"/>
    <col min="13569" max="13569" width="31.42578125" style="293" bestFit="1" customWidth="1"/>
    <col min="13570" max="13570" width="12.7109375" style="293" customWidth="1"/>
    <col min="13571" max="13571" width="11.7109375" style="293" customWidth="1"/>
    <col min="13572" max="13572" width="12.7109375" style="293" customWidth="1"/>
    <col min="13573" max="13573" width="10" style="293" customWidth="1"/>
    <col min="13574" max="13574" width="12.7109375" style="293" customWidth="1"/>
    <col min="13575" max="13824" width="9.140625" style="293"/>
    <col min="13825" max="13825" width="31.42578125" style="293" bestFit="1" customWidth="1"/>
    <col min="13826" max="13826" width="12.7109375" style="293" customWidth="1"/>
    <col min="13827" max="13827" width="11.7109375" style="293" customWidth="1"/>
    <col min="13828" max="13828" width="12.7109375" style="293" customWidth="1"/>
    <col min="13829" max="13829" width="10" style="293" customWidth="1"/>
    <col min="13830" max="13830" width="12.7109375" style="293" customWidth="1"/>
    <col min="13831" max="14080" width="9.140625" style="293"/>
    <col min="14081" max="14081" width="31.42578125" style="293" bestFit="1" customWidth="1"/>
    <col min="14082" max="14082" width="12.7109375" style="293" customWidth="1"/>
    <col min="14083" max="14083" width="11.7109375" style="293" customWidth="1"/>
    <col min="14084" max="14084" width="12.7109375" style="293" customWidth="1"/>
    <col min="14085" max="14085" width="10" style="293" customWidth="1"/>
    <col min="14086" max="14086" width="12.7109375" style="293" customWidth="1"/>
    <col min="14087" max="14336" width="9.140625" style="293"/>
    <col min="14337" max="14337" width="31.42578125" style="293" bestFit="1" customWidth="1"/>
    <col min="14338" max="14338" width="12.7109375" style="293" customWidth="1"/>
    <col min="14339" max="14339" width="11.7109375" style="293" customWidth="1"/>
    <col min="14340" max="14340" width="12.7109375" style="293" customWidth="1"/>
    <col min="14341" max="14341" width="10" style="293" customWidth="1"/>
    <col min="14342" max="14342" width="12.7109375" style="293" customWidth="1"/>
    <col min="14343" max="14592" width="9.140625" style="293"/>
    <col min="14593" max="14593" width="31.42578125" style="293" bestFit="1" customWidth="1"/>
    <col min="14594" max="14594" width="12.7109375" style="293" customWidth="1"/>
    <col min="14595" max="14595" width="11.7109375" style="293" customWidth="1"/>
    <col min="14596" max="14596" width="12.7109375" style="293" customWidth="1"/>
    <col min="14597" max="14597" width="10" style="293" customWidth="1"/>
    <col min="14598" max="14598" width="12.7109375" style="293" customWidth="1"/>
    <col min="14599" max="14848" width="9.140625" style="293"/>
    <col min="14849" max="14849" width="31.42578125" style="293" bestFit="1" customWidth="1"/>
    <col min="14850" max="14850" width="12.7109375" style="293" customWidth="1"/>
    <col min="14851" max="14851" width="11.7109375" style="293" customWidth="1"/>
    <col min="14852" max="14852" width="12.7109375" style="293" customWidth="1"/>
    <col min="14853" max="14853" width="10" style="293" customWidth="1"/>
    <col min="14854" max="14854" width="12.7109375" style="293" customWidth="1"/>
    <col min="14855" max="15104" width="9.140625" style="293"/>
    <col min="15105" max="15105" width="31.42578125" style="293" bestFit="1" customWidth="1"/>
    <col min="15106" max="15106" width="12.7109375" style="293" customWidth="1"/>
    <col min="15107" max="15107" width="11.7109375" style="293" customWidth="1"/>
    <col min="15108" max="15108" width="12.7109375" style="293" customWidth="1"/>
    <col min="15109" max="15109" width="10" style="293" customWidth="1"/>
    <col min="15110" max="15110" width="12.7109375" style="293" customWidth="1"/>
    <col min="15111" max="15360" width="9.140625" style="293"/>
    <col min="15361" max="15361" width="31.42578125" style="293" bestFit="1" customWidth="1"/>
    <col min="15362" max="15362" width="12.7109375" style="293" customWidth="1"/>
    <col min="15363" max="15363" width="11.7109375" style="293" customWidth="1"/>
    <col min="15364" max="15364" width="12.7109375" style="293" customWidth="1"/>
    <col min="15365" max="15365" width="10" style="293" customWidth="1"/>
    <col min="15366" max="15366" width="12.7109375" style="293" customWidth="1"/>
    <col min="15367" max="15616" width="9.140625" style="293"/>
    <col min="15617" max="15617" width="31.42578125" style="293" bestFit="1" customWidth="1"/>
    <col min="15618" max="15618" width="12.7109375" style="293" customWidth="1"/>
    <col min="15619" max="15619" width="11.7109375" style="293" customWidth="1"/>
    <col min="15620" max="15620" width="12.7109375" style="293" customWidth="1"/>
    <col min="15621" max="15621" width="10" style="293" customWidth="1"/>
    <col min="15622" max="15622" width="12.7109375" style="293" customWidth="1"/>
    <col min="15623" max="15872" width="9.140625" style="293"/>
    <col min="15873" max="15873" width="31.42578125" style="293" bestFit="1" customWidth="1"/>
    <col min="15874" max="15874" width="12.7109375" style="293" customWidth="1"/>
    <col min="15875" max="15875" width="11.7109375" style="293" customWidth="1"/>
    <col min="15876" max="15876" width="12.7109375" style="293" customWidth="1"/>
    <col min="15877" max="15877" width="10" style="293" customWidth="1"/>
    <col min="15878" max="15878" width="12.7109375" style="293" customWidth="1"/>
    <col min="15879" max="16128" width="9.140625" style="293"/>
    <col min="16129" max="16129" width="31.42578125" style="293" bestFit="1" customWidth="1"/>
    <col min="16130" max="16130" width="12.7109375" style="293" customWidth="1"/>
    <col min="16131" max="16131" width="11.7109375" style="293" customWidth="1"/>
    <col min="16132" max="16132" width="12.7109375" style="293" customWidth="1"/>
    <col min="16133" max="16133" width="10" style="293" customWidth="1"/>
    <col min="16134" max="16134" width="12.7109375" style="293" customWidth="1"/>
    <col min="16135" max="16384" width="9.140625" style="293"/>
  </cols>
  <sheetData>
    <row r="1" spans="1:29" x14ac:dyDescent="0.2">
      <c r="A1" s="473" t="s">
        <v>204</v>
      </c>
      <c r="B1" s="474" t="s">
        <v>138</v>
      </c>
      <c r="C1" s="474" t="s">
        <v>182</v>
      </c>
      <c r="D1" s="474" t="s">
        <v>201</v>
      </c>
    </row>
    <row r="2" spans="1:29" x14ac:dyDescent="0.2">
      <c r="A2" s="475" t="str">
        <f>'Rate Class Energy Model'!H2</f>
        <v xml:space="preserve">Residential </v>
      </c>
      <c r="B2" s="476">
        <f>Summary!M13</f>
        <v>89827012.905997798</v>
      </c>
      <c r="C2" s="477"/>
      <c r="D2" s="532">
        <f>'2013 COP Forecast'!D2</f>
        <v>0.88054364833686127</v>
      </c>
      <c r="J2" s="332" t="s">
        <v>310</v>
      </c>
      <c r="K2" s="332"/>
      <c r="L2" s="478" t="s">
        <v>370</v>
      </c>
    </row>
    <row r="3" spans="1:29" x14ac:dyDescent="0.2">
      <c r="A3" s="475" t="str">
        <f>'Rate Class Energy Model'!I2</f>
        <v>General Service &lt; 50 kW</v>
      </c>
      <c r="B3" s="476">
        <f>Summary!M17</f>
        <v>37298288.334516436</v>
      </c>
      <c r="C3" s="477"/>
      <c r="D3" s="532">
        <f>'2013 COP Forecast'!D3</f>
        <v>0.83338982710626108</v>
      </c>
      <c r="J3" s="479" t="s">
        <v>303</v>
      </c>
      <c r="K3" s="590"/>
      <c r="L3" s="480"/>
      <c r="M3" s="479" t="s">
        <v>304</v>
      </c>
      <c r="N3" s="590"/>
      <c r="O3" s="480"/>
      <c r="P3" s="479" t="s">
        <v>305</v>
      </c>
      <c r="Q3" s="590"/>
      <c r="R3" s="480"/>
      <c r="S3" s="479" t="s">
        <v>306</v>
      </c>
      <c r="T3" s="590"/>
      <c r="U3" s="480"/>
      <c r="V3" s="479" t="s">
        <v>307</v>
      </c>
      <c r="W3" s="590"/>
      <c r="X3" s="590"/>
      <c r="Y3" s="480"/>
      <c r="Z3" s="481" t="s">
        <v>312</v>
      </c>
      <c r="AA3" s="293" t="s">
        <v>455</v>
      </c>
      <c r="AB3" s="293" t="s">
        <v>454</v>
      </c>
      <c r="AC3" s="293" t="s">
        <v>9</v>
      </c>
    </row>
    <row r="4" spans="1:29" x14ac:dyDescent="0.2">
      <c r="A4" s="475" t="str">
        <f>'Rate Class Energy Model'!J2</f>
        <v>General Service &gt; 50</v>
      </c>
      <c r="B4" s="476">
        <f>Summary!M21</f>
        <v>120512919.91850819</v>
      </c>
      <c r="C4" s="482">
        <f>Summary!M22</f>
        <v>290779.26529642585</v>
      </c>
      <c r="D4" s="532">
        <f>'2013 COP Forecast'!D4</f>
        <v>6.655123497612267E-2</v>
      </c>
      <c r="J4" s="483" t="s">
        <v>311</v>
      </c>
      <c r="K4" s="591" t="s">
        <v>453</v>
      </c>
      <c r="L4" s="484" t="s">
        <v>9</v>
      </c>
      <c r="M4" s="483" t="s">
        <v>311</v>
      </c>
      <c r="N4" s="591" t="s">
        <v>453</v>
      </c>
      <c r="O4" s="484" t="s">
        <v>9</v>
      </c>
      <c r="P4" s="483" t="s">
        <v>311</v>
      </c>
      <c r="Q4" s="591" t="s">
        <v>453</v>
      </c>
      <c r="R4" s="484" t="s">
        <v>9</v>
      </c>
      <c r="S4" s="483" t="s">
        <v>311</v>
      </c>
      <c r="T4" s="591" t="s">
        <v>453</v>
      </c>
      <c r="U4" s="484" t="s">
        <v>9</v>
      </c>
      <c r="V4" s="483" t="s">
        <v>311</v>
      </c>
      <c r="W4" s="591" t="s">
        <v>453</v>
      </c>
      <c r="X4" s="591" t="s">
        <v>454</v>
      </c>
      <c r="Y4" s="484" t="s">
        <v>9</v>
      </c>
      <c r="Z4" s="485"/>
    </row>
    <row r="5" spans="1:29" x14ac:dyDescent="0.2">
      <c r="A5" s="475" t="str">
        <f>'Rate Class Customer Model'!E2</f>
        <v xml:space="preserve">Streetlights Connections </v>
      </c>
      <c r="B5" s="476">
        <f>Summary!M26</f>
        <v>1861617.8068174501</v>
      </c>
      <c r="C5" s="482">
        <f>Summary!M27</f>
        <v>5229.9860393372019</v>
      </c>
      <c r="D5" s="532">
        <f>'2013 COP Forecast'!D5</f>
        <v>0.14773995695486622</v>
      </c>
      <c r="I5" s="486" t="s">
        <v>94</v>
      </c>
      <c r="J5" s="578">
        <v>20468133.399999999</v>
      </c>
      <c r="K5" s="488"/>
      <c r="L5" s="488">
        <v>23614070</v>
      </c>
      <c r="M5" s="578">
        <v>17739595.800000001</v>
      </c>
      <c r="N5" s="488"/>
      <c r="O5" s="488">
        <f>17739595.8+4492.42+8420.72+33772.55+142011.08+496323.33+1471905.33+97494.37+371538.46+3022.88+6883.96</f>
        <v>20375460.899999999</v>
      </c>
      <c r="P5" s="487">
        <v>21013350.399999999</v>
      </c>
      <c r="Q5" s="592"/>
      <c r="R5" s="488">
        <f>21013350.4+476402.9+1601457.8+32834.99+418585.28+128077.52+3071.57+6052.6+7695.53</f>
        <v>23687528.59</v>
      </c>
      <c r="S5" s="487">
        <v>19876421.800000001</v>
      </c>
      <c r="T5" s="592"/>
      <c r="U5" s="488">
        <f>19876521.8+363603.99+1425267.21+27812.95+8362.35+322519.75+109993.37+4278.64+6103.93+6506.68</f>
        <v>22150970.670000002</v>
      </c>
      <c r="V5" s="487">
        <f>J5+M5+P5+S5</f>
        <v>79097501.400000006</v>
      </c>
      <c r="W5" s="487">
        <f>K5+N5+Q5+T5</f>
        <v>0</v>
      </c>
      <c r="X5" s="594">
        <f>Y5-SUM(V5:W5)</f>
        <v>10730528.75999999</v>
      </c>
      <c r="Y5" s="487">
        <f>L5+O5+R5+U5</f>
        <v>89828030.159999996</v>
      </c>
      <c r="Z5" s="489">
        <f>V5/Y5</f>
        <v>0.88054364833686127</v>
      </c>
      <c r="AA5" s="595">
        <f>W5/Y5</f>
        <v>0</v>
      </c>
      <c r="AB5" s="595">
        <f>X5/Y5</f>
        <v>0.11945635166313871</v>
      </c>
      <c r="AC5" s="596">
        <f>SUM(Z5:AB5)</f>
        <v>1</v>
      </c>
    </row>
    <row r="6" spans="1:29" x14ac:dyDescent="0.2">
      <c r="A6" s="475" t="str">
        <f>'Rate Class Customer Model'!F2</f>
        <v>Sentinel Lights Connections</v>
      </c>
      <c r="B6" s="476">
        <f>Summary!M31</f>
        <v>122535.77700319083</v>
      </c>
      <c r="C6" s="482">
        <f>Summary!M32</f>
        <v>338.86175995396366</v>
      </c>
      <c r="D6" s="532">
        <f>'2013 COP Forecast'!D6</f>
        <v>0.99622124465596662</v>
      </c>
      <c r="I6" s="486" t="s">
        <v>308</v>
      </c>
      <c r="J6" s="579">
        <v>8084913.7999999998</v>
      </c>
      <c r="K6" s="488"/>
      <c r="L6" s="488">
        <v>9497526</v>
      </c>
      <c r="M6" s="579">
        <v>7533691.7999999998</v>
      </c>
      <c r="N6" s="488"/>
      <c r="O6" s="488">
        <f>7533691.8+20740.74+92143.94+193894.66+534287.49+508347.29+42759.15+2253.24+27537.98</f>
        <v>8955656.290000001</v>
      </c>
      <c r="P6" s="487">
        <v>7757185.5999999996</v>
      </c>
      <c r="Q6" s="592"/>
      <c r="R6" s="488">
        <f>7757185.6+156353.57+633270.6+24525.09+152141.27+4480.87+532551.21+32888.41+75317.3+88194.71</f>
        <v>9456908.629999999</v>
      </c>
      <c r="S6" s="487">
        <v>7819043.5</v>
      </c>
      <c r="T6" s="592"/>
      <c r="U6" s="488">
        <f>7819043.5+126359.49+600178.62+41747.82+141063.83+2541.74+587918.09+27970.98+53578.53+120770.56</f>
        <v>9521173.1600000001</v>
      </c>
      <c r="V6" s="487">
        <f t="shared" ref="V6:W11" si="0">J6+M6+P6+S6</f>
        <v>31194834.699999999</v>
      </c>
      <c r="W6" s="487">
        <f t="shared" si="0"/>
        <v>0</v>
      </c>
      <c r="X6" s="594">
        <f t="shared" ref="X6:X10" si="1">Y6-SUM(V6:W6)</f>
        <v>6236429.379999999</v>
      </c>
      <c r="Y6" s="487">
        <f t="shared" ref="Y6:Y11" si="2">L6+O6+R6+U6</f>
        <v>37431264.079999998</v>
      </c>
      <c r="Z6" s="489">
        <f t="shared" ref="Z6:Z11" si="3">V6/Y6</f>
        <v>0.83338982710626108</v>
      </c>
      <c r="AA6" s="595">
        <f t="shared" ref="AA6:AA11" si="4">W6/Y6</f>
        <v>0</v>
      </c>
      <c r="AB6" s="595">
        <f t="shared" ref="AB6:AB11" si="5">X6/Y6</f>
        <v>0.16661017289373892</v>
      </c>
      <c r="AC6" s="596">
        <f t="shared" ref="AC6:AC11" si="6">SUM(Z6:AB6)</f>
        <v>1</v>
      </c>
    </row>
    <row r="7" spans="1:29" x14ac:dyDescent="0.2">
      <c r="A7" s="475" t="str">
        <f>'Rate Class Customer Model'!G2</f>
        <v>Unmetered Loads Connections</v>
      </c>
      <c r="B7" s="476">
        <f>Summary!M36</f>
        <v>358304.47063816962</v>
      </c>
      <c r="C7" s="482"/>
      <c r="D7" s="532">
        <f>'2013 COP Forecast'!D7</f>
        <v>1</v>
      </c>
      <c r="I7" s="486" t="s">
        <v>309</v>
      </c>
      <c r="J7" s="579">
        <v>2851528.5</v>
      </c>
      <c r="K7" s="488">
        <v>23135064</v>
      </c>
      <c r="L7" s="488">
        <v>31472630</v>
      </c>
      <c r="M7" s="579">
        <v>1948961</v>
      </c>
      <c r="N7" s="488">
        <v>24849344</v>
      </c>
      <c r="O7" s="488">
        <f>26798305+35380.79+682555.47+195144.46+562386.72+615199.02+1380663.92+383396.21+1085941.69</f>
        <v>31738973.279999997</v>
      </c>
      <c r="P7" s="487">
        <v>1796132.6</v>
      </c>
      <c r="Q7" s="592">
        <v>26857711.600000001</v>
      </c>
      <c r="R7" s="488">
        <f>28653844.2+666727.85+707011.9+1113040.39+239424.09+401516.61+708763.55+863465.64</f>
        <v>33353794.23</v>
      </c>
      <c r="S7" s="487">
        <v>1938291.1</v>
      </c>
      <c r="T7" s="592">
        <v>24860788.699999999</v>
      </c>
      <c r="U7" s="488">
        <f>26799079.8+274826.87+303903.62+1433214.35+196023.78+60881.89+360808.07+620981.25+280374.92+1350260.3</f>
        <v>31680354.850000009</v>
      </c>
      <c r="V7" s="487">
        <f t="shared" si="0"/>
        <v>8534913.1999999993</v>
      </c>
      <c r="W7" s="487">
        <f t="shared" si="0"/>
        <v>99702908.299999997</v>
      </c>
      <c r="X7" s="594">
        <f t="shared" si="1"/>
        <v>20007930.860000014</v>
      </c>
      <c r="Y7" s="487">
        <f t="shared" si="2"/>
        <v>128245752.36000001</v>
      </c>
      <c r="Z7" s="489">
        <f t="shared" si="3"/>
        <v>6.655123497612267E-2</v>
      </c>
      <c r="AA7" s="595">
        <f t="shared" si="4"/>
        <v>0.77743633972470993</v>
      </c>
      <c r="AB7" s="595">
        <f t="shared" si="5"/>
        <v>0.15601242529916734</v>
      </c>
      <c r="AC7" s="596">
        <f t="shared" si="6"/>
        <v>1</v>
      </c>
    </row>
    <row r="8" spans="1:29" x14ac:dyDescent="0.2">
      <c r="A8" s="490" t="s">
        <v>172</v>
      </c>
      <c r="B8" s="491">
        <f>SUM(B2:B7)</f>
        <v>249980679.21348122</v>
      </c>
      <c r="C8" s="491">
        <f>SUM(C2:C7)</f>
        <v>296348.11309571698</v>
      </c>
      <c r="D8" s="491"/>
      <c r="I8" s="486" t="s">
        <v>95</v>
      </c>
      <c r="J8" s="579">
        <v>78285.3</v>
      </c>
      <c r="K8" s="488">
        <v>383959.3</v>
      </c>
      <c r="L8" s="488">
        <v>462244.6</v>
      </c>
      <c r="M8" s="579">
        <v>66754</v>
      </c>
      <c r="N8" s="488">
        <v>354475.3</v>
      </c>
      <c r="O8" s="488">
        <f>421229.4</f>
        <v>421229.4</v>
      </c>
      <c r="P8" s="487">
        <v>54410.6</v>
      </c>
      <c r="Q8" s="592">
        <v>296565.2</v>
      </c>
      <c r="R8" s="488">
        <v>350975.8</v>
      </c>
      <c r="S8" s="487">
        <v>55975.199999999997</v>
      </c>
      <c r="T8" s="592">
        <v>438458</v>
      </c>
      <c r="U8" s="488">
        <v>494433.2</v>
      </c>
      <c r="V8" s="487">
        <f t="shared" si="0"/>
        <v>255425.09999999998</v>
      </c>
      <c r="W8" s="487">
        <f t="shared" si="0"/>
        <v>1473457.8</v>
      </c>
      <c r="X8" s="594">
        <f t="shared" si="1"/>
        <v>0.10000000009313226</v>
      </c>
      <c r="Y8" s="487">
        <f t="shared" si="2"/>
        <v>1728883</v>
      </c>
      <c r="Z8" s="489">
        <f t="shared" si="3"/>
        <v>0.14773995695486622</v>
      </c>
      <c r="AA8" s="595">
        <f t="shared" si="4"/>
        <v>0.85225998520431978</v>
      </c>
      <c r="AB8" s="595">
        <f t="shared" si="5"/>
        <v>5.7840814036075466E-8</v>
      </c>
      <c r="AC8" s="596">
        <f t="shared" si="6"/>
        <v>1</v>
      </c>
    </row>
    <row r="9" spans="1:29" x14ac:dyDescent="0.2">
      <c r="B9" s="429">
        <f>Summary!M40</f>
        <v>249980679.21348122</v>
      </c>
      <c r="C9" s="429">
        <f>Summary!M41</f>
        <v>296348.11309571698</v>
      </c>
      <c r="I9" s="486" t="s">
        <v>96</v>
      </c>
      <c r="J9" s="579">
        <v>30849.4</v>
      </c>
      <c r="K9" s="488"/>
      <c r="L9" s="488">
        <v>30966.2</v>
      </c>
      <c r="M9" s="579">
        <v>30311.1</v>
      </c>
      <c r="N9" s="488"/>
      <c r="O9" s="488">
        <f>30311.1+112.18</f>
        <v>30423.279999999999</v>
      </c>
      <c r="P9" s="487">
        <v>28689.200000000001</v>
      </c>
      <c r="Q9" s="592"/>
      <c r="R9" s="488">
        <f>28689.2+108.6</f>
        <v>28797.8</v>
      </c>
      <c r="S9" s="487">
        <v>27777.4</v>
      </c>
      <c r="T9" s="592"/>
      <c r="U9" s="488">
        <f>27777.4+108.59</f>
        <v>27885.99</v>
      </c>
      <c r="V9" s="487">
        <f t="shared" si="0"/>
        <v>117627.1</v>
      </c>
      <c r="W9" s="487">
        <f t="shared" si="0"/>
        <v>0</v>
      </c>
      <c r="X9" s="594">
        <f t="shared" si="1"/>
        <v>446.16999999999825</v>
      </c>
      <c r="Y9" s="487">
        <f t="shared" si="2"/>
        <v>118073.27</v>
      </c>
      <c r="Z9" s="489">
        <f t="shared" si="3"/>
        <v>0.99622124465596662</v>
      </c>
      <c r="AA9" s="595">
        <f t="shared" si="4"/>
        <v>0</v>
      </c>
      <c r="AB9" s="595">
        <f t="shared" si="5"/>
        <v>3.7787553440333977E-3</v>
      </c>
      <c r="AC9" s="596">
        <f t="shared" si="6"/>
        <v>1</v>
      </c>
    </row>
    <row r="10" spans="1:29" x14ac:dyDescent="0.2">
      <c r="I10" s="486" t="s">
        <v>97</v>
      </c>
      <c r="J10" s="579">
        <v>100024</v>
      </c>
      <c r="K10" s="488"/>
      <c r="L10" s="488">
        <v>100024</v>
      </c>
      <c r="M10" s="579">
        <v>100035.4</v>
      </c>
      <c r="N10" s="488"/>
      <c r="O10" s="488">
        <f>100035.4</f>
        <v>100035.4</v>
      </c>
      <c r="P10" s="487">
        <v>100035.4</v>
      </c>
      <c r="Q10" s="592"/>
      <c r="R10" s="488">
        <v>100035.4</v>
      </c>
      <c r="S10" s="487">
        <v>100868.6</v>
      </c>
      <c r="T10" s="592"/>
      <c r="U10" s="488">
        <v>100868.6</v>
      </c>
      <c r="V10" s="487">
        <f t="shared" si="0"/>
        <v>400963.4</v>
      </c>
      <c r="W10" s="487">
        <f t="shared" si="0"/>
        <v>0</v>
      </c>
      <c r="X10" s="594">
        <f t="shared" si="1"/>
        <v>0</v>
      </c>
      <c r="Y10" s="487">
        <f t="shared" si="2"/>
        <v>400963.4</v>
      </c>
      <c r="Z10" s="489">
        <f t="shared" si="3"/>
        <v>1</v>
      </c>
      <c r="AA10" s="595">
        <f t="shared" si="4"/>
        <v>0</v>
      </c>
      <c r="AB10" s="595">
        <f t="shared" si="5"/>
        <v>0</v>
      </c>
      <c r="AC10" s="596">
        <f t="shared" si="6"/>
        <v>1</v>
      </c>
    </row>
    <row r="11" spans="1:29" x14ac:dyDescent="0.2">
      <c r="A11" s="473" t="s">
        <v>189</v>
      </c>
      <c r="B11" s="794" t="s">
        <v>202</v>
      </c>
      <c r="C11" s="796" t="s">
        <v>203</v>
      </c>
      <c r="D11" s="492"/>
      <c r="E11" s="493"/>
      <c r="F11" s="494"/>
      <c r="I11" s="293" t="s">
        <v>9</v>
      </c>
      <c r="J11" s="580">
        <f>SUM(J5:J10)</f>
        <v>31613734.399999999</v>
      </c>
      <c r="K11" s="496">
        <f>SUM(K7:K10)</f>
        <v>23519023.300000001</v>
      </c>
      <c r="L11" s="496">
        <f>SUM(L5:L10)</f>
        <v>65177460.800000004</v>
      </c>
      <c r="M11" s="580">
        <f>SUM(M5:M10)</f>
        <v>27419349.100000001</v>
      </c>
      <c r="N11" s="496">
        <f>SUM(N7:N8)</f>
        <v>25203819.300000001</v>
      </c>
      <c r="O11" s="496">
        <f t="shared" ref="O11:P11" si="7">SUM(O5:O10)</f>
        <v>61621778.549999997</v>
      </c>
      <c r="P11" s="495">
        <f t="shared" si="7"/>
        <v>30749803.800000001</v>
      </c>
      <c r="Q11" s="593">
        <f>SUM(Q6:Q9)</f>
        <v>27154276.800000001</v>
      </c>
      <c r="R11" s="496">
        <f>SUM(R5:R10)</f>
        <v>66978040.449999996</v>
      </c>
      <c r="S11" s="495">
        <f>SUM(S5:S10)</f>
        <v>29818377.600000001</v>
      </c>
      <c r="T11" s="593">
        <f>SUM(T6:T9)</f>
        <v>25299246.699999999</v>
      </c>
      <c r="U11" s="496">
        <f>SUM(U5:U10)</f>
        <v>63975686.470000014</v>
      </c>
      <c r="V11" s="577">
        <f t="shared" si="0"/>
        <v>119601264.90000001</v>
      </c>
      <c r="W11" s="577">
        <f>SUM(W5:W10)</f>
        <v>101176366.09999999</v>
      </c>
      <c r="X11" s="577">
        <f>SUM(X5:X10)</f>
        <v>36975335.270000003</v>
      </c>
      <c r="Y11" s="577">
        <f t="shared" si="2"/>
        <v>257752966.26999998</v>
      </c>
      <c r="Z11" s="489">
        <f t="shared" si="3"/>
        <v>0.46401508634711869</v>
      </c>
      <c r="AA11" s="595">
        <f t="shared" si="4"/>
        <v>0.39253230550222368</v>
      </c>
      <c r="AB11" s="595">
        <f t="shared" si="5"/>
        <v>0.14345260815065772</v>
      </c>
      <c r="AC11" s="596">
        <f t="shared" si="6"/>
        <v>1</v>
      </c>
    </row>
    <row r="12" spans="1:29" x14ac:dyDescent="0.2">
      <c r="A12" s="497" t="s">
        <v>188</v>
      </c>
      <c r="B12" s="795"/>
      <c r="C12" s="797"/>
      <c r="D12" s="798">
        <v>2014</v>
      </c>
      <c r="E12" s="799"/>
      <c r="F12" s="800"/>
    </row>
    <row r="13" spans="1:29" x14ac:dyDescent="0.2">
      <c r="A13" s="498" t="str">
        <f t="shared" ref="A13:A18" si="8">A2</f>
        <v xml:space="preserve">Residential </v>
      </c>
      <c r="B13" s="476">
        <f>B2*D2</f>
        <v>79096605.66344963</v>
      </c>
      <c r="C13" s="533">
        <f>'Rate Class Energy Model'!F22</f>
        <v>1.0481</v>
      </c>
      <c r="D13" s="499">
        <f t="shared" ref="D13:D18" si="9">B13*C13</f>
        <v>82901152.395861566</v>
      </c>
      <c r="E13" s="534">
        <f>'2013 COP Forecast'!E13</f>
        <v>7.9320000000000002E-2</v>
      </c>
      <c r="F13" s="500">
        <f t="shared" ref="F13:F18" si="10">D13*E13</f>
        <v>6575719.4080397394</v>
      </c>
    </row>
    <row r="14" spans="1:29" x14ac:dyDescent="0.2">
      <c r="A14" s="498" t="str">
        <f t="shared" si="8"/>
        <v>General Service &lt; 50 kW</v>
      </c>
      <c r="B14" s="476">
        <f t="shared" ref="B14:B18" si="11">B3*D3</f>
        <v>31084014.066462126</v>
      </c>
      <c r="C14" s="533">
        <f>C13</f>
        <v>1.0481</v>
      </c>
      <c r="D14" s="499">
        <f t="shared" si="9"/>
        <v>32579155.143058956</v>
      </c>
      <c r="E14" s="534">
        <f>'2013 COP Forecast'!E14</f>
        <v>7.9320000000000002E-2</v>
      </c>
      <c r="F14" s="500">
        <f t="shared" si="10"/>
        <v>2584178.5859474363</v>
      </c>
    </row>
    <row r="15" spans="1:29" x14ac:dyDescent="0.2">
      <c r="A15" s="498" t="str">
        <f t="shared" si="8"/>
        <v>General Service &gt; 50</v>
      </c>
      <c r="B15" s="476">
        <f t="shared" si="11"/>
        <v>8020283.6511552921</v>
      </c>
      <c r="C15" s="533">
        <f t="shared" ref="C15:C18" si="12">C14</f>
        <v>1.0481</v>
      </c>
      <c r="D15" s="499">
        <f t="shared" si="9"/>
        <v>8406059.2947758622</v>
      </c>
      <c r="E15" s="534">
        <f>'2013 COP Forecast'!E15</f>
        <v>7.9320000000000002E-2</v>
      </c>
      <c r="F15" s="500">
        <f t="shared" si="10"/>
        <v>666768.62326162145</v>
      </c>
    </row>
    <row r="16" spans="1:29" x14ac:dyDescent="0.2">
      <c r="A16" s="498" t="str">
        <f t="shared" si="8"/>
        <v xml:space="preserve">Streetlights Connections </v>
      </c>
      <c r="B16" s="476">
        <f t="shared" si="11"/>
        <v>275035.33464562253</v>
      </c>
      <c r="C16" s="533">
        <f t="shared" si="12"/>
        <v>1.0481</v>
      </c>
      <c r="D16" s="499">
        <f t="shared" si="9"/>
        <v>288264.53424207697</v>
      </c>
      <c r="E16" s="534">
        <f>'2013 COP Forecast'!E16</f>
        <v>7.9320000000000002E-2</v>
      </c>
      <c r="F16" s="500">
        <f t="shared" si="10"/>
        <v>22865.142856081548</v>
      </c>
    </row>
    <row r="17" spans="1:14" x14ac:dyDescent="0.2">
      <c r="A17" s="498" t="str">
        <f t="shared" si="8"/>
        <v>Sentinel Lights Connections</v>
      </c>
      <c r="B17" s="476">
        <f t="shared" si="11"/>
        <v>122072.74428100474</v>
      </c>
      <c r="C17" s="533">
        <f t="shared" si="12"/>
        <v>1.0481</v>
      </c>
      <c r="D17" s="499">
        <f t="shared" si="9"/>
        <v>127944.44328092107</v>
      </c>
      <c r="E17" s="534">
        <f>'2013 COP Forecast'!E17</f>
        <v>7.9320000000000002E-2</v>
      </c>
      <c r="F17" s="500">
        <f t="shared" si="10"/>
        <v>10148.55324104266</v>
      </c>
    </row>
    <row r="18" spans="1:14" x14ac:dyDescent="0.2">
      <c r="A18" s="498" t="str">
        <f t="shared" si="8"/>
        <v>Unmetered Loads Connections</v>
      </c>
      <c r="B18" s="476">
        <f t="shared" si="11"/>
        <v>358304.47063816962</v>
      </c>
      <c r="C18" s="533">
        <f t="shared" si="12"/>
        <v>1.0481</v>
      </c>
      <c r="D18" s="499">
        <f t="shared" si="9"/>
        <v>375538.9156758656</v>
      </c>
      <c r="E18" s="534">
        <f>'2013 COP Forecast'!E18</f>
        <v>7.9320000000000002E-2</v>
      </c>
      <c r="F18" s="500">
        <f t="shared" si="10"/>
        <v>29787.74679140966</v>
      </c>
    </row>
    <row r="19" spans="1:14" x14ac:dyDescent="0.2">
      <c r="A19" s="490" t="s">
        <v>172</v>
      </c>
      <c r="B19" s="491">
        <f>SUM(B13:B18)</f>
        <v>118956315.93063186</v>
      </c>
      <c r="C19" s="497"/>
      <c r="D19" s="491">
        <f>SUM(D13:D18)</f>
        <v>124678114.72689524</v>
      </c>
      <c r="E19" s="502"/>
      <c r="F19" s="503">
        <f>SUM(F13:F18)</f>
        <v>9889468.0601373315</v>
      </c>
    </row>
    <row r="20" spans="1:14" x14ac:dyDescent="0.2">
      <c r="A20" s="504"/>
      <c r="B20" s="505"/>
      <c r="C20" s="506"/>
      <c r="D20" s="505"/>
      <c r="E20" s="507"/>
      <c r="F20" s="508"/>
    </row>
    <row r="21" spans="1:14" ht="12.75" customHeight="1" x14ac:dyDescent="0.2">
      <c r="A21" s="473" t="s">
        <v>187</v>
      </c>
      <c r="B21" s="794" t="s">
        <v>202</v>
      </c>
      <c r="C21" s="796" t="s">
        <v>203</v>
      </c>
      <c r="D21" s="492"/>
      <c r="E21" s="493"/>
      <c r="F21" s="494"/>
      <c r="I21" s="473" t="s">
        <v>456</v>
      </c>
      <c r="J21" s="794" t="s">
        <v>202</v>
      </c>
      <c r="K21" s="796" t="s">
        <v>192</v>
      </c>
      <c r="L21" s="492"/>
      <c r="M21" s="493"/>
      <c r="N21" s="494"/>
    </row>
    <row r="22" spans="1:14" x14ac:dyDescent="0.2">
      <c r="A22" s="497" t="s">
        <v>179</v>
      </c>
      <c r="B22" s="795"/>
      <c r="C22" s="797"/>
      <c r="D22" s="798">
        <v>2014</v>
      </c>
      <c r="E22" s="799"/>
      <c r="F22" s="800"/>
      <c r="I22" s="497" t="s">
        <v>179</v>
      </c>
      <c r="J22" s="795"/>
      <c r="K22" s="797"/>
      <c r="L22" s="798">
        <v>2013</v>
      </c>
      <c r="M22" s="799"/>
      <c r="N22" s="800"/>
    </row>
    <row r="23" spans="1:14" x14ac:dyDescent="0.2">
      <c r="A23" s="498" t="str">
        <f t="shared" ref="A23:A28" si="13">A13</f>
        <v xml:space="preserve">Residential </v>
      </c>
      <c r="B23" s="476">
        <f t="shared" ref="B23:B28" si="14">B2-B13</f>
        <v>10730407.242548168</v>
      </c>
      <c r="C23" s="477">
        <f t="shared" ref="C23:C28" si="15">C13</f>
        <v>1.0481</v>
      </c>
      <c r="D23" s="499">
        <f t="shared" ref="D23:D28" si="16">B23*C23</f>
        <v>11246539.830914736</v>
      </c>
      <c r="E23" s="534">
        <f>'2013 COP Forecast'!E23</f>
        <v>8.0009999999999998E-2</v>
      </c>
      <c r="F23" s="500">
        <f t="shared" ref="F23:F28" si="17">D23*E23</f>
        <v>899835.65187148796</v>
      </c>
      <c r="I23" s="498" t="str">
        <f>A23</f>
        <v xml:space="preserve">Residential </v>
      </c>
      <c r="J23" s="482">
        <f>B2*'2014 COP Forecast'!AA5</f>
        <v>0</v>
      </c>
      <c r="K23" s="477">
        <f>C23</f>
        <v>1.0481</v>
      </c>
      <c r="L23" s="499">
        <f>J23*K23</f>
        <v>0</v>
      </c>
      <c r="M23" s="534">
        <f>0.02065+0.05936</f>
        <v>8.0009999999999998E-2</v>
      </c>
      <c r="N23" s="500">
        <f t="shared" ref="N23:N28" si="18">L23*M23</f>
        <v>0</v>
      </c>
    </row>
    <row r="24" spans="1:14" x14ac:dyDescent="0.2">
      <c r="A24" s="498" t="str">
        <f t="shared" si="13"/>
        <v>General Service &lt; 50 kW</v>
      </c>
      <c r="B24" s="476">
        <f t="shared" si="14"/>
        <v>6214274.2680543102</v>
      </c>
      <c r="C24" s="477">
        <f t="shared" si="15"/>
        <v>1.0481</v>
      </c>
      <c r="D24" s="499">
        <f t="shared" si="16"/>
        <v>6513180.8603477227</v>
      </c>
      <c r="E24" s="534">
        <f>'2013 COP Forecast'!E24</f>
        <v>8.0009999999999998E-2</v>
      </c>
      <c r="F24" s="500">
        <f t="shared" si="17"/>
        <v>521119.6006364213</v>
      </c>
      <c r="I24" s="498" t="str">
        <f t="shared" ref="I24:I28" si="19">A24</f>
        <v>General Service &lt; 50 kW</v>
      </c>
      <c r="J24" s="482">
        <f>B3*'2014 COP Forecast'!AA6</f>
        <v>0</v>
      </c>
      <c r="K24" s="477">
        <f t="shared" ref="K24:K28" si="20">C24</f>
        <v>1.0481</v>
      </c>
      <c r="L24" s="499">
        <f t="shared" ref="L24:L28" si="21">J24*K24</f>
        <v>0</v>
      </c>
      <c r="M24" s="534">
        <f t="shared" ref="M24:M28" si="22">0.02065+0.05936</f>
        <v>8.0009999999999998E-2</v>
      </c>
      <c r="N24" s="500">
        <f t="shared" si="18"/>
        <v>0</v>
      </c>
    </row>
    <row r="25" spans="1:14" x14ac:dyDescent="0.2">
      <c r="A25" s="498" t="str">
        <f t="shared" si="13"/>
        <v>General Service &gt; 50</v>
      </c>
      <c r="B25" s="476">
        <f t="shared" si="14"/>
        <v>112492636.26735289</v>
      </c>
      <c r="C25" s="477">
        <f t="shared" si="15"/>
        <v>1.0481</v>
      </c>
      <c r="D25" s="499">
        <f t="shared" si="16"/>
        <v>117903532.07181257</v>
      </c>
      <c r="E25" s="534">
        <f>'2013 COP Forecast'!E25</f>
        <v>8.0009999999999998E-2</v>
      </c>
      <c r="F25" s="500">
        <f t="shared" si="17"/>
        <v>9433461.6010657232</v>
      </c>
      <c r="I25" s="498" t="str">
        <f t="shared" si="19"/>
        <v>General Service &gt; 50</v>
      </c>
      <c r="J25" s="482">
        <f>B4*'2014 COP Forecast'!AA7</f>
        <v>93691123.3509821</v>
      </c>
      <c r="K25" s="477">
        <f t="shared" si="20"/>
        <v>1.0481</v>
      </c>
      <c r="L25" s="499">
        <f t="shared" si="21"/>
        <v>98197666.384164348</v>
      </c>
      <c r="M25" s="534">
        <f t="shared" si="22"/>
        <v>8.0009999999999998E-2</v>
      </c>
      <c r="N25" s="500">
        <f t="shared" si="18"/>
        <v>7856795.2873969888</v>
      </c>
    </row>
    <row r="26" spans="1:14" x14ac:dyDescent="0.2">
      <c r="A26" s="498" t="str">
        <f t="shared" si="13"/>
        <v xml:space="preserve">Streetlights Connections </v>
      </c>
      <c r="B26" s="476">
        <f t="shared" si="14"/>
        <v>1586582.4721718277</v>
      </c>
      <c r="C26" s="477">
        <f t="shared" si="15"/>
        <v>1.0481</v>
      </c>
      <c r="D26" s="499">
        <f t="shared" si="16"/>
        <v>1662897.0890832928</v>
      </c>
      <c r="E26" s="534">
        <f>'2013 COP Forecast'!E26</f>
        <v>8.0009999999999998E-2</v>
      </c>
      <c r="F26" s="500">
        <f t="shared" si="17"/>
        <v>133048.39609755424</v>
      </c>
      <c r="I26" s="498" t="str">
        <f t="shared" si="19"/>
        <v xml:space="preserve">Streetlights Connections </v>
      </c>
      <c r="J26" s="482">
        <f>B5*'2014 COP Forecast'!AA8</f>
        <v>1586582.3644943382</v>
      </c>
      <c r="K26" s="477">
        <f t="shared" si="20"/>
        <v>1.0481</v>
      </c>
      <c r="L26" s="499">
        <f t="shared" si="21"/>
        <v>1662896.9762265158</v>
      </c>
      <c r="M26" s="534">
        <f t="shared" si="22"/>
        <v>8.0009999999999998E-2</v>
      </c>
      <c r="N26" s="500">
        <f t="shared" si="18"/>
        <v>133048.38706788354</v>
      </c>
    </row>
    <row r="27" spans="1:14" x14ac:dyDescent="0.2">
      <c r="A27" s="498" t="str">
        <f t="shared" si="13"/>
        <v>Sentinel Lights Connections</v>
      </c>
      <c r="B27" s="476">
        <f t="shared" si="14"/>
        <v>463.03272218609345</v>
      </c>
      <c r="C27" s="477">
        <f t="shared" si="15"/>
        <v>1.0481</v>
      </c>
      <c r="D27" s="499">
        <f t="shared" si="16"/>
        <v>485.30459612324455</v>
      </c>
      <c r="E27" s="534">
        <f>'2013 COP Forecast'!E27</f>
        <v>8.0009999999999998E-2</v>
      </c>
      <c r="F27" s="500">
        <f t="shared" si="17"/>
        <v>38.829220735820797</v>
      </c>
      <c r="I27" s="498" t="str">
        <f t="shared" si="19"/>
        <v>Sentinel Lights Connections</v>
      </c>
      <c r="J27" s="482">
        <f>B6*'2014 COP Forecast'!AA9</f>
        <v>0</v>
      </c>
      <c r="K27" s="477">
        <f t="shared" si="20"/>
        <v>1.0481</v>
      </c>
      <c r="L27" s="499">
        <f t="shared" si="21"/>
        <v>0</v>
      </c>
      <c r="M27" s="534">
        <f t="shared" si="22"/>
        <v>8.0009999999999998E-2</v>
      </c>
      <c r="N27" s="500">
        <f t="shared" si="18"/>
        <v>0</v>
      </c>
    </row>
    <row r="28" spans="1:14" x14ac:dyDescent="0.2">
      <c r="A28" s="498" t="str">
        <f t="shared" si="13"/>
        <v>Unmetered Loads Connections</v>
      </c>
      <c r="B28" s="476">
        <f t="shared" si="14"/>
        <v>0</v>
      </c>
      <c r="C28" s="477">
        <f t="shared" si="15"/>
        <v>1.0481</v>
      </c>
      <c r="D28" s="499">
        <f t="shared" si="16"/>
        <v>0</v>
      </c>
      <c r="E28" s="534">
        <f>'2013 COP Forecast'!E28</f>
        <v>8.0009999999999998E-2</v>
      </c>
      <c r="F28" s="500">
        <f t="shared" si="17"/>
        <v>0</v>
      </c>
      <c r="I28" s="498" t="str">
        <f t="shared" si="19"/>
        <v>Unmetered Loads Connections</v>
      </c>
      <c r="J28" s="482">
        <f>B7*'2014 COP Forecast'!AA10</f>
        <v>0</v>
      </c>
      <c r="K28" s="477">
        <f t="shared" si="20"/>
        <v>1.0481</v>
      </c>
      <c r="L28" s="499">
        <f t="shared" si="21"/>
        <v>0</v>
      </c>
      <c r="M28" s="534">
        <f t="shared" si="22"/>
        <v>8.0009999999999998E-2</v>
      </c>
      <c r="N28" s="500">
        <f t="shared" si="18"/>
        <v>0</v>
      </c>
    </row>
    <row r="29" spans="1:14" x14ac:dyDescent="0.2">
      <c r="A29" s="490" t="s">
        <v>172</v>
      </c>
      <c r="B29" s="491">
        <f>SUM(B23:B28)</f>
        <v>131024363.28284939</v>
      </c>
      <c r="C29" s="497"/>
      <c r="D29" s="491">
        <f>SUM(D23:D28)</f>
        <v>137326635.15675443</v>
      </c>
      <c r="E29" s="502"/>
      <c r="F29" s="503">
        <f>SUM(F23:F28)</f>
        <v>10987504.078891922</v>
      </c>
      <c r="I29" s="490" t="s">
        <v>172</v>
      </c>
      <c r="J29" s="491">
        <f>SUM(J23:J28)</f>
        <v>95277705.715476438</v>
      </c>
      <c r="K29" s="497"/>
      <c r="L29" s="491">
        <f>SUM(L23:L28)</f>
        <v>99860563.360390857</v>
      </c>
      <c r="M29" s="502"/>
      <c r="N29" s="503">
        <f>SUM(N23:N28)</f>
        <v>7989843.6744648721</v>
      </c>
    </row>
    <row r="31" spans="1:14" x14ac:dyDescent="0.2">
      <c r="A31" s="509" t="s">
        <v>186</v>
      </c>
      <c r="B31" s="510"/>
      <c r="C31" s="511" t="s">
        <v>184</v>
      </c>
      <c r="D31" s="512"/>
      <c r="E31" s="513"/>
      <c r="F31" s="510"/>
      <c r="I31" s="293">
        <f>9903112+10972353</f>
        <v>20875465</v>
      </c>
    </row>
    <row r="32" spans="1:14" x14ac:dyDescent="0.2">
      <c r="A32" s="497" t="s">
        <v>179</v>
      </c>
      <c r="B32" s="514"/>
      <c r="C32" s="515" t="s">
        <v>183</v>
      </c>
      <c r="D32" s="807">
        <v>2014</v>
      </c>
      <c r="E32" s="802"/>
      <c r="F32" s="803"/>
    </row>
    <row r="33" spans="1:6" x14ac:dyDescent="0.2">
      <c r="A33" s="516" t="str">
        <f t="shared" ref="A33:A38" si="23">A23</f>
        <v xml:space="preserve">Residential </v>
      </c>
      <c r="B33" s="499"/>
      <c r="C33" s="517" t="s">
        <v>138</v>
      </c>
      <c r="D33" s="499">
        <f>D13+D23</f>
        <v>94147692.226776302</v>
      </c>
      <c r="E33" s="535">
        <f>'[21]13. Final 2014 RTS Rates'!$F$26</f>
        <v>6.9329011024536254E-3</v>
      </c>
      <c r="F33" s="500">
        <f>D33*E33</f>
        <v>652716.63923248206</v>
      </c>
    </row>
    <row r="34" spans="1:6" x14ac:dyDescent="0.2">
      <c r="A34" s="516" t="str">
        <f t="shared" si="23"/>
        <v>General Service &lt; 50 kW</v>
      </c>
      <c r="B34" s="499"/>
      <c r="C34" s="517" t="s">
        <v>138</v>
      </c>
      <c r="D34" s="499">
        <f>D14+D24</f>
        <v>39092336.003406681</v>
      </c>
      <c r="E34" s="535">
        <f>'[21]13. Final 2014 RTS Rates'!F27</f>
        <v>6.3996010176495012E-3</v>
      </c>
      <c r="F34" s="500">
        <f t="shared" ref="F34:F38" si="24">D34*E34</f>
        <v>250175.35326969763</v>
      </c>
    </row>
    <row r="35" spans="1:6" x14ac:dyDescent="0.2">
      <c r="A35" s="516" t="str">
        <f t="shared" si="23"/>
        <v>General Service &gt; 50</v>
      </c>
      <c r="B35" s="499"/>
      <c r="C35" s="517" t="s">
        <v>182</v>
      </c>
      <c r="D35" s="499">
        <f>C4</f>
        <v>290779.26529642585</v>
      </c>
      <c r="E35" s="535">
        <f>'[21]13. Final 2014 RTS Rates'!F28</f>
        <v>2.6187167364221762</v>
      </c>
      <c r="F35" s="500">
        <f t="shared" si="24"/>
        <v>761468.52863629442</v>
      </c>
    </row>
    <row r="36" spans="1:6" x14ac:dyDescent="0.2">
      <c r="A36" s="516" t="str">
        <f t="shared" si="23"/>
        <v xml:space="preserve">Streetlights Connections </v>
      </c>
      <c r="B36" s="499"/>
      <c r="C36" s="517" t="s">
        <v>182</v>
      </c>
      <c r="D36" s="499">
        <f>C5</f>
        <v>5229.9860393372019</v>
      </c>
      <c r="E36" s="535">
        <f>'[21]13. Final 2014 RTS Rates'!$F$29</f>
        <v>1.9749168740466359</v>
      </c>
      <c r="F36" s="500">
        <f t="shared" si="24"/>
        <v>10328.787680115372</v>
      </c>
    </row>
    <row r="37" spans="1:6" x14ac:dyDescent="0.2">
      <c r="A37" s="516" t="str">
        <f t="shared" si="23"/>
        <v>Sentinel Lights Connections</v>
      </c>
      <c r="B37" s="499"/>
      <c r="C37" s="517" t="s">
        <v>182</v>
      </c>
      <c r="D37" s="499">
        <f>C6</f>
        <v>338.86175995396366</v>
      </c>
      <c r="E37" s="535">
        <f>'[21]13. Final 2014 RTS Rates'!$F$30</f>
        <v>1.9848362556239931</v>
      </c>
      <c r="F37" s="500">
        <f t="shared" si="24"/>
        <v>672.58510680118161</v>
      </c>
    </row>
    <row r="38" spans="1:6" x14ac:dyDescent="0.2">
      <c r="A38" s="516" t="str">
        <f t="shared" si="23"/>
        <v>Unmetered Loads Connections</v>
      </c>
      <c r="B38" s="499"/>
      <c r="C38" s="517" t="s">
        <v>138</v>
      </c>
      <c r="D38" s="499">
        <f>D18+D28</f>
        <v>375538.9156758656</v>
      </c>
      <c r="E38" s="535">
        <f>'[21]13. Final 2014 RTS Rates'!$F$31</f>
        <v>6.3996010176495021E-3</v>
      </c>
      <c r="F38" s="500">
        <f t="shared" si="24"/>
        <v>2403.29922692626</v>
      </c>
    </row>
    <row r="39" spans="1:6" x14ac:dyDescent="0.2">
      <c r="A39" s="490" t="s">
        <v>172</v>
      </c>
      <c r="B39" s="491"/>
      <c r="C39" s="497"/>
      <c r="D39" s="491"/>
      <c r="E39" s="502"/>
      <c r="F39" s="518">
        <f>SUM(F33:F38)</f>
        <v>1677765.1931523168</v>
      </c>
    </row>
    <row r="41" spans="1:6" x14ac:dyDescent="0.2">
      <c r="A41" s="509" t="s">
        <v>185</v>
      </c>
      <c r="B41" s="510"/>
      <c r="C41" s="519" t="s">
        <v>184</v>
      </c>
      <c r="D41" s="512"/>
      <c r="E41" s="513"/>
      <c r="F41" s="510"/>
    </row>
    <row r="42" spans="1:6" x14ac:dyDescent="0.2">
      <c r="A42" s="497" t="s">
        <v>179</v>
      </c>
      <c r="B42" s="514"/>
      <c r="C42" s="520" t="s">
        <v>183</v>
      </c>
      <c r="D42" s="807">
        <v>2014</v>
      </c>
      <c r="E42" s="802"/>
      <c r="F42" s="803"/>
    </row>
    <row r="43" spans="1:6" x14ac:dyDescent="0.2">
      <c r="A43" s="516" t="str">
        <f t="shared" ref="A43:A48" si="25">A33</f>
        <v xml:space="preserve">Residential </v>
      </c>
      <c r="B43" s="499"/>
      <c r="C43" s="517" t="str">
        <f t="shared" ref="C43:D48" si="26">C33</f>
        <v>kWh</v>
      </c>
      <c r="D43" s="499">
        <f t="shared" si="26"/>
        <v>94147692.226776302</v>
      </c>
      <c r="E43" s="535">
        <f>'[21]13. Final 2014 RTS Rates'!H26</f>
        <v>3.4069155934811405E-3</v>
      </c>
      <c r="F43" s="500">
        <f t="shared" ref="F43:F48" si="27">D43*E43</f>
        <v>320753.24073766737</v>
      </c>
    </row>
    <row r="44" spans="1:6" x14ac:dyDescent="0.2">
      <c r="A44" s="516" t="str">
        <f t="shared" si="25"/>
        <v>General Service &lt; 50 kW</v>
      </c>
      <c r="B44" s="499"/>
      <c r="C44" s="517" t="str">
        <f t="shared" si="26"/>
        <v>kWh</v>
      </c>
      <c r="D44" s="499">
        <f t="shared" si="26"/>
        <v>39092336.003406681</v>
      </c>
      <c r="E44" s="535">
        <f>'[21]13. Final 2014 RTS Rates'!H27</f>
        <v>3.1063053940563337E-3</v>
      </c>
      <c r="F44" s="500">
        <f t="shared" si="27"/>
        <v>121432.73419364479</v>
      </c>
    </row>
    <row r="45" spans="1:6" x14ac:dyDescent="0.2">
      <c r="A45" s="516" t="str">
        <f t="shared" si="25"/>
        <v>General Service &gt; 50</v>
      </c>
      <c r="B45" s="499"/>
      <c r="C45" s="517" t="str">
        <f t="shared" si="26"/>
        <v>kW</v>
      </c>
      <c r="D45" s="499">
        <f t="shared" si="26"/>
        <v>290779.26529642585</v>
      </c>
      <c r="E45" s="535">
        <f>'[21]13. Final 2014 RTS Rates'!H28</f>
        <v>1.2308985632447742</v>
      </c>
      <c r="F45" s="500">
        <f t="shared" si="27"/>
        <v>357919.77987474162</v>
      </c>
    </row>
    <row r="46" spans="1:6" x14ac:dyDescent="0.2">
      <c r="A46" s="516" t="str">
        <f t="shared" si="25"/>
        <v xml:space="preserve">Streetlights Connections </v>
      </c>
      <c r="B46" s="499"/>
      <c r="C46" s="517" t="str">
        <f t="shared" si="26"/>
        <v>kW</v>
      </c>
      <c r="D46" s="499">
        <f t="shared" si="26"/>
        <v>5229.9860393372019</v>
      </c>
      <c r="E46" s="535">
        <f>'[21]13. Final 2014 RTS Rates'!H29</f>
        <v>0.9514312811795127</v>
      </c>
      <c r="F46" s="500">
        <f t="shared" si="27"/>
        <v>4975.9723179575594</v>
      </c>
    </row>
    <row r="47" spans="1:6" x14ac:dyDescent="0.2">
      <c r="A47" s="516" t="str">
        <f t="shared" si="25"/>
        <v>Sentinel Lights Connections</v>
      </c>
      <c r="B47" s="499"/>
      <c r="C47" s="517" t="str">
        <f t="shared" si="26"/>
        <v>kW</v>
      </c>
      <c r="D47" s="499">
        <f t="shared" si="26"/>
        <v>338.86175995396366</v>
      </c>
      <c r="E47" s="535">
        <f>'[21]13. Final 2014 RTS Rates'!H30</f>
        <v>0.97157216454097473</v>
      </c>
      <c r="F47" s="500">
        <f t="shared" si="27"/>
        <v>329.22865359863664</v>
      </c>
    </row>
    <row r="48" spans="1:6" x14ac:dyDescent="0.2">
      <c r="A48" s="516" t="str">
        <f t="shared" si="25"/>
        <v>Unmetered Loads Connections</v>
      </c>
      <c r="B48" s="499"/>
      <c r="C48" s="517" t="str">
        <f t="shared" si="26"/>
        <v>kWh</v>
      </c>
      <c r="D48" s="499">
        <f t="shared" si="26"/>
        <v>375538.9156758656</v>
      </c>
      <c r="E48" s="535">
        <f>'[21]13. Final 2014 RTS Rates'!H31</f>
        <v>3.1063053940563342E-3</v>
      </c>
      <c r="F48" s="500">
        <f t="shared" si="27"/>
        <v>1166.5385594420081</v>
      </c>
    </row>
    <row r="49" spans="1:6" x14ac:dyDescent="0.2">
      <c r="A49" s="490" t="s">
        <v>172</v>
      </c>
      <c r="B49" s="491"/>
      <c r="C49" s="497"/>
      <c r="D49" s="491"/>
      <c r="E49" s="502"/>
      <c r="F49" s="518">
        <f>SUM(F43:F48)</f>
        <v>806577.49433705211</v>
      </c>
    </row>
    <row r="51" spans="1:6" x14ac:dyDescent="0.2">
      <c r="A51" s="509" t="s">
        <v>181</v>
      </c>
      <c r="B51" s="510"/>
      <c r="C51" s="519" t="s">
        <v>184</v>
      </c>
      <c r="D51" s="512"/>
      <c r="E51" s="513"/>
      <c r="F51" s="510"/>
    </row>
    <row r="52" spans="1:6" x14ac:dyDescent="0.2">
      <c r="A52" s="497" t="s">
        <v>179</v>
      </c>
      <c r="B52" s="514"/>
      <c r="C52" s="520" t="s">
        <v>183</v>
      </c>
      <c r="D52" s="807">
        <v>2014</v>
      </c>
      <c r="E52" s="802"/>
      <c r="F52" s="808"/>
    </row>
    <row r="53" spans="1:6" x14ac:dyDescent="0.2">
      <c r="A53" s="516" t="str">
        <f t="shared" ref="A53:A58" si="28">A43</f>
        <v xml:space="preserve">Residential </v>
      </c>
      <c r="B53" s="499"/>
      <c r="C53" s="517" t="str">
        <f t="shared" ref="C53" si="29">C43</f>
        <v>kWh</v>
      </c>
      <c r="D53" s="499">
        <f>D43</f>
        <v>94147692.226776302</v>
      </c>
      <c r="E53" s="535">
        <f>'2013 COP Forecast'!E53</f>
        <v>4.4000000000000003E-3</v>
      </c>
      <c r="F53" s="500">
        <f t="shared" ref="F53:F58" si="30">D53*E53</f>
        <v>414249.84579781577</v>
      </c>
    </row>
    <row r="54" spans="1:6" x14ac:dyDescent="0.2">
      <c r="A54" s="516" t="str">
        <f t="shared" si="28"/>
        <v>General Service &lt; 50 kW</v>
      </c>
      <c r="B54" s="499"/>
      <c r="C54" s="517" t="str">
        <f t="shared" ref="C54" si="31">C44</f>
        <v>kWh</v>
      </c>
      <c r="D54" s="499">
        <f t="shared" ref="D54:D58" si="32">D44</f>
        <v>39092336.003406681</v>
      </c>
      <c r="E54" s="535">
        <f>'2013 COP Forecast'!E54</f>
        <v>4.4000000000000003E-3</v>
      </c>
      <c r="F54" s="500">
        <f t="shared" si="30"/>
        <v>172006.27841498941</v>
      </c>
    </row>
    <row r="55" spans="1:6" x14ac:dyDescent="0.2">
      <c r="A55" s="516" t="str">
        <f t="shared" si="28"/>
        <v>General Service &gt; 50</v>
      </c>
      <c r="B55" s="499"/>
      <c r="C55" s="517" t="s">
        <v>138</v>
      </c>
      <c r="D55" s="499">
        <f>B4</f>
        <v>120512919.91850819</v>
      </c>
      <c r="E55" s="535">
        <f>'2013 COP Forecast'!E55</f>
        <v>4.4000000000000003E-3</v>
      </c>
      <c r="F55" s="500">
        <f t="shared" si="30"/>
        <v>530256.84764143603</v>
      </c>
    </row>
    <row r="56" spans="1:6" x14ac:dyDescent="0.2">
      <c r="A56" s="516" t="str">
        <f t="shared" si="28"/>
        <v xml:space="preserve">Streetlights Connections </v>
      </c>
      <c r="B56" s="499"/>
      <c r="C56" s="517" t="s">
        <v>138</v>
      </c>
      <c r="D56" s="499">
        <f>B5</f>
        <v>1861617.8068174501</v>
      </c>
      <c r="E56" s="535">
        <f>'2013 COP Forecast'!E56</f>
        <v>4.4000000000000003E-3</v>
      </c>
      <c r="F56" s="500">
        <f t="shared" si="30"/>
        <v>8191.118349996781</v>
      </c>
    </row>
    <row r="57" spans="1:6" x14ac:dyDescent="0.2">
      <c r="A57" s="516" t="str">
        <f t="shared" si="28"/>
        <v>Sentinel Lights Connections</v>
      </c>
      <c r="B57" s="499"/>
      <c r="C57" s="517" t="s">
        <v>138</v>
      </c>
      <c r="D57" s="499">
        <f>B6</f>
        <v>122535.77700319083</v>
      </c>
      <c r="E57" s="535">
        <f>'2013 COP Forecast'!E57</f>
        <v>4.4000000000000003E-3</v>
      </c>
      <c r="F57" s="500">
        <f t="shared" si="30"/>
        <v>539.15741881403972</v>
      </c>
    </row>
    <row r="58" spans="1:6" x14ac:dyDescent="0.2">
      <c r="A58" s="516" t="str">
        <f t="shared" si="28"/>
        <v>Unmetered Loads Connections</v>
      </c>
      <c r="B58" s="499"/>
      <c r="C58" s="517" t="str">
        <f t="shared" ref="C58" si="33">C48</f>
        <v>kWh</v>
      </c>
      <c r="D58" s="499">
        <f t="shared" si="32"/>
        <v>375538.9156758656</v>
      </c>
      <c r="E58" s="535">
        <f>'2013 COP Forecast'!E58</f>
        <v>4.4000000000000003E-3</v>
      </c>
      <c r="F58" s="500">
        <f t="shared" si="30"/>
        <v>1652.3712289738087</v>
      </c>
    </row>
    <row r="59" spans="1:6" x14ac:dyDescent="0.2">
      <c r="A59" s="490" t="s">
        <v>172</v>
      </c>
      <c r="B59" s="491"/>
      <c r="C59" s="497"/>
      <c r="D59" s="491"/>
      <c r="E59" s="535">
        <f>'2013 COP Forecast'!E59</f>
        <v>0</v>
      </c>
      <c r="F59" s="518">
        <f>SUM(F53:F58)</f>
        <v>1126895.6188520258</v>
      </c>
    </row>
    <row r="60" spans="1:6" x14ac:dyDescent="0.2">
      <c r="D60" s="540"/>
    </row>
    <row r="61" spans="1:6" x14ac:dyDescent="0.2">
      <c r="A61" s="509" t="s">
        <v>180</v>
      </c>
      <c r="B61" s="510"/>
      <c r="C61" s="519" t="s">
        <v>184</v>
      </c>
      <c r="D61" s="512"/>
      <c r="E61" s="513"/>
      <c r="F61" s="510"/>
    </row>
    <row r="62" spans="1:6" x14ac:dyDescent="0.2">
      <c r="A62" s="497" t="s">
        <v>179</v>
      </c>
      <c r="B62" s="514"/>
      <c r="C62" s="520" t="s">
        <v>183</v>
      </c>
      <c r="D62" s="801">
        <v>2014</v>
      </c>
      <c r="E62" s="802"/>
      <c r="F62" s="803"/>
    </row>
    <row r="63" spans="1:6" x14ac:dyDescent="0.2">
      <c r="A63" s="516" t="str">
        <f t="shared" ref="A63:A68" si="34">A53</f>
        <v xml:space="preserve">Residential </v>
      </c>
      <c r="B63" s="499"/>
      <c r="C63" s="517" t="str">
        <f t="shared" ref="C63" si="35">C53</f>
        <v>kWh</v>
      </c>
      <c r="D63" s="499">
        <f t="shared" ref="D63:D68" si="36">D53</f>
        <v>94147692.226776302</v>
      </c>
      <c r="E63" s="535">
        <f>'2013 COP Forecast'!E63</f>
        <v>1.1999999999999999E-3</v>
      </c>
      <c r="F63" s="500">
        <f t="shared" ref="F63:F68" si="37">D63*E63</f>
        <v>112977.23067213155</v>
      </c>
    </row>
    <row r="64" spans="1:6" x14ac:dyDescent="0.2">
      <c r="A64" s="516" t="str">
        <f t="shared" si="34"/>
        <v>General Service &lt; 50 kW</v>
      </c>
      <c r="B64" s="499"/>
      <c r="C64" s="517" t="str">
        <f t="shared" ref="C64" si="38">C54</f>
        <v>kWh</v>
      </c>
      <c r="D64" s="499">
        <f t="shared" si="36"/>
        <v>39092336.003406681</v>
      </c>
      <c r="E64" s="535">
        <f>'2013 COP Forecast'!E64</f>
        <v>1.1999999999999999E-3</v>
      </c>
      <c r="F64" s="500">
        <f t="shared" si="37"/>
        <v>46910.803204088013</v>
      </c>
    </row>
    <row r="65" spans="1:7" x14ac:dyDescent="0.2">
      <c r="A65" s="516" t="str">
        <f t="shared" si="34"/>
        <v>General Service &gt; 50</v>
      </c>
      <c r="B65" s="499"/>
      <c r="C65" s="517" t="str">
        <f t="shared" ref="C65" si="39">C55</f>
        <v>kWh</v>
      </c>
      <c r="D65" s="499">
        <f t="shared" si="36"/>
        <v>120512919.91850819</v>
      </c>
      <c r="E65" s="535">
        <f>'2013 COP Forecast'!E65</f>
        <v>1.1999999999999999E-3</v>
      </c>
      <c r="F65" s="500">
        <f t="shared" si="37"/>
        <v>144615.50390220981</v>
      </c>
    </row>
    <row r="66" spans="1:7" x14ac:dyDescent="0.2">
      <c r="A66" s="516" t="str">
        <f t="shared" si="34"/>
        <v xml:space="preserve">Streetlights Connections </v>
      </c>
      <c r="B66" s="499"/>
      <c r="C66" s="517" t="str">
        <f t="shared" ref="C66" si="40">C56</f>
        <v>kWh</v>
      </c>
      <c r="D66" s="499">
        <f t="shared" si="36"/>
        <v>1861617.8068174501</v>
      </c>
      <c r="E66" s="535">
        <f>'2013 COP Forecast'!E66</f>
        <v>1.1999999999999999E-3</v>
      </c>
      <c r="F66" s="500">
        <f t="shared" si="37"/>
        <v>2233.9413681809401</v>
      </c>
    </row>
    <row r="67" spans="1:7" x14ac:dyDescent="0.2">
      <c r="A67" s="516" t="str">
        <f t="shared" si="34"/>
        <v>Sentinel Lights Connections</v>
      </c>
      <c r="B67" s="499"/>
      <c r="C67" s="517" t="str">
        <f t="shared" ref="C67" si="41">C57</f>
        <v>kWh</v>
      </c>
      <c r="D67" s="499">
        <f t="shared" si="36"/>
        <v>122535.77700319083</v>
      </c>
      <c r="E67" s="535">
        <f>'2013 COP Forecast'!E67</f>
        <v>1.1999999999999999E-3</v>
      </c>
      <c r="F67" s="500">
        <f t="shared" si="37"/>
        <v>147.04293240382898</v>
      </c>
    </row>
    <row r="68" spans="1:7" x14ac:dyDescent="0.2">
      <c r="A68" s="516" t="str">
        <f t="shared" si="34"/>
        <v>Unmetered Loads Connections</v>
      </c>
      <c r="B68" s="499"/>
      <c r="C68" s="517" t="str">
        <f t="shared" ref="C68" si="42">C58</f>
        <v>kWh</v>
      </c>
      <c r="D68" s="499">
        <f t="shared" si="36"/>
        <v>375538.9156758656</v>
      </c>
      <c r="E68" s="535">
        <f>'2013 COP Forecast'!E68</f>
        <v>1.1999999999999999E-3</v>
      </c>
      <c r="F68" s="500">
        <f t="shared" si="37"/>
        <v>450.64669881103868</v>
      </c>
    </row>
    <row r="69" spans="1:7" x14ac:dyDescent="0.2">
      <c r="A69" s="490" t="s">
        <v>172</v>
      </c>
      <c r="B69" s="491"/>
      <c r="C69" s="497"/>
      <c r="D69" s="491"/>
      <c r="E69" s="502"/>
      <c r="F69" s="518">
        <f>SUM(F63:F68)</f>
        <v>307335.16877782519</v>
      </c>
    </row>
    <row r="71" spans="1:7" x14ac:dyDescent="0.2">
      <c r="A71" s="509" t="s">
        <v>350</v>
      </c>
      <c r="B71" s="510"/>
      <c r="C71" s="519" t="s">
        <v>184</v>
      </c>
      <c r="D71" s="512"/>
      <c r="E71" s="513"/>
      <c r="F71" s="510"/>
    </row>
    <row r="72" spans="1:7" x14ac:dyDescent="0.2">
      <c r="A72" s="497" t="s">
        <v>179</v>
      </c>
      <c r="B72" s="514"/>
      <c r="C72" s="520" t="s">
        <v>183</v>
      </c>
      <c r="D72" s="801">
        <v>2013</v>
      </c>
      <c r="E72" s="802"/>
      <c r="F72" s="803"/>
    </row>
    <row r="73" spans="1:7" x14ac:dyDescent="0.2">
      <c r="A73" s="485" t="s">
        <v>94</v>
      </c>
      <c r="B73" s="514"/>
      <c r="C73" s="517" t="s">
        <v>138</v>
      </c>
      <c r="D73" s="521">
        <f>B2</f>
        <v>89827012.905997798</v>
      </c>
      <c r="E73" s="736">
        <f>'[22]Low Voltage Rates'!F6</f>
        <v>3.7268770120381838E-3</v>
      </c>
      <c r="F73" s="500">
        <f t="shared" ref="F73:F78" si="43">D73*E73</f>
        <v>334774.22945942043</v>
      </c>
      <c r="G73" s="293" t="s">
        <v>478</v>
      </c>
    </row>
    <row r="74" spans="1:7" x14ac:dyDescent="0.2">
      <c r="A74" s="485" t="s">
        <v>308</v>
      </c>
      <c r="B74" s="514"/>
      <c r="C74" s="517" t="s">
        <v>138</v>
      </c>
      <c r="D74" s="521">
        <f>B3</f>
        <v>37298288.334516436</v>
      </c>
      <c r="E74" s="736">
        <f>'[22]Low Voltage Rates'!F7</f>
        <v>1.3951524795321531E-3</v>
      </c>
      <c r="F74" s="500">
        <f t="shared" si="43"/>
        <v>52036.799452205785</v>
      </c>
    </row>
    <row r="75" spans="1:7" x14ac:dyDescent="0.2">
      <c r="A75" s="485" t="s">
        <v>309</v>
      </c>
      <c r="B75" s="514"/>
      <c r="C75" s="517" t="str">
        <f t="shared" ref="C75:C77" si="44">C45</f>
        <v>kW</v>
      </c>
      <c r="D75" s="521">
        <f>C4</f>
        <v>290779.26529642585</v>
      </c>
      <c r="E75" s="736">
        <f>'[22]Low Voltage Rates'!$G$8</f>
        <v>4.3359435287798733E-3</v>
      </c>
      <c r="F75" s="500">
        <f t="shared" si="43"/>
        <v>1260.8024736654036</v>
      </c>
    </row>
    <row r="76" spans="1:7" x14ac:dyDescent="0.2">
      <c r="A76" s="516" t="s">
        <v>95</v>
      </c>
      <c r="B76" s="499"/>
      <c r="C76" s="517" t="str">
        <f t="shared" si="44"/>
        <v>kW</v>
      </c>
      <c r="D76" s="521">
        <f t="shared" ref="D76:D77" si="45">C5</f>
        <v>5229.9860393372019</v>
      </c>
      <c r="E76" s="736">
        <f>'[22]Low Voltage Rates'!$G$12</f>
        <v>5.7229524381892384E-5</v>
      </c>
      <c r="F76" s="500">
        <f t="shared" si="43"/>
        <v>0.29930961355520519</v>
      </c>
      <c r="G76" s="293" t="s">
        <v>351</v>
      </c>
    </row>
    <row r="77" spans="1:7" x14ac:dyDescent="0.2">
      <c r="A77" s="516" t="s">
        <v>96</v>
      </c>
      <c r="B77" s="499"/>
      <c r="C77" s="517" t="str">
        <f t="shared" si="44"/>
        <v>kW</v>
      </c>
      <c r="D77" s="521">
        <f t="shared" si="45"/>
        <v>338.86175995396366</v>
      </c>
      <c r="E77" s="736">
        <f>'[22]Low Voltage Rates'!$G$11</f>
        <v>3.9812717902985866E-6</v>
      </c>
      <c r="F77" s="500">
        <f t="shared" si="43"/>
        <v>1.3491007657156467E-3</v>
      </c>
    </row>
    <row r="78" spans="1:7" x14ac:dyDescent="0.2">
      <c r="A78" s="516" t="str">
        <f>A68</f>
        <v>Unmetered Loads Connections</v>
      </c>
      <c r="B78" s="499"/>
      <c r="C78" s="517" t="s">
        <v>138</v>
      </c>
      <c r="D78" s="521">
        <f>B7</f>
        <v>358304.47063816962</v>
      </c>
      <c r="E78" s="736">
        <f>'[22]Low Voltage Rates'!$F$13</f>
        <v>1.5235692870710458E-5</v>
      </c>
      <c r="F78" s="500">
        <f t="shared" si="43"/>
        <v>5.4590168688456453</v>
      </c>
    </row>
    <row r="79" spans="1:7" x14ac:dyDescent="0.2">
      <c r="A79" s="490" t="s">
        <v>172</v>
      </c>
      <c r="B79" s="491"/>
      <c r="C79" s="497"/>
      <c r="D79" s="522"/>
      <c r="E79" s="491"/>
      <c r="F79" s="491">
        <f t="shared" ref="F79" si="46">SUM(F73:F78)</f>
        <v>388077.59106087475</v>
      </c>
      <c r="G79" s="293" t="s">
        <v>352</v>
      </c>
    </row>
    <row r="80" spans="1:7" x14ac:dyDescent="0.2">
      <c r="D80" s="541"/>
    </row>
    <row r="81" spans="1:7" x14ac:dyDescent="0.2">
      <c r="A81" s="523" t="s">
        <v>355</v>
      </c>
      <c r="B81" s="510"/>
      <c r="C81" s="519"/>
      <c r="D81" s="512"/>
      <c r="E81" s="513"/>
      <c r="F81" s="510"/>
    </row>
    <row r="82" spans="1:7" x14ac:dyDescent="0.2">
      <c r="A82" s="497" t="s">
        <v>179</v>
      </c>
      <c r="B82" s="514"/>
      <c r="C82" s="524" t="s">
        <v>356</v>
      </c>
      <c r="D82" s="804">
        <v>2013</v>
      </c>
      <c r="E82" s="805"/>
      <c r="F82" s="806"/>
      <c r="G82" s="293" t="s">
        <v>353</v>
      </c>
    </row>
    <row r="83" spans="1:7" x14ac:dyDescent="0.2">
      <c r="A83" s="485" t="s">
        <v>151</v>
      </c>
      <c r="B83" s="514"/>
      <c r="C83" s="451"/>
      <c r="D83" s="542">
        <f>'2013 COP Forecast'!D83</f>
        <v>10204.255841796119</v>
      </c>
      <c r="E83" s="543">
        <f>'2013 COP Forecast'!E83</f>
        <v>0.79</v>
      </c>
      <c r="F83" s="544">
        <f>D83*E83*12</f>
        <v>96736.345380227212</v>
      </c>
      <c r="G83" s="293" t="s">
        <v>354</v>
      </c>
    </row>
    <row r="84" spans="1:7" x14ac:dyDescent="0.2">
      <c r="A84" s="485" t="s">
        <v>152</v>
      </c>
      <c r="B84" s="514"/>
      <c r="D84" s="542">
        <f>'2013 COP Forecast'!D84</f>
        <v>1124.3042867708639</v>
      </c>
      <c r="E84" s="543">
        <f>'2013 COP Forecast'!E84</f>
        <v>0.79</v>
      </c>
      <c r="F84" s="544">
        <f>D84*E84*12</f>
        <v>10658.40463858779</v>
      </c>
    </row>
    <row r="85" spans="1:7" x14ac:dyDescent="0.2">
      <c r="A85" s="490" t="s">
        <v>172</v>
      </c>
      <c r="B85" s="491"/>
      <c r="C85" s="497"/>
      <c r="D85" s="491"/>
      <c r="E85" s="502"/>
      <c r="F85" s="518">
        <f>SUM(F83:F84)</f>
        <v>107394.750018815</v>
      </c>
    </row>
    <row r="87" spans="1:7" x14ac:dyDescent="0.2">
      <c r="A87" s="526"/>
      <c r="B87" s="527">
        <v>2013</v>
      </c>
    </row>
    <row r="88" spans="1:7" x14ac:dyDescent="0.2">
      <c r="A88" s="526"/>
      <c r="B88" s="528"/>
    </row>
    <row r="89" spans="1:7" x14ac:dyDescent="0.2">
      <c r="A89" s="529" t="s">
        <v>178</v>
      </c>
      <c r="B89" s="530">
        <f>F19+F29</f>
        <v>20876972.139029253</v>
      </c>
    </row>
    <row r="90" spans="1:7" x14ac:dyDescent="0.2">
      <c r="A90" s="529" t="s">
        <v>177</v>
      </c>
      <c r="B90" s="531">
        <f>F59</f>
        <v>1126895.6188520258</v>
      </c>
    </row>
    <row r="91" spans="1:7" x14ac:dyDescent="0.2">
      <c r="A91" s="529" t="s">
        <v>176</v>
      </c>
      <c r="B91" s="531">
        <f>F39</f>
        <v>1677765.1931523168</v>
      </c>
    </row>
    <row r="92" spans="1:7" x14ac:dyDescent="0.2">
      <c r="A92" s="529" t="s">
        <v>175</v>
      </c>
      <c r="B92" s="531">
        <f>F49</f>
        <v>806577.49433705211</v>
      </c>
    </row>
    <row r="93" spans="1:7" x14ac:dyDescent="0.2">
      <c r="A93" s="529" t="s">
        <v>174</v>
      </c>
      <c r="B93" s="531">
        <f>F69</f>
        <v>307335.16877782519</v>
      </c>
    </row>
    <row r="94" spans="1:7" x14ac:dyDescent="0.2">
      <c r="A94" s="529" t="s">
        <v>173</v>
      </c>
      <c r="B94" s="530">
        <f>F79</f>
        <v>388077.59106087475</v>
      </c>
    </row>
    <row r="95" spans="1:7" x14ac:dyDescent="0.2">
      <c r="A95" s="529" t="s">
        <v>357</v>
      </c>
      <c r="B95" s="530">
        <f>F85</f>
        <v>107394.750018815</v>
      </c>
    </row>
    <row r="96" spans="1:7" x14ac:dyDescent="0.2">
      <c r="A96" s="492" t="s">
        <v>172</v>
      </c>
      <c r="B96" s="491">
        <f>SUM(B89:B95)</f>
        <v>25291017.955228161</v>
      </c>
    </row>
  </sheetData>
  <mergeCells count="15">
    <mergeCell ref="J21:J22"/>
    <mergeCell ref="K21:K22"/>
    <mergeCell ref="L22:N22"/>
    <mergeCell ref="B11:B12"/>
    <mergeCell ref="C11:C12"/>
    <mergeCell ref="D12:F12"/>
    <mergeCell ref="B21:B22"/>
    <mergeCell ref="C21:C22"/>
    <mergeCell ref="D22:F22"/>
    <mergeCell ref="D72:F72"/>
    <mergeCell ref="D82:F82"/>
    <mergeCell ref="D32:F32"/>
    <mergeCell ref="D42:F42"/>
    <mergeCell ref="D52:F52"/>
    <mergeCell ref="D62:F62"/>
  </mergeCells>
  <pageMargins left="0.7" right="0.7" top="0.75" bottom="0.75" header="0.3" footer="0.3"/>
  <pageSetup orientation="portrait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A14" sqref="A14"/>
    </sheetView>
  </sheetViews>
  <sheetFormatPr defaultRowHeight="12.75" x14ac:dyDescent="0.2"/>
  <cols>
    <col min="1" max="1" width="13.28515625" bestFit="1" customWidth="1"/>
  </cols>
  <sheetData>
    <row r="1" spans="1:4" ht="13.5" thickBot="1" x14ac:dyDescent="0.25"/>
    <row r="2" spans="1:4" ht="15" x14ac:dyDescent="0.2">
      <c r="A2" s="809" t="s">
        <v>430</v>
      </c>
      <c r="B2" s="810"/>
      <c r="C2" s="811"/>
    </row>
    <row r="3" spans="1:4" ht="15" x14ac:dyDescent="0.2">
      <c r="A3" s="453"/>
      <c r="B3" s="454"/>
      <c r="C3" s="455"/>
    </row>
    <row r="4" spans="1:4" ht="15" x14ac:dyDescent="0.2">
      <c r="A4" s="456" t="s">
        <v>431</v>
      </c>
      <c r="B4" s="452" t="s">
        <v>432</v>
      </c>
      <c r="C4" s="455"/>
    </row>
    <row r="5" spans="1:4" ht="15" x14ac:dyDescent="0.2">
      <c r="A5" s="461">
        <v>1226400</v>
      </c>
      <c r="B5" s="457">
        <v>407.9</v>
      </c>
      <c r="C5" s="455"/>
    </row>
    <row r="6" spans="1:4" ht="15" x14ac:dyDescent="0.2">
      <c r="A6" s="453"/>
      <c r="B6" s="454"/>
      <c r="C6" s="455"/>
    </row>
    <row r="7" spans="1:4" ht="15" x14ac:dyDescent="0.2">
      <c r="A7" s="456" t="s">
        <v>433</v>
      </c>
      <c r="B7" s="452" t="s">
        <v>434</v>
      </c>
      <c r="C7" s="455"/>
    </row>
    <row r="8" spans="1:4" ht="15" x14ac:dyDescent="0.2">
      <c r="A8" s="461">
        <v>1547400</v>
      </c>
      <c r="B8" s="457">
        <v>581.20000000000005</v>
      </c>
      <c r="C8" s="455"/>
    </row>
    <row r="9" spans="1:4" ht="15" x14ac:dyDescent="0.2">
      <c r="A9" s="453"/>
      <c r="B9" s="454"/>
      <c r="C9" s="455"/>
    </row>
    <row r="10" spans="1:4" ht="15" x14ac:dyDescent="0.2">
      <c r="A10" s="456" t="s">
        <v>435</v>
      </c>
      <c r="B10" s="452" t="s">
        <v>436</v>
      </c>
      <c r="C10" s="455"/>
    </row>
    <row r="11" spans="1:4" ht="15" x14ac:dyDescent="0.2">
      <c r="A11" s="461">
        <v>1645200</v>
      </c>
      <c r="B11" s="457">
        <v>591.70000000000005</v>
      </c>
      <c r="C11" s="455"/>
    </row>
    <row r="12" spans="1:4" ht="15.75" thickBot="1" x14ac:dyDescent="0.25">
      <c r="A12" s="458"/>
      <c r="B12" s="459"/>
      <c r="C12" s="460"/>
    </row>
    <row r="14" spans="1:4" ht="15" x14ac:dyDescent="0.25">
      <c r="A14" s="462">
        <f>AVERAGE(A5,A8,A11)</f>
        <v>1473000</v>
      </c>
      <c r="B14" s="463">
        <f>AVERAGE(B5,B8,B11)</f>
        <v>526.93333333333339</v>
      </c>
      <c r="D14" s="72" t="s">
        <v>438</v>
      </c>
    </row>
    <row r="16" spans="1:4" ht="15" x14ac:dyDescent="0.25">
      <c r="A16" s="307" t="s">
        <v>437</v>
      </c>
    </row>
  </sheetData>
  <mergeCells count="1">
    <mergeCell ref="A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18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27" baseType="lpstr">
      <vt:lpstr>Exibit 3 Tables</vt:lpstr>
      <vt:lpstr>Summary</vt:lpstr>
      <vt:lpstr> Purchased Power Model</vt:lpstr>
      <vt:lpstr>Rate Class Energy Model</vt:lpstr>
      <vt:lpstr>Rate Class Customer Model</vt:lpstr>
      <vt:lpstr>Rate Class Load Model</vt:lpstr>
      <vt:lpstr>2013 COP Forecast</vt:lpstr>
      <vt:lpstr>2014 COP Forecast</vt:lpstr>
      <vt:lpstr>Manual Adj Industries</vt:lpstr>
      <vt:lpstr>CDM Data</vt:lpstr>
      <vt:lpstr>Peak hours</vt:lpstr>
      <vt:lpstr>HDD and CDD data</vt:lpstr>
      <vt:lpstr>Customer</vt:lpstr>
      <vt:lpstr>Residential</vt:lpstr>
      <vt:lpstr>GS &lt; 50 kW</vt:lpstr>
      <vt:lpstr>GS &gt; 50 kW </vt:lpstr>
      <vt:lpstr>Sheet1</vt:lpstr>
      <vt:lpstr>Sheet2</vt:lpstr>
      <vt:lpstr>Chart2</vt:lpstr>
      <vt:lpstr>' Purchased Power Model'!Print_Area</vt:lpstr>
      <vt:lpstr>'GS &lt; 50 kW'!Print_Area</vt:lpstr>
      <vt:lpstr>'GS &gt; 50 kW '!Print_Area</vt:lpstr>
      <vt:lpstr>'HDD and CDD data'!Print_Area</vt:lpstr>
      <vt:lpstr>'Rate Class Customer Model'!Print_Area</vt:lpstr>
      <vt:lpstr>'Rate Class Energy Model'!Print_Area</vt:lpstr>
      <vt:lpstr>'Rate Class Load Model'!Print_Area</vt:lpstr>
      <vt:lpstr>Residential!Print_Area</vt:lpstr>
    </vt:vector>
  </TitlesOfParts>
  <Company>London Hydro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kbrooks</cp:lastModifiedBy>
  <cp:lastPrinted>2013-09-20T14:09:34Z</cp:lastPrinted>
  <dcterms:created xsi:type="dcterms:W3CDTF">2008-02-06T18:24:44Z</dcterms:created>
  <dcterms:modified xsi:type="dcterms:W3CDTF">2014-02-12T19:17:05Z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