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24" windowWidth="20100" windowHeight="9264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48" i="1" l="1"/>
  <c r="I47" i="1"/>
  <c r="H46" i="1"/>
  <c r="H48" i="1" s="1"/>
  <c r="G46" i="1"/>
  <c r="G48" i="1" s="1"/>
  <c r="F46" i="1"/>
  <c r="F48" i="1" s="1"/>
  <c r="E46" i="1"/>
  <c r="D46" i="1"/>
  <c r="I45" i="1"/>
  <c r="I44" i="1"/>
  <c r="E48" i="1"/>
  <c r="I43" i="1"/>
  <c r="F50" i="1" l="1"/>
  <c r="F52" i="1" s="1"/>
  <c r="G50" i="1"/>
  <c r="G52" i="1" s="1"/>
  <c r="H50" i="1"/>
  <c r="H52" i="1" s="1"/>
  <c r="I46" i="1"/>
  <c r="D50" i="1"/>
  <c r="E50" i="1"/>
  <c r="I48" i="1"/>
  <c r="C19" i="1"/>
  <c r="I27" i="1"/>
  <c r="I26" i="1"/>
  <c r="I25" i="1"/>
  <c r="I24" i="1"/>
  <c r="I15" i="1"/>
  <c r="I14" i="1"/>
  <c r="I13" i="1"/>
  <c r="H28" i="1"/>
  <c r="G28" i="1"/>
  <c r="F28" i="1"/>
  <c r="E28" i="1"/>
  <c r="D28" i="1"/>
  <c r="H16" i="1"/>
  <c r="G16" i="1"/>
  <c r="F16" i="1"/>
  <c r="E16" i="1"/>
  <c r="D16" i="1"/>
  <c r="D7" i="1" s="1"/>
  <c r="I6" i="1"/>
  <c r="E4" i="1"/>
  <c r="F4" i="1" s="1"/>
  <c r="G4" i="1" s="1"/>
  <c r="H4" i="1" s="1"/>
  <c r="D51" i="1" l="1"/>
  <c r="D52" i="1" s="1"/>
  <c r="I50" i="1"/>
  <c r="E52" i="1"/>
  <c r="H51" i="1"/>
  <c r="F51" i="1"/>
  <c r="E51" i="1"/>
  <c r="G51" i="1"/>
  <c r="I16" i="1"/>
  <c r="I28" i="1"/>
  <c r="D8" i="1"/>
  <c r="E7" i="1" s="1"/>
  <c r="D54" i="1" l="1"/>
  <c r="D55" i="1" s="1"/>
  <c r="D10" i="1"/>
  <c r="D18" i="1"/>
  <c r="D19" i="1" s="1"/>
  <c r="D21" i="1" s="1"/>
  <c r="E9" i="1" s="1"/>
  <c r="E8" i="1" l="1"/>
  <c r="F7" i="1" s="1"/>
  <c r="D20" i="1"/>
  <c r="E10" i="1" l="1"/>
  <c r="E18" i="1" s="1"/>
  <c r="E19" i="1" s="1"/>
  <c r="E54" i="1"/>
  <c r="E55" i="1" s="1"/>
  <c r="D30" i="1"/>
  <c r="D58" i="1" s="1"/>
  <c r="E56" i="1" l="1"/>
  <c r="F8" i="1"/>
  <c r="G7" i="1" s="1"/>
  <c r="E20" i="1"/>
  <c r="E30" i="1" s="1"/>
  <c r="E21" i="1"/>
  <c r="D36" i="1"/>
  <c r="D32" i="1"/>
  <c r="D33" i="1" s="1"/>
  <c r="D34" i="1" s="1"/>
  <c r="F54" i="1" l="1"/>
  <c r="F55" i="1" s="1"/>
  <c r="E36" i="1"/>
  <c r="E37" i="1" s="1"/>
  <c r="E59" i="1" s="1"/>
  <c r="E58" i="1"/>
  <c r="E32" i="1"/>
  <c r="E34" i="1" s="1"/>
  <c r="F9" i="1"/>
  <c r="D37" i="1"/>
  <c r="G8" i="1"/>
  <c r="H7" i="1" s="1"/>
  <c r="F56" i="1" l="1"/>
  <c r="E38" i="1"/>
  <c r="E33" i="1"/>
  <c r="D59" i="1"/>
  <c r="G54" i="1"/>
  <c r="G55" i="1" s="1"/>
  <c r="G56" i="1" s="1"/>
  <c r="F10" i="1"/>
  <c r="F18" i="1" l="1"/>
  <c r="H8" i="1"/>
  <c r="H54" i="1" s="1"/>
  <c r="H55" i="1" s="1"/>
  <c r="H56" i="1" s="1"/>
  <c r="F19" i="1" l="1"/>
  <c r="F20" i="1" s="1"/>
  <c r="F30" i="1" s="1"/>
  <c r="I7" i="1"/>
  <c r="F58" i="1" l="1"/>
  <c r="F32" i="1"/>
  <c r="F34" i="1" s="1"/>
  <c r="F36" i="1"/>
  <c r="F37" i="1" s="1"/>
  <c r="F21" i="1"/>
  <c r="G9" i="1" s="1"/>
  <c r="I8" i="1"/>
  <c r="I54" i="1" s="1"/>
  <c r="F33" i="1" l="1"/>
  <c r="F38" i="1"/>
  <c r="F59" i="1"/>
  <c r="G10" i="1"/>
  <c r="G18" i="1" l="1"/>
  <c r="G19" i="1" l="1"/>
  <c r="G20" i="1" s="1"/>
  <c r="G30" i="1" l="1"/>
  <c r="G58" i="1" s="1"/>
  <c r="G21" i="1"/>
  <c r="H9" i="1" s="1"/>
  <c r="H10" i="1" l="1"/>
  <c r="G32" i="1"/>
  <c r="G34" i="1" s="1"/>
  <c r="G36" i="1"/>
  <c r="G37" i="1" s="1"/>
  <c r="G38" i="1" s="1"/>
  <c r="G59" i="1" l="1"/>
  <c r="G33" i="1"/>
  <c r="H18" i="1"/>
  <c r="H19" i="1" l="1"/>
  <c r="H20" i="1" s="1"/>
  <c r="H30" i="1" l="1"/>
  <c r="H58" i="1" s="1"/>
  <c r="I58" i="1" s="1"/>
  <c r="I20" i="1"/>
  <c r="H21" i="1"/>
  <c r="I21" i="1" s="1"/>
  <c r="H32" i="1" l="1"/>
  <c r="H34" i="1" s="1"/>
  <c r="H36" i="1"/>
  <c r="H37" i="1" s="1"/>
  <c r="H38" i="1" s="1"/>
  <c r="I30" i="1"/>
  <c r="H59" i="1" l="1"/>
  <c r="I32" i="1"/>
  <c r="I36" i="1"/>
  <c r="H33" i="1"/>
</calcChain>
</file>

<file path=xl/sharedStrings.xml><?xml version="1.0" encoding="utf-8"?>
<sst xmlns="http://schemas.openxmlformats.org/spreadsheetml/2006/main" count="55" uniqueCount="44">
  <si>
    <t>Revenues at Existing Rates before Customer Growth</t>
  </si>
  <si>
    <t>Totals</t>
  </si>
  <si>
    <t>Revenue at Existing Rates</t>
  </si>
  <si>
    <t>Remove Base Year Y Factors</t>
  </si>
  <si>
    <t xml:space="preserve">    Customer Care</t>
  </si>
  <si>
    <t xml:space="preserve">    DSM</t>
  </si>
  <si>
    <t xml:space="preserve">    Gas in Storage</t>
  </si>
  <si>
    <t>Total Y Factors Removed</t>
  </si>
  <si>
    <t>Revenue to be Escalated</t>
  </si>
  <si>
    <t>I-X Escalator (inflation at 2.0%)</t>
  </si>
  <si>
    <t>Escalated Revenue</t>
  </si>
  <si>
    <t>Total Revenue at Escalated Rates</t>
  </si>
  <si>
    <t>Total Y Factors Added</t>
  </si>
  <si>
    <t>(excludes all Pension and SRC impacts/changes)</t>
  </si>
  <si>
    <t>Annual Increase over previous year</t>
  </si>
  <si>
    <t>Aggregate Percentage</t>
  </si>
  <si>
    <t>Cumulative Average Rate Increase</t>
  </si>
  <si>
    <t>($ millions)</t>
  </si>
  <si>
    <t>Application of Approved Union Gas 2014-2018 IRM Plan to Enbridge</t>
  </si>
  <si>
    <t>Increase in Revenues from Base</t>
  </si>
  <si>
    <t>Increase in Rates from Base</t>
  </si>
  <si>
    <t>Add Back Y Factor Annual Values</t>
  </si>
  <si>
    <t>Gross Revenue before Y factors</t>
  </si>
  <si>
    <t>Prior Years' Escalation Factor</t>
  </si>
  <si>
    <t>Increase from Base due to Escalator</t>
  </si>
  <si>
    <t>Enbridge As Filed</t>
  </si>
  <si>
    <t>Depr. Chg. For Site Restoration</t>
  </si>
  <si>
    <t>Carrying cost imp. from SRC</t>
  </si>
  <si>
    <t>Pension Decrease from 2013</t>
  </si>
  <si>
    <t>Enbridge Comparable As Filed</t>
  </si>
  <si>
    <t>Difference in Revenues</t>
  </si>
  <si>
    <t>a</t>
  </si>
  <si>
    <t>b</t>
  </si>
  <si>
    <t>c</t>
  </si>
  <si>
    <t>d</t>
  </si>
  <si>
    <t>e</t>
  </si>
  <si>
    <t>f</t>
  </si>
  <si>
    <t>g</t>
  </si>
  <si>
    <t>h</t>
  </si>
  <si>
    <t>Comparison to Enbridge as Filed</t>
  </si>
  <si>
    <t xml:space="preserve">    GTA and Ottawa Projects</t>
  </si>
  <si>
    <t>Customer Growth (on non-Y factors)</t>
  </si>
  <si>
    <t>Incremental Annual Rate Increase</t>
  </si>
  <si>
    <t xml:space="preserve">Income tax imp. from SRC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</si>
</sst>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"/>
  </numFmts>
  <fonts count="9" x14ac:knownFonts="1">
    <font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i/>
      <sz val="8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Alignment="1">
      <alignment wrapText="1"/>
    </xf>
    <xf numFmtId="164" fontId="0" fillId="0" borderId="0" xfId="0" applyNumberFormat="1"/>
    <xf numFmtId="10" fontId="0" fillId="0" borderId="0" xfId="0" applyNumberFormat="1" applyAlignment="1">
      <alignment wrapText="1"/>
    </xf>
    <xf numFmtId="10" fontId="0" fillId="0" borderId="0" xfId="0" applyNumberFormat="1"/>
    <xf numFmtId="0" fontId="1" fillId="0" borderId="0" xfId="0" applyFont="1" applyAlignment="1">
      <alignment horizontal="center"/>
    </xf>
    <xf numFmtId="0" fontId="0" fillId="0" borderId="0" xfId="0" applyAlignment="1">
      <alignment horizontal="centerContinuous"/>
    </xf>
    <xf numFmtId="0" fontId="2" fillId="0" borderId="0" xfId="0" quotePrefix="1" applyFont="1" applyAlignment="1">
      <alignment horizontal="centerContinuous"/>
    </xf>
    <xf numFmtId="164" fontId="0" fillId="0" borderId="1" xfId="0" applyNumberFormat="1" applyBorder="1"/>
    <xf numFmtId="164" fontId="0" fillId="0" borderId="2" xfId="0" applyNumberFormat="1" applyBorder="1"/>
    <xf numFmtId="164" fontId="0" fillId="0" borderId="3" xfId="0" applyNumberFormat="1" applyBorder="1"/>
    <xf numFmtId="0" fontId="3" fillId="0" borderId="0" xfId="0" applyFont="1" applyAlignment="1">
      <alignment wrapText="1"/>
    </xf>
    <xf numFmtId="0" fontId="3" fillId="0" borderId="0" xfId="0" applyFont="1"/>
    <xf numFmtId="164" fontId="0" fillId="0" borderId="0" xfId="0" applyNumberFormat="1" applyBorder="1"/>
    <xf numFmtId="164" fontId="0" fillId="0" borderId="0" xfId="0" applyNumberFormat="1" applyFill="1"/>
    <xf numFmtId="164" fontId="0" fillId="0" borderId="0" xfId="0" applyNumberFormat="1" applyAlignment="1">
      <alignment horizontal="right"/>
    </xf>
    <xf numFmtId="164" fontId="0" fillId="0" borderId="3" xfId="0" applyNumberFormat="1" applyBorder="1" applyAlignment="1">
      <alignment horizontal="right"/>
    </xf>
    <xf numFmtId="0" fontId="4" fillId="0" borderId="0" xfId="0" applyFont="1" applyAlignment="1">
      <alignment horizontal="center"/>
    </xf>
    <xf numFmtId="1" fontId="4" fillId="0" borderId="0" xfId="0" applyNumberFormat="1" applyFont="1" applyAlignment="1">
      <alignment horizontal="center"/>
    </xf>
    <xf numFmtId="1" fontId="4" fillId="0" borderId="0" xfId="0" applyNumberFormat="1" applyFont="1" applyAlignment="1">
      <alignment horizontal="center" wrapText="1"/>
    </xf>
    <xf numFmtId="0" fontId="5" fillId="0" borderId="0" xfId="0" applyFont="1" applyAlignment="1">
      <alignment horizontal="centerContinuous"/>
    </xf>
    <xf numFmtId="164" fontId="5" fillId="0" borderId="0" xfId="0" applyNumberFormat="1" applyFont="1" applyAlignment="1">
      <alignment horizontal="centerContinuous"/>
    </xf>
    <xf numFmtId="1" fontId="4" fillId="2" borderId="0" xfId="0" applyNumberFormat="1" applyFont="1" applyFill="1" applyAlignment="1">
      <alignment horizontal="center" wrapText="1"/>
    </xf>
    <xf numFmtId="0" fontId="3" fillId="2" borderId="0" xfId="0" applyFont="1" applyFill="1"/>
    <xf numFmtId="0" fontId="0" fillId="2" borderId="0" xfId="0" applyFill="1"/>
    <xf numFmtId="0" fontId="7" fillId="0" borderId="0" xfId="0" applyFont="1" applyAlignment="1">
      <alignment horizontal="centerContinuous" wrapText="1"/>
    </xf>
    <xf numFmtId="0" fontId="8" fillId="0" borderId="0" xfId="0" applyFont="1" applyAlignment="1">
      <alignment horizontal="centerContinuous"/>
    </xf>
    <xf numFmtId="0" fontId="0" fillId="0" borderId="0" xfId="0" quotePrefix="1" applyFont="1" applyAlignment="1"/>
    <xf numFmtId="164" fontId="6" fillId="2" borderId="0" xfId="0" applyNumberFormat="1" applyFont="1" applyFill="1"/>
    <xf numFmtId="10" fontId="6" fillId="2" borderId="0" xfId="0" applyNumberFormat="1" applyFont="1" applyFill="1"/>
    <xf numFmtId="0" fontId="6" fillId="2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59"/>
  <sheetViews>
    <sheetView tabSelected="1" topLeftCell="A31" workbookViewId="0">
      <selection activeCell="M53" sqref="M53"/>
    </sheetView>
  </sheetViews>
  <sheetFormatPr defaultRowHeight="14.4" x14ac:dyDescent="0.3"/>
  <cols>
    <col min="1" max="1" width="3.77734375" style="18" customWidth="1"/>
    <col min="2" max="2" width="29.6640625" customWidth="1"/>
    <col min="3" max="3" width="6.77734375" customWidth="1"/>
    <col min="4" max="9" width="10.77734375" customWidth="1"/>
  </cols>
  <sheetData>
    <row r="1" spans="1:9" ht="21" x14ac:dyDescent="0.4">
      <c r="B1" s="26" t="s">
        <v>18</v>
      </c>
      <c r="C1" s="6"/>
      <c r="D1" s="6"/>
      <c r="E1" s="6"/>
      <c r="F1" s="6"/>
      <c r="G1" s="6"/>
      <c r="H1" s="6"/>
      <c r="I1" s="6"/>
    </row>
    <row r="2" spans="1:9" ht="15.6" x14ac:dyDescent="0.3">
      <c r="B2" s="7" t="s">
        <v>13</v>
      </c>
      <c r="C2" s="6"/>
      <c r="D2" s="6"/>
      <c r="E2" s="6"/>
      <c r="F2" s="6"/>
      <c r="G2" s="6"/>
      <c r="H2" s="6"/>
      <c r="I2" s="6"/>
    </row>
    <row r="3" spans="1:9" x14ac:dyDescent="0.3">
      <c r="B3" s="27" t="s">
        <v>17</v>
      </c>
    </row>
    <row r="4" spans="1:9" ht="15.6" x14ac:dyDescent="0.3">
      <c r="D4" s="5">
        <v>2014</v>
      </c>
      <c r="E4" s="5">
        <f t="shared" ref="E4:H4" si="0">+D4+1</f>
        <v>2015</v>
      </c>
      <c r="F4" s="5">
        <f t="shared" si="0"/>
        <v>2016</v>
      </c>
      <c r="G4" s="5">
        <f t="shared" si="0"/>
        <v>2017</v>
      </c>
      <c r="H4" s="5">
        <f t="shared" si="0"/>
        <v>2018</v>
      </c>
      <c r="I4" s="5" t="s">
        <v>1</v>
      </c>
    </row>
    <row r="5" spans="1:9" x14ac:dyDescent="0.3">
      <c r="B5" s="17" t="s">
        <v>31</v>
      </c>
      <c r="C5" s="17" t="s">
        <v>32</v>
      </c>
      <c r="D5" s="17" t="s">
        <v>33</v>
      </c>
      <c r="E5" s="17" t="s">
        <v>34</v>
      </c>
      <c r="F5" s="17" t="s">
        <v>35</v>
      </c>
      <c r="G5" s="17" t="s">
        <v>36</v>
      </c>
      <c r="H5" s="17" t="s">
        <v>37</v>
      </c>
      <c r="I5" s="17" t="s">
        <v>38</v>
      </c>
    </row>
    <row r="6" spans="1:9" ht="27.6" x14ac:dyDescent="0.3">
      <c r="A6" s="19">
        <v>1</v>
      </c>
      <c r="B6" s="11" t="s">
        <v>0</v>
      </c>
      <c r="C6" s="1"/>
      <c r="D6" s="2">
        <v>1021</v>
      </c>
      <c r="E6" s="2">
        <v>1021</v>
      </c>
      <c r="F6" s="2">
        <v>1021</v>
      </c>
      <c r="G6" s="2">
        <v>1021</v>
      </c>
      <c r="H6" s="2">
        <v>1021</v>
      </c>
      <c r="I6" s="2">
        <f>SUM(D6:H6)</f>
        <v>5105</v>
      </c>
    </row>
    <row r="7" spans="1:9" ht="14.4" customHeight="1" x14ac:dyDescent="0.3">
      <c r="A7" s="19">
        <v>2</v>
      </c>
      <c r="B7" s="11" t="s">
        <v>41</v>
      </c>
      <c r="C7" s="3">
        <v>1.7000000000000001E-2</v>
      </c>
      <c r="D7" s="2">
        <f>+(D6-D16-43)*$C$7</f>
        <v>13.889000000000001</v>
      </c>
      <c r="E7" s="2">
        <f>+(D8-D16-43)*$C$7+D7</f>
        <v>28.014113000000002</v>
      </c>
      <c r="F7" s="2">
        <f>+(E8-E16-43)*$C$7+E7</f>
        <v>42.379352921000006</v>
      </c>
      <c r="G7" s="2">
        <f>+(F8-F16-43)*$C$7+F7</f>
        <v>56.988801920657011</v>
      </c>
      <c r="H7" s="2">
        <f>+(G8-G16-43)*$C$7+G7</f>
        <v>71.846611553308179</v>
      </c>
      <c r="I7" s="2">
        <f t="shared" ref="I7:I8" si="1">SUM(D7:H7)</f>
        <v>213.1178793949652</v>
      </c>
    </row>
    <row r="8" spans="1:9" x14ac:dyDescent="0.3">
      <c r="A8" s="19">
        <v>3</v>
      </c>
      <c r="B8" s="11" t="s">
        <v>2</v>
      </c>
      <c r="C8" s="1"/>
      <c r="D8" s="8">
        <f>+D6+D7</f>
        <v>1034.8889999999999</v>
      </c>
      <c r="E8" s="8">
        <f t="shared" ref="E8:H8" si="2">+E6+E7</f>
        <v>1049.014113</v>
      </c>
      <c r="F8" s="8">
        <f t="shared" si="2"/>
        <v>1063.379352921</v>
      </c>
      <c r="G8" s="8">
        <f t="shared" si="2"/>
        <v>1077.9888019206569</v>
      </c>
      <c r="H8" s="8">
        <f t="shared" si="2"/>
        <v>1092.8466115533081</v>
      </c>
      <c r="I8" s="8">
        <f t="shared" si="1"/>
        <v>5318.1178793949657</v>
      </c>
    </row>
    <row r="9" spans="1:9" x14ac:dyDescent="0.3">
      <c r="A9" s="19">
        <v>4</v>
      </c>
      <c r="B9" s="11" t="s">
        <v>23</v>
      </c>
      <c r="C9" s="1"/>
      <c r="D9" s="13">
        <v>0</v>
      </c>
      <c r="E9" s="13">
        <f>+D21</f>
        <v>6.9911119999999993</v>
      </c>
      <c r="F9" s="13">
        <f t="shared" ref="F9:H9" si="3">+E21</f>
        <v>14.151153799999999</v>
      </c>
      <c r="G9" s="13">
        <f t="shared" si="3"/>
        <v>21.483397853768</v>
      </c>
      <c r="H9" s="13">
        <f t="shared" si="3"/>
        <v>28.9911754519634</v>
      </c>
      <c r="I9" s="13"/>
    </row>
    <row r="10" spans="1:9" x14ac:dyDescent="0.3">
      <c r="A10" s="19">
        <v>5</v>
      </c>
      <c r="B10" s="11" t="s">
        <v>22</v>
      </c>
      <c r="C10" s="1"/>
      <c r="D10" s="8">
        <f>+D8+D9</f>
        <v>1034.8889999999999</v>
      </c>
      <c r="E10" s="8">
        <f>+E8+E9</f>
        <v>1056.0052249999999</v>
      </c>
      <c r="F10" s="8">
        <f t="shared" ref="F10:H10" si="4">+F8+F9</f>
        <v>1077.5305067209999</v>
      </c>
      <c r="G10" s="8">
        <f t="shared" si="4"/>
        <v>1099.472199774425</v>
      </c>
      <c r="H10" s="8">
        <f t="shared" si="4"/>
        <v>1121.8377870052716</v>
      </c>
      <c r="I10" s="13"/>
    </row>
    <row r="11" spans="1:9" x14ac:dyDescent="0.3">
      <c r="A11" s="19"/>
      <c r="B11" s="11"/>
      <c r="C11" s="1"/>
      <c r="D11" s="2"/>
      <c r="E11" s="2"/>
      <c r="F11" s="2"/>
      <c r="G11" s="2"/>
      <c r="H11" s="2"/>
    </row>
    <row r="12" spans="1:9" x14ac:dyDescent="0.3">
      <c r="A12" s="19"/>
      <c r="B12" s="11" t="s">
        <v>3</v>
      </c>
      <c r="C12" s="1"/>
      <c r="D12" s="2"/>
      <c r="E12" s="2"/>
      <c r="F12" s="2"/>
      <c r="G12" s="2"/>
      <c r="H12" s="2"/>
    </row>
    <row r="13" spans="1:9" x14ac:dyDescent="0.3">
      <c r="A13" s="19">
        <v>6</v>
      </c>
      <c r="B13" s="11" t="s">
        <v>4</v>
      </c>
      <c r="C13" s="1"/>
      <c r="D13" s="2">
        <v>110</v>
      </c>
      <c r="E13" s="2">
        <v>110</v>
      </c>
      <c r="F13" s="2">
        <v>110</v>
      </c>
      <c r="G13" s="2">
        <v>110</v>
      </c>
      <c r="H13" s="2">
        <v>110</v>
      </c>
      <c r="I13" s="2">
        <f t="shared" ref="I13:I16" si="5">SUM(D13:H13)</f>
        <v>550</v>
      </c>
    </row>
    <row r="14" spans="1:9" x14ac:dyDescent="0.3">
      <c r="A14" s="19">
        <v>7</v>
      </c>
      <c r="B14" s="11" t="s">
        <v>5</v>
      </c>
      <c r="C14" s="1"/>
      <c r="D14" s="2">
        <v>31</v>
      </c>
      <c r="E14" s="2">
        <v>31</v>
      </c>
      <c r="F14" s="2">
        <v>31</v>
      </c>
      <c r="G14" s="2">
        <v>31</v>
      </c>
      <c r="H14" s="2">
        <v>31</v>
      </c>
      <c r="I14" s="2">
        <f t="shared" si="5"/>
        <v>155</v>
      </c>
    </row>
    <row r="15" spans="1:9" x14ac:dyDescent="0.3">
      <c r="A15" s="19">
        <v>8</v>
      </c>
      <c r="B15" s="11" t="s">
        <v>6</v>
      </c>
      <c r="C15" s="1"/>
      <c r="D15" s="2">
        <v>20</v>
      </c>
      <c r="E15" s="2">
        <v>20</v>
      </c>
      <c r="F15" s="2">
        <v>20</v>
      </c>
      <c r="G15" s="2">
        <v>20</v>
      </c>
      <c r="H15" s="2">
        <v>20</v>
      </c>
      <c r="I15" s="2">
        <f t="shared" si="5"/>
        <v>100</v>
      </c>
    </row>
    <row r="16" spans="1:9" x14ac:dyDescent="0.3">
      <c r="A16" s="19">
        <v>9</v>
      </c>
      <c r="B16" s="11" t="s">
        <v>7</v>
      </c>
      <c r="C16" s="1"/>
      <c r="D16" s="8">
        <f t="shared" ref="D16:H16" si="6">SUM(D13:D15)</f>
        <v>161</v>
      </c>
      <c r="E16" s="8">
        <f t="shared" si="6"/>
        <v>161</v>
      </c>
      <c r="F16" s="8">
        <f t="shared" si="6"/>
        <v>161</v>
      </c>
      <c r="G16" s="8">
        <f t="shared" si="6"/>
        <v>161</v>
      </c>
      <c r="H16" s="8">
        <f t="shared" si="6"/>
        <v>161</v>
      </c>
      <c r="I16" s="8">
        <f t="shared" si="5"/>
        <v>805</v>
      </c>
    </row>
    <row r="17" spans="1:9" x14ac:dyDescent="0.3">
      <c r="A17" s="19"/>
      <c r="B17" s="11"/>
      <c r="C17" s="1"/>
      <c r="D17" s="2"/>
      <c r="E17" s="2"/>
      <c r="F17" s="2"/>
      <c r="G17" s="2"/>
      <c r="H17" s="2"/>
    </row>
    <row r="18" spans="1:9" x14ac:dyDescent="0.3">
      <c r="A18" s="19">
        <v>10</v>
      </c>
      <c r="B18" s="11" t="s">
        <v>8</v>
      </c>
      <c r="C18" s="1"/>
      <c r="D18" s="2">
        <f>+D8-D16</f>
        <v>873.8889999999999</v>
      </c>
      <c r="E18" s="2">
        <f>+E10-E16</f>
        <v>895.00522499999988</v>
      </c>
      <c r="F18" s="2">
        <f t="shared" ref="F18:H18" si="7">+F10-F16</f>
        <v>916.53050672099994</v>
      </c>
      <c r="G18" s="2">
        <f t="shared" si="7"/>
        <v>938.47219977442501</v>
      </c>
      <c r="H18" s="2">
        <f t="shared" si="7"/>
        <v>960.83778700527159</v>
      </c>
      <c r="I18" s="2"/>
    </row>
    <row r="19" spans="1:9" x14ac:dyDescent="0.3">
      <c r="A19" s="19">
        <v>11</v>
      </c>
      <c r="B19" s="11" t="s">
        <v>9</v>
      </c>
      <c r="C19" s="3">
        <f>0.02*0.4</f>
        <v>8.0000000000000002E-3</v>
      </c>
      <c r="D19" s="2">
        <f>+D18*$C$19</f>
        <v>6.9911119999999993</v>
      </c>
      <c r="E19" s="2">
        <f t="shared" ref="E19:H19" si="8">+E18*$C$19</f>
        <v>7.1600417999999992</v>
      </c>
      <c r="F19" s="2">
        <f t="shared" si="8"/>
        <v>7.332244053768</v>
      </c>
      <c r="G19" s="2">
        <f t="shared" si="8"/>
        <v>7.5077775981953998</v>
      </c>
      <c r="H19" s="2">
        <f t="shared" si="8"/>
        <v>7.6867022960421725</v>
      </c>
      <c r="I19" s="2"/>
    </row>
    <row r="20" spans="1:9" x14ac:dyDescent="0.3">
      <c r="A20" s="19">
        <v>12</v>
      </c>
      <c r="B20" s="11" t="s">
        <v>10</v>
      </c>
      <c r="C20" s="1"/>
      <c r="D20" s="8">
        <f>+D18+D19</f>
        <v>880.88011199999994</v>
      </c>
      <c r="E20" s="8">
        <f t="shared" ref="E20:H20" si="9">+E18+E19</f>
        <v>902.16526679999993</v>
      </c>
      <c r="F20" s="8">
        <f t="shared" si="9"/>
        <v>923.86275077476796</v>
      </c>
      <c r="G20" s="8">
        <f t="shared" si="9"/>
        <v>945.9799773726204</v>
      </c>
      <c r="H20" s="8">
        <f t="shared" si="9"/>
        <v>968.52448930131379</v>
      </c>
      <c r="I20" s="8">
        <f t="shared" ref="I20:I21" si="10">SUM(D20:H20)</f>
        <v>4621.4125962487024</v>
      </c>
    </row>
    <row r="21" spans="1:9" ht="14.4" customHeight="1" x14ac:dyDescent="0.3">
      <c r="A21" s="19">
        <v>13</v>
      </c>
      <c r="B21" s="11" t="s">
        <v>24</v>
      </c>
      <c r="C21" s="1"/>
      <c r="D21" s="13">
        <f>+D19</f>
        <v>6.9911119999999993</v>
      </c>
      <c r="E21" s="13">
        <f>+E19+D21</f>
        <v>14.151153799999999</v>
      </c>
      <c r="F21" s="13">
        <f t="shared" ref="F21:H21" si="11">+F19+E21</f>
        <v>21.483397853768</v>
      </c>
      <c r="G21" s="13">
        <f t="shared" si="11"/>
        <v>28.9911754519634</v>
      </c>
      <c r="H21" s="13">
        <f t="shared" si="11"/>
        <v>36.677877748005571</v>
      </c>
      <c r="I21" s="2">
        <f t="shared" si="10"/>
        <v>108.29471685373697</v>
      </c>
    </row>
    <row r="22" spans="1:9" x14ac:dyDescent="0.3">
      <c r="A22" s="19"/>
      <c r="B22" s="11"/>
      <c r="C22" s="1"/>
      <c r="D22" s="2"/>
      <c r="E22" s="2"/>
      <c r="F22" s="2"/>
      <c r="G22" s="2"/>
      <c r="H22" s="2"/>
    </row>
    <row r="23" spans="1:9" x14ac:dyDescent="0.3">
      <c r="A23" s="19"/>
      <c r="B23" s="11" t="s">
        <v>21</v>
      </c>
      <c r="C23" s="1"/>
      <c r="D23" s="2"/>
      <c r="E23" s="2"/>
      <c r="F23" s="2"/>
      <c r="G23" s="2"/>
      <c r="H23" s="2"/>
    </row>
    <row r="24" spans="1:9" x14ac:dyDescent="0.3">
      <c r="A24" s="19">
        <v>14</v>
      </c>
      <c r="B24" s="11" t="s">
        <v>4</v>
      </c>
      <c r="C24" s="1"/>
      <c r="D24" s="2">
        <v>114</v>
      </c>
      <c r="E24" s="2">
        <v>119</v>
      </c>
      <c r="F24" s="2">
        <v>124</v>
      </c>
      <c r="G24" s="2">
        <v>129</v>
      </c>
      <c r="H24" s="2">
        <v>134</v>
      </c>
      <c r="I24" s="2">
        <f t="shared" ref="I24:I28" si="12">SUM(D24:H24)</f>
        <v>620</v>
      </c>
    </row>
    <row r="25" spans="1:9" x14ac:dyDescent="0.3">
      <c r="A25" s="19">
        <v>15</v>
      </c>
      <c r="B25" s="11" t="s">
        <v>5</v>
      </c>
      <c r="C25" s="1"/>
      <c r="D25" s="2">
        <v>32</v>
      </c>
      <c r="E25" s="2">
        <v>33</v>
      </c>
      <c r="F25" s="2">
        <v>33</v>
      </c>
      <c r="G25" s="2">
        <v>34</v>
      </c>
      <c r="H25" s="2">
        <v>35</v>
      </c>
      <c r="I25" s="2">
        <f t="shared" si="12"/>
        <v>167</v>
      </c>
    </row>
    <row r="26" spans="1:9" x14ac:dyDescent="0.3">
      <c r="A26" s="19">
        <v>16</v>
      </c>
      <c r="B26" s="11" t="s">
        <v>6</v>
      </c>
      <c r="C26" s="1"/>
      <c r="D26" s="2">
        <v>20</v>
      </c>
      <c r="E26" s="2">
        <v>20</v>
      </c>
      <c r="F26" s="2">
        <v>21</v>
      </c>
      <c r="G26" s="2">
        <v>21</v>
      </c>
      <c r="H26" s="2">
        <v>21</v>
      </c>
      <c r="I26" s="2">
        <f t="shared" si="12"/>
        <v>103</v>
      </c>
    </row>
    <row r="27" spans="1:9" x14ac:dyDescent="0.3">
      <c r="A27" s="19">
        <v>17</v>
      </c>
      <c r="B27" s="11" t="s">
        <v>40</v>
      </c>
      <c r="C27" s="1"/>
      <c r="D27" s="2">
        <v>5</v>
      </c>
      <c r="E27" s="2">
        <v>12</v>
      </c>
      <c r="F27" s="2">
        <v>64</v>
      </c>
      <c r="G27" s="2">
        <v>63</v>
      </c>
      <c r="H27" s="2">
        <v>63</v>
      </c>
      <c r="I27" s="2">
        <f t="shared" si="12"/>
        <v>207</v>
      </c>
    </row>
    <row r="28" spans="1:9" x14ac:dyDescent="0.3">
      <c r="A28" s="19">
        <v>18</v>
      </c>
      <c r="B28" s="11" t="s">
        <v>12</v>
      </c>
      <c r="C28" s="1"/>
      <c r="D28" s="8">
        <f>SUM(D24:D27)</f>
        <v>171</v>
      </c>
      <c r="E28" s="8">
        <f t="shared" ref="E28:H28" si="13">SUM(E24:E27)</f>
        <v>184</v>
      </c>
      <c r="F28" s="8">
        <f t="shared" si="13"/>
        <v>242</v>
      </c>
      <c r="G28" s="8">
        <f t="shared" si="13"/>
        <v>247</v>
      </c>
      <c r="H28" s="8">
        <f t="shared" si="13"/>
        <v>253</v>
      </c>
      <c r="I28" s="8">
        <f t="shared" si="12"/>
        <v>1097</v>
      </c>
    </row>
    <row r="29" spans="1:9" x14ac:dyDescent="0.3">
      <c r="A29" s="19"/>
      <c r="B29" s="11"/>
      <c r="C29" s="1"/>
      <c r="D29" s="2"/>
      <c r="E29" s="2"/>
      <c r="F29" s="2"/>
      <c r="G29" s="2"/>
      <c r="H29" s="2"/>
    </row>
    <row r="30" spans="1:9" ht="15" thickBot="1" x14ac:dyDescent="0.35">
      <c r="A30" s="19">
        <v>19</v>
      </c>
      <c r="B30" s="11" t="s">
        <v>11</v>
      </c>
      <c r="C30" s="1"/>
      <c r="D30" s="9">
        <f>+D20+D28</f>
        <v>1051.8801119999998</v>
      </c>
      <c r="E30" s="9">
        <f t="shared" ref="E30:H30" si="14">+E20+E28</f>
        <v>1086.1652667999999</v>
      </c>
      <c r="F30" s="9">
        <f t="shared" si="14"/>
        <v>1165.8627507747678</v>
      </c>
      <c r="G30" s="9">
        <f t="shared" si="14"/>
        <v>1192.9799773726204</v>
      </c>
      <c r="H30" s="9">
        <f t="shared" si="14"/>
        <v>1221.5244893013137</v>
      </c>
      <c r="I30" s="9">
        <f t="shared" ref="I30" si="15">SUM(D30:H30)</f>
        <v>5718.4125962487014</v>
      </c>
    </row>
    <row r="31" spans="1:9" ht="15" thickTop="1" x14ac:dyDescent="0.3">
      <c r="A31" s="19"/>
      <c r="B31" s="11"/>
      <c r="C31" s="1"/>
      <c r="D31" s="2"/>
      <c r="E31" s="2"/>
      <c r="F31" s="2"/>
      <c r="G31" s="2"/>
      <c r="H31" s="2"/>
    </row>
    <row r="32" spans="1:9" x14ac:dyDescent="0.3">
      <c r="A32" s="19">
        <v>20</v>
      </c>
      <c r="B32" s="11" t="s">
        <v>19</v>
      </c>
      <c r="D32" s="10">
        <f>+D30-D6</f>
        <v>30.880111999999826</v>
      </c>
      <c r="E32" s="10">
        <f t="shared" ref="E32:I32" si="16">+E30-E6</f>
        <v>65.165266799999927</v>
      </c>
      <c r="F32" s="10">
        <f t="shared" si="16"/>
        <v>144.86275077476785</v>
      </c>
      <c r="G32" s="10">
        <f t="shared" si="16"/>
        <v>171.9799773726204</v>
      </c>
      <c r="H32" s="10">
        <f t="shared" si="16"/>
        <v>200.52448930131368</v>
      </c>
      <c r="I32" s="10">
        <f t="shared" si="16"/>
        <v>613.41259624870145</v>
      </c>
    </row>
    <row r="33" spans="1:9" x14ac:dyDescent="0.3">
      <c r="A33" s="19">
        <v>21</v>
      </c>
      <c r="B33" s="11" t="s">
        <v>15</v>
      </c>
      <c r="D33" s="4">
        <f>+D32/D6</f>
        <v>3.0244967678746158E-2</v>
      </c>
      <c r="E33" s="4">
        <f>+E32/E6</f>
        <v>6.3824942997061637E-2</v>
      </c>
      <c r="F33" s="4">
        <f>+F32/F6</f>
        <v>0.14188320350124176</v>
      </c>
      <c r="G33" s="4">
        <f>+G32/G6</f>
        <v>0.16844268107014732</v>
      </c>
      <c r="H33" s="4">
        <f>+H32/H6</f>
        <v>0.19640008746455795</v>
      </c>
      <c r="I33" s="4"/>
    </row>
    <row r="34" spans="1:9" ht="14.4" customHeight="1" x14ac:dyDescent="0.3">
      <c r="A34" s="19">
        <v>22</v>
      </c>
      <c r="B34" s="11" t="s">
        <v>14</v>
      </c>
      <c r="D34" s="4">
        <f>+D33</f>
        <v>3.0244967678746158E-2</v>
      </c>
      <c r="E34" s="4">
        <f>+(E32-D32)/D30</f>
        <v>3.2594165826380896E-2</v>
      </c>
      <c r="F34" s="4">
        <f t="shared" ref="F34:H34" si="17">+(F32-E32)/E30</f>
        <v>7.337509899351527E-2</v>
      </c>
      <c r="G34" s="4">
        <f t="shared" si="17"/>
        <v>2.3259364431904135E-2</v>
      </c>
      <c r="H34" s="4">
        <f t="shared" si="17"/>
        <v>2.3927067067427879E-2</v>
      </c>
      <c r="I34" s="4"/>
    </row>
    <row r="35" spans="1:9" x14ac:dyDescent="0.3">
      <c r="B35" s="12"/>
      <c r="D35" s="2"/>
      <c r="E35" s="2"/>
      <c r="F35" s="2"/>
      <c r="G35" s="2"/>
      <c r="H35" s="2"/>
    </row>
    <row r="36" spans="1:9" x14ac:dyDescent="0.3">
      <c r="A36" s="19">
        <v>23</v>
      </c>
      <c r="B36" s="11" t="s">
        <v>20</v>
      </c>
      <c r="D36" s="10">
        <f t="shared" ref="D36:I36" si="18">+D30-D8</f>
        <v>16.99111199999993</v>
      </c>
      <c r="E36" s="10">
        <f t="shared" si="18"/>
        <v>37.151153799999975</v>
      </c>
      <c r="F36" s="10">
        <f t="shared" si="18"/>
        <v>102.48339785376788</v>
      </c>
      <c r="G36" s="10">
        <f t="shared" si="18"/>
        <v>114.9911754519635</v>
      </c>
      <c r="H36" s="10">
        <f t="shared" si="18"/>
        <v>128.67787774800559</v>
      </c>
      <c r="I36" s="10">
        <f t="shared" si="18"/>
        <v>400.29471685373574</v>
      </c>
    </row>
    <row r="37" spans="1:9" ht="14.4" customHeight="1" x14ac:dyDescent="0.3">
      <c r="A37" s="19">
        <v>24</v>
      </c>
      <c r="B37" s="11" t="s">
        <v>14</v>
      </c>
      <c r="D37" s="4">
        <f>+D36/D8</f>
        <v>1.6418294135892769E-2</v>
      </c>
      <c r="E37" s="4">
        <f>(+E36-D36)/(+D30+E7-D7)</f>
        <v>1.8911766403396424E-2</v>
      </c>
      <c r="F37" s="4">
        <f t="shared" ref="F37:H37" si="19">(+F36-E36)/(+E30+F7-E7)</f>
        <v>5.9364318985053413E-2</v>
      </c>
      <c r="G37" s="4">
        <f t="shared" si="19"/>
        <v>1.0595571501459938E-2</v>
      </c>
      <c r="H37" s="4">
        <f t="shared" si="19"/>
        <v>1.1331573199061003E-2</v>
      </c>
    </row>
    <row r="38" spans="1:9" x14ac:dyDescent="0.3">
      <c r="A38" s="19">
        <v>25</v>
      </c>
      <c r="B38" s="11" t="s">
        <v>16</v>
      </c>
      <c r="D38" s="2"/>
      <c r="E38" s="4">
        <f>+(1+D37)*(1+E37)-1</f>
        <v>3.5640559482729373E-2</v>
      </c>
      <c r="F38" s="4">
        <f>+(1+D37)*(1+E37)*(1+F37)-1</f>
        <v>9.7120656009721307E-2</v>
      </c>
      <c r="G38" s="4">
        <f>+(1+D37)*(1+E37)*(1+F37)*(1+G37)-1</f>
        <v>0.1087452763662009</v>
      </c>
      <c r="H38" s="4">
        <f>+(1+D37)*(1+E37)*(1+F37)*(1+G37)*(1+H37)-1</f>
        <v>0.12130910462445765</v>
      </c>
    </row>
    <row r="39" spans="1:9" x14ac:dyDescent="0.3">
      <c r="A39" s="19"/>
      <c r="B39" s="11"/>
      <c r="D39" s="2"/>
      <c r="E39" s="4"/>
      <c r="F39" s="4"/>
      <c r="G39" s="4"/>
      <c r="H39" s="4"/>
    </row>
    <row r="40" spans="1:9" ht="21" x14ac:dyDescent="0.4">
      <c r="B40" s="25" t="s">
        <v>39</v>
      </c>
      <c r="C40" s="20"/>
      <c r="D40" s="21"/>
      <c r="E40" s="21"/>
      <c r="F40" s="21"/>
      <c r="G40" s="21"/>
      <c r="H40" s="21"/>
      <c r="I40" s="20"/>
    </row>
    <row r="41" spans="1:9" ht="15.6" x14ac:dyDescent="0.3">
      <c r="B41" s="7" t="s">
        <v>13</v>
      </c>
      <c r="C41" s="6"/>
      <c r="D41" s="6"/>
      <c r="E41" s="6"/>
      <c r="F41" s="6"/>
      <c r="G41" s="6"/>
      <c r="H41" s="6"/>
      <c r="I41" s="6"/>
    </row>
    <row r="42" spans="1:9" x14ac:dyDescent="0.3">
      <c r="D42" s="2"/>
      <c r="E42" s="2"/>
      <c r="F42" s="2"/>
      <c r="G42" s="2"/>
      <c r="H42" s="2"/>
    </row>
    <row r="43" spans="1:9" x14ac:dyDescent="0.3">
      <c r="A43" s="19">
        <v>26</v>
      </c>
      <c r="B43" s="12" t="s">
        <v>25</v>
      </c>
      <c r="D43" s="14">
        <v>1010.8</v>
      </c>
      <c r="E43" s="2">
        <v>1058.0999999999999</v>
      </c>
      <c r="F43" s="2">
        <v>1170.5999999999999</v>
      </c>
      <c r="G43" s="2">
        <v>1226.8</v>
      </c>
      <c r="H43" s="2">
        <v>1286.5</v>
      </c>
      <c r="I43" s="15">
        <f>SUM(D43:H43)</f>
        <v>5752.7999999999993</v>
      </c>
    </row>
    <row r="44" spans="1:9" x14ac:dyDescent="0.3">
      <c r="A44" s="19">
        <v>27</v>
      </c>
      <c r="B44" s="12" t="s">
        <v>26</v>
      </c>
      <c r="D44" s="14">
        <v>29.8</v>
      </c>
      <c r="E44" s="2">
        <v>31.7</v>
      </c>
      <c r="F44" s="2">
        <v>35.700000000000003</v>
      </c>
      <c r="G44" s="2">
        <v>37.5</v>
      </c>
      <c r="H44" s="2">
        <v>39.1</v>
      </c>
      <c r="I44" s="15">
        <f t="shared" ref="I44:I47" si="20">SUM(D44:H44)</f>
        <v>173.79999999999998</v>
      </c>
    </row>
    <row r="45" spans="1:9" x14ac:dyDescent="0.3">
      <c r="A45" s="19">
        <v>28</v>
      </c>
      <c r="B45" s="12" t="s">
        <v>27</v>
      </c>
      <c r="D45" s="2">
        <v>-2.4</v>
      </c>
      <c r="E45" s="2">
        <v>-8.1</v>
      </c>
      <c r="F45" s="2">
        <v>-14</v>
      </c>
      <c r="G45" s="2">
        <v>-21.6</v>
      </c>
      <c r="H45" s="2">
        <v>-26.7</v>
      </c>
      <c r="I45" s="15">
        <f t="shared" si="20"/>
        <v>-72.8</v>
      </c>
    </row>
    <row r="46" spans="1:9" x14ac:dyDescent="0.3">
      <c r="A46" s="19">
        <v>29</v>
      </c>
      <c r="B46" s="12" t="s">
        <v>43</v>
      </c>
      <c r="D46" s="2">
        <f>50.1-33.5+8.6+9.3</f>
        <v>34.5</v>
      </c>
      <c r="E46" s="2">
        <f>28.9-13.8+22.7-5.5</f>
        <v>32.299999999999997</v>
      </c>
      <c r="F46" s="2">
        <f>18.1-4.5+45.2-28.2</f>
        <v>30.600000000000005</v>
      </c>
      <c r="G46" s="2">
        <f>21.4-8.6+54.6-39.1</f>
        <v>28.300000000000004</v>
      </c>
      <c r="H46" s="2">
        <f>18.9-15.8+62.6-50.9</f>
        <v>14.800000000000004</v>
      </c>
      <c r="I46" s="15">
        <f t="shared" si="20"/>
        <v>140.50000000000003</v>
      </c>
    </row>
    <row r="47" spans="1:9" x14ac:dyDescent="0.3">
      <c r="A47" s="19">
        <v>30</v>
      </c>
      <c r="B47" s="12" t="s">
        <v>28</v>
      </c>
      <c r="D47" s="10">
        <v>5.6</v>
      </c>
      <c r="E47" s="10">
        <v>9</v>
      </c>
      <c r="F47" s="10">
        <v>11.9</v>
      </c>
      <c r="G47" s="10">
        <v>14.3</v>
      </c>
      <c r="H47" s="10">
        <v>16.600000000000001</v>
      </c>
      <c r="I47" s="16">
        <f t="shared" si="20"/>
        <v>57.4</v>
      </c>
    </row>
    <row r="48" spans="1:9" x14ac:dyDescent="0.3">
      <c r="A48" s="19">
        <v>31</v>
      </c>
      <c r="B48" s="12" t="s">
        <v>29</v>
      </c>
      <c r="D48" s="2">
        <f>SUM(D43:D47)</f>
        <v>1078.2999999999997</v>
      </c>
      <c r="E48" s="2">
        <f>SUM(E43:E47)</f>
        <v>1123</v>
      </c>
      <c r="F48" s="2">
        <f>SUM(F43:F47)</f>
        <v>1234.8</v>
      </c>
      <c r="G48" s="2">
        <f>SUM(G43:G47)</f>
        <v>1285.3</v>
      </c>
      <c r="H48" s="2">
        <f>SUM(H43:H47)</f>
        <v>1330.2999999999997</v>
      </c>
      <c r="I48" s="15">
        <f>SUM(D48:H48)</f>
        <v>6051.6999999999989</v>
      </c>
    </row>
    <row r="49" spans="1:9" x14ac:dyDescent="0.3">
      <c r="B49" s="12"/>
      <c r="D49" s="2"/>
      <c r="E49" s="2"/>
      <c r="F49" s="2"/>
      <c r="G49" s="2"/>
      <c r="H49" s="2"/>
      <c r="I49" s="15"/>
    </row>
    <row r="50" spans="1:9" x14ac:dyDescent="0.3">
      <c r="A50" s="19">
        <v>32</v>
      </c>
      <c r="B50" s="11" t="s">
        <v>19</v>
      </c>
      <c r="D50" s="10">
        <f>+D48-D6</f>
        <v>57.299999999999727</v>
      </c>
      <c r="E50" s="10">
        <f>+E48-E6</f>
        <v>102</v>
      </c>
      <c r="F50" s="10">
        <f>+F48-F6</f>
        <v>213.79999999999995</v>
      </c>
      <c r="G50" s="10">
        <f>+G48-G6</f>
        <v>264.29999999999995</v>
      </c>
      <c r="H50" s="10">
        <f>+H48-H6</f>
        <v>309.29999999999973</v>
      </c>
      <c r="I50" s="10">
        <f>SUM(D50:H50)</f>
        <v>946.69999999999936</v>
      </c>
    </row>
    <row r="51" spans="1:9" x14ac:dyDescent="0.3">
      <c r="A51" s="19">
        <v>33</v>
      </c>
      <c r="B51" s="11" t="s">
        <v>15</v>
      </c>
      <c r="D51" s="4">
        <f>+D50/D6</f>
        <v>5.6121449559255361E-2</v>
      </c>
      <c r="E51" s="4">
        <f>+E50/E6</f>
        <v>9.9902056807051914E-2</v>
      </c>
      <c r="F51" s="4">
        <f>+F50/F6</f>
        <v>0.2094025465230166</v>
      </c>
      <c r="G51" s="4">
        <f>+G50/G6</f>
        <v>0.25886385896180208</v>
      </c>
      <c r="H51" s="4">
        <f>+H50/H6</f>
        <v>0.30293829578844245</v>
      </c>
      <c r="I51" s="4"/>
    </row>
    <row r="52" spans="1:9" ht="14.4" customHeight="1" x14ac:dyDescent="0.3">
      <c r="A52" s="19">
        <v>34</v>
      </c>
      <c r="B52" s="11" t="s">
        <v>14</v>
      </c>
      <c r="D52" s="4">
        <f>+D51</f>
        <v>5.6121449559255361E-2</v>
      </c>
      <c r="E52" s="4">
        <f>+(E50-D50)/D48</f>
        <v>4.1454140777149477E-2</v>
      </c>
      <c r="F52" s="4">
        <f t="shared" ref="F52:H52" si="21">+(F50-E50)/E48</f>
        <v>9.9554764024933171E-2</v>
      </c>
      <c r="G52" s="4">
        <f t="shared" si="21"/>
        <v>4.0897311305474575E-2</v>
      </c>
      <c r="H52" s="4">
        <f t="shared" si="21"/>
        <v>3.5011281412899539E-2</v>
      </c>
      <c r="I52" s="4"/>
    </row>
    <row r="53" spans="1:9" x14ac:dyDescent="0.3">
      <c r="B53" s="12"/>
      <c r="D53" s="2"/>
      <c r="E53" s="2"/>
      <c r="F53" s="2"/>
      <c r="G53" s="2"/>
      <c r="H53" s="2"/>
    </row>
    <row r="54" spans="1:9" x14ac:dyDescent="0.3">
      <c r="A54" s="19">
        <v>35</v>
      </c>
      <c r="B54" s="11" t="s">
        <v>20</v>
      </c>
      <c r="D54" s="10">
        <f>+D48-D8</f>
        <v>43.410999999999831</v>
      </c>
      <c r="E54" s="10">
        <f>+E48-E8</f>
        <v>73.985887000000048</v>
      </c>
      <c r="F54" s="10">
        <f>+F48-F8</f>
        <v>171.42064707899999</v>
      </c>
      <c r="G54" s="10">
        <f>+G48-G8</f>
        <v>207.31119807934306</v>
      </c>
      <c r="H54" s="10">
        <f>+H48-H8</f>
        <v>237.45338844669163</v>
      </c>
      <c r="I54" s="10">
        <f>+I48-I8</f>
        <v>733.5821206050332</v>
      </c>
    </row>
    <row r="55" spans="1:9" ht="14.4" customHeight="1" x14ac:dyDescent="0.3">
      <c r="A55" s="19">
        <v>36</v>
      </c>
      <c r="B55" s="11" t="s">
        <v>14</v>
      </c>
      <c r="D55" s="4">
        <f>+D54/D8</f>
        <v>4.1947493885817547E-2</v>
      </c>
      <c r="E55" s="4">
        <f>(+E54-D54)/(+D48+E7-D7)</f>
        <v>2.7988085074349828E-2</v>
      </c>
      <c r="F55" s="4">
        <f>(+F54-E54)/(+E48+F7-E7)</f>
        <v>8.5667080950854138E-2</v>
      </c>
      <c r="G55" s="4">
        <f>(+G54-F54)/(+F48+G7-F7)</f>
        <v>2.872601214043877E-2</v>
      </c>
      <c r="H55" s="4">
        <f>(+H54-G54)/(+G48+H7-G7)</f>
        <v>2.3183485992261971E-2</v>
      </c>
    </row>
    <row r="56" spans="1:9" x14ac:dyDescent="0.3">
      <c r="A56" s="19">
        <v>37</v>
      </c>
      <c r="B56" s="11" t="s">
        <v>16</v>
      </c>
      <c r="D56" s="2"/>
      <c r="E56" s="4">
        <f>+(1+D55)*(1+E55)-1</f>
        <v>7.1109608987699469E-2</v>
      </c>
      <c r="F56" s="4">
        <f>+(1+D55)*(1+E55)*(1+F55)-1</f>
        <v>0.16286844256808641</v>
      </c>
      <c r="G56" s="4">
        <f>+(1+D55)*(1+E55)*(1+F55)*(1+G55)-1</f>
        <v>0.19627301556703025</v>
      </c>
      <c r="H56" s="4">
        <f>+(1+D55)*(1+E55)*(1+F55)*(1+G55)*(1+H55)-1</f>
        <v>0.22400679426634951</v>
      </c>
    </row>
    <row r="57" spans="1:9" x14ac:dyDescent="0.3">
      <c r="D57" s="4"/>
      <c r="E57" s="4"/>
      <c r="F57" s="4"/>
      <c r="G57" s="4"/>
      <c r="H57" s="4"/>
    </row>
    <row r="58" spans="1:9" x14ac:dyDescent="0.3">
      <c r="A58" s="22">
        <v>38</v>
      </c>
      <c r="B58" s="23" t="s">
        <v>30</v>
      </c>
      <c r="C58" s="24"/>
      <c r="D58" s="28">
        <f>+D48-D30</f>
        <v>26.419887999999901</v>
      </c>
      <c r="E58" s="28">
        <f>+E48-E30</f>
        <v>36.834733200000073</v>
      </c>
      <c r="F58" s="28">
        <f>+F48-F30</f>
        <v>68.937249225232108</v>
      </c>
      <c r="G58" s="28">
        <f>+G48-G30</f>
        <v>92.320022627379558</v>
      </c>
      <c r="H58" s="28">
        <f>+H48-H30</f>
        <v>108.77551069868605</v>
      </c>
      <c r="I58" s="28">
        <f t="shared" ref="I58" si="22">SUM(D58:H58)</f>
        <v>333.28740375129769</v>
      </c>
    </row>
    <row r="59" spans="1:9" x14ac:dyDescent="0.3">
      <c r="A59" s="22">
        <v>39</v>
      </c>
      <c r="B59" s="23" t="s">
        <v>42</v>
      </c>
      <c r="C59" s="24"/>
      <c r="D59" s="29">
        <f>+D55-D37</f>
        <v>2.5529199749924777E-2</v>
      </c>
      <c r="E59" s="29">
        <f>+E55-E37</f>
        <v>9.0763186709534038E-3</v>
      </c>
      <c r="F59" s="29">
        <f>+F55-F37</f>
        <v>2.6302761965800725E-2</v>
      </c>
      <c r="G59" s="29">
        <f>+G55-G37</f>
        <v>1.8130440638978833E-2</v>
      </c>
      <c r="H59" s="29">
        <f>+H55-H37</f>
        <v>1.1851912793200968E-2</v>
      </c>
      <c r="I59" s="30"/>
    </row>
  </sheetData>
  <pageMargins left="0.9055118110236221" right="0.70866141732283472" top="0.55118110236220474" bottom="0.55118110236220474" header="0.31496062992125984" footer="0.31496062992125984"/>
  <pageSetup scale="8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JCS</dc:creator>
  <cp:lastModifiedBy>JCS</cp:lastModifiedBy>
  <cp:lastPrinted>2014-02-19T23:28:14Z</cp:lastPrinted>
  <dcterms:created xsi:type="dcterms:W3CDTF">2014-02-15T20:25:37Z</dcterms:created>
  <dcterms:modified xsi:type="dcterms:W3CDTF">2014-02-19T23:35:36Z</dcterms:modified>
</cp:coreProperties>
</file>