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2972" windowHeight="5268"/>
  </bookViews>
  <sheets>
    <sheet name="Residential" sheetId="2" r:id="rId1"/>
    <sheet name="GS &lt; 50" sheetId="5" r:id="rId2"/>
    <sheet name="GS &gt; 50 Non Interval" sheetId="6" r:id="rId3"/>
    <sheet name="GS &gt; 50 Interval" sheetId="13" r:id="rId4"/>
    <sheet name="GS &gt; 1000" sheetId="8" r:id="rId5"/>
    <sheet name="Embedded" sheetId="14" r:id="rId6"/>
    <sheet name="Street Light" sheetId="10" r:id="rId7"/>
    <sheet name="Sentinel Light" sheetId="11" r:id="rId8"/>
    <sheet name="Unmetered" sheetId="12" r:id="rId9"/>
  </sheets>
  <definedNames>
    <definedName name="EBNUMBER">#REF!</definedName>
    <definedName name="_xlnm.Print_Area" localSheetId="5">Embedded!$A$1:$O$83</definedName>
    <definedName name="_xlnm.Print_Area" localSheetId="1">'GS &lt; 50'!$A$1:$P$382</definedName>
    <definedName name="_xlnm.Print_Area" localSheetId="4">'GS &gt; 1000'!$A$1:$P$236</definedName>
    <definedName name="_xlnm.Print_Area" localSheetId="3">'GS &gt; 50 Interval'!$A$1:$P$309</definedName>
    <definedName name="_xlnm.Print_Area" localSheetId="2">'GS &gt; 50 Non Interval'!$A$1:$P$309</definedName>
    <definedName name="_xlnm.Print_Area" localSheetId="0">Residential!$A$1:$P$528</definedName>
    <definedName name="_xlnm.Print_Area" localSheetId="7">'Sentinel Light'!$A$1:$O$82</definedName>
    <definedName name="_xlnm.Print_Area" localSheetId="6">'Street Light'!$A$1:$P$158</definedName>
    <definedName name="_xlnm.Print_Area" localSheetId="8">Unmetered!$A$1:$P$158</definedName>
  </definedNames>
  <calcPr calcId="145621"/>
</workbook>
</file>

<file path=xl/calcChain.xml><?xml version="1.0" encoding="utf-8"?>
<calcChain xmlns="http://schemas.openxmlformats.org/spreadsheetml/2006/main">
  <c r="J149" i="12" l="1"/>
  <c r="J74" i="12"/>
  <c r="J74" i="11"/>
  <c r="J149" i="10"/>
  <c r="J74" i="10"/>
  <c r="J227" i="8" l="1"/>
  <c r="J151" i="8"/>
  <c r="J74" i="8"/>
  <c r="J299" i="13"/>
  <c r="J224" i="13"/>
  <c r="J149" i="13"/>
  <c r="J74" i="13"/>
  <c r="J299" i="6"/>
  <c r="J224" i="6"/>
  <c r="J149" i="6"/>
  <c r="J74" i="6"/>
  <c r="J373" i="5"/>
  <c r="J298" i="5"/>
  <c r="J222" i="5"/>
  <c r="J148" i="5"/>
  <c r="J74" i="5"/>
  <c r="J149" i="2"/>
  <c r="J519" i="2" s="1"/>
  <c r="J445" i="2"/>
  <c r="J371" i="2"/>
  <c r="J297" i="2"/>
  <c r="J223" i="2"/>
  <c r="F19" i="14" l="1"/>
  <c r="F18" i="14"/>
  <c r="G45" i="11" l="1"/>
  <c r="K45" i="11" l="1"/>
  <c r="G120" i="12" l="1"/>
  <c r="K120" i="12"/>
  <c r="L120" i="12" s="1"/>
  <c r="G132" i="12"/>
  <c r="G131" i="12"/>
  <c r="G130" i="12"/>
  <c r="K123" i="12"/>
  <c r="K119" i="12"/>
  <c r="K118" i="12"/>
  <c r="K117" i="12"/>
  <c r="K116" i="12"/>
  <c r="K115" i="12"/>
  <c r="G119" i="12"/>
  <c r="G118" i="12"/>
  <c r="G117" i="12"/>
  <c r="G116" i="12"/>
  <c r="G115" i="12"/>
  <c r="K113" i="12"/>
  <c r="K112" i="12"/>
  <c r="K111" i="12"/>
  <c r="K110" i="12"/>
  <c r="K108" i="12"/>
  <c r="K107" i="12"/>
  <c r="K106" i="12"/>
  <c r="K105" i="12"/>
  <c r="K104" i="12"/>
  <c r="G113" i="12"/>
  <c r="G112" i="12"/>
  <c r="G111" i="12"/>
  <c r="G110" i="12"/>
  <c r="G108" i="12"/>
  <c r="G107" i="12"/>
  <c r="G106" i="12"/>
  <c r="G104" i="12"/>
  <c r="H64" i="12"/>
  <c r="G133" i="12"/>
  <c r="G58" i="12"/>
  <c r="F45" i="12"/>
  <c r="F120" i="12"/>
  <c r="F45" i="5"/>
  <c r="F344" i="5"/>
  <c r="G55" i="10" l="1"/>
  <c r="K133" i="10"/>
  <c r="K134" i="10" s="1"/>
  <c r="K273" i="13" l="1"/>
  <c r="K273" i="6"/>
  <c r="K51" i="11"/>
  <c r="K48" i="11"/>
  <c r="K51" i="10"/>
  <c r="K126" i="10"/>
  <c r="K130" i="10"/>
  <c r="K132" i="10"/>
  <c r="K131" i="10"/>
  <c r="L130" i="10"/>
  <c r="H29" i="10"/>
  <c r="H32" i="10"/>
  <c r="K211" i="8" l="1"/>
  <c r="K212" i="8" s="1"/>
  <c r="K210" i="8"/>
  <c r="K209" i="8"/>
  <c r="K208" i="8"/>
  <c r="K135" i="8"/>
  <c r="K136" i="8" s="1"/>
  <c r="K134" i="8"/>
  <c r="K133" i="8"/>
  <c r="K132" i="8"/>
  <c r="K58" i="14"/>
  <c r="K59" i="14" s="1"/>
  <c r="K56" i="14" l="1"/>
  <c r="K57" i="14"/>
  <c r="K55" i="14"/>
  <c r="K58" i="8"/>
  <c r="K59" i="8" s="1"/>
  <c r="K57" i="8"/>
  <c r="K56" i="8"/>
  <c r="K55" i="8"/>
  <c r="G205" i="13" l="1"/>
  <c r="G55" i="8"/>
  <c r="L55" i="8"/>
  <c r="K51" i="14" l="1"/>
  <c r="O70" i="14"/>
  <c r="N70" i="14"/>
  <c r="O64" i="14"/>
  <c r="N64" i="14"/>
  <c r="G58" i="14"/>
  <c r="G57" i="14"/>
  <c r="L57" i="14" s="1"/>
  <c r="G56" i="14"/>
  <c r="H56" i="14" s="1"/>
  <c r="G55" i="14"/>
  <c r="L55" i="14" s="1"/>
  <c r="K54" i="14"/>
  <c r="G54" i="14"/>
  <c r="H54" i="14" s="1"/>
  <c r="J53" i="14"/>
  <c r="L53" i="14" s="1"/>
  <c r="N53" i="14" s="1"/>
  <c r="H53" i="14"/>
  <c r="O53" i="14" s="1"/>
  <c r="J52" i="14"/>
  <c r="K52" i="14"/>
  <c r="L52" i="14" s="1"/>
  <c r="J51" i="14"/>
  <c r="G51" i="14"/>
  <c r="H51" i="14" s="1"/>
  <c r="K48" i="14"/>
  <c r="K49" i="14" s="1"/>
  <c r="H48" i="14"/>
  <c r="G48" i="14"/>
  <c r="G49" i="14" s="1"/>
  <c r="H49" i="14" s="1"/>
  <c r="L46" i="14"/>
  <c r="N46" i="14" s="1"/>
  <c r="H46" i="14"/>
  <c r="K45" i="14"/>
  <c r="L45" i="14" s="1"/>
  <c r="G45" i="14"/>
  <c r="K44" i="14"/>
  <c r="G44" i="14"/>
  <c r="H44" i="14" s="1"/>
  <c r="K43" i="14"/>
  <c r="L43" i="14" s="1"/>
  <c r="G43" i="14"/>
  <c r="H43" i="14" s="1"/>
  <c r="O43" i="14" s="1"/>
  <c r="K42" i="14"/>
  <c r="L42" i="14" s="1"/>
  <c r="G42" i="14"/>
  <c r="H42" i="14" s="1"/>
  <c r="O42" i="14" s="1"/>
  <c r="K41" i="14"/>
  <c r="L41" i="14" s="1"/>
  <c r="H41" i="14"/>
  <c r="O41" i="14" s="1"/>
  <c r="G41" i="14"/>
  <c r="L40" i="14"/>
  <c r="K40" i="14"/>
  <c r="G40" i="14"/>
  <c r="H40" i="14" s="1"/>
  <c r="K38" i="14"/>
  <c r="L38" i="14" s="1"/>
  <c r="H38" i="14"/>
  <c r="O38" i="14" s="1"/>
  <c r="G38" i="14"/>
  <c r="L37" i="14"/>
  <c r="K37" i="14"/>
  <c r="G37" i="14"/>
  <c r="H37" i="14" s="1"/>
  <c r="O37" i="14" s="1"/>
  <c r="K36" i="14"/>
  <c r="L36" i="14" s="1"/>
  <c r="H36" i="14"/>
  <c r="O36" i="14" s="1"/>
  <c r="G36" i="14"/>
  <c r="L35" i="14"/>
  <c r="K35" i="14"/>
  <c r="G35" i="14"/>
  <c r="H35" i="14" s="1"/>
  <c r="O35" i="14" s="1"/>
  <c r="K34" i="14"/>
  <c r="L34" i="14" s="1"/>
  <c r="H34" i="14"/>
  <c r="G34" i="14"/>
  <c r="L33" i="14"/>
  <c r="K33" i="14"/>
  <c r="G33" i="14"/>
  <c r="H33" i="14" s="1"/>
  <c r="K32" i="14"/>
  <c r="L32" i="14" s="1"/>
  <c r="H32" i="14"/>
  <c r="G32" i="14"/>
  <c r="K31" i="14"/>
  <c r="G31" i="14"/>
  <c r="H31" i="14" s="1"/>
  <c r="K30" i="14"/>
  <c r="L30" i="14" s="1"/>
  <c r="N30" i="14" s="1"/>
  <c r="H30" i="14"/>
  <c r="O30" i="14" s="1"/>
  <c r="K29" i="14"/>
  <c r="G29" i="14"/>
  <c r="H29" i="14" s="1"/>
  <c r="L28" i="14"/>
  <c r="N28" i="14" s="1"/>
  <c r="H28" i="14"/>
  <c r="O28" i="14" s="1"/>
  <c r="L27" i="14"/>
  <c r="N27" i="14" s="1"/>
  <c r="H27" i="14"/>
  <c r="O27" i="14" s="1"/>
  <c r="L26" i="14"/>
  <c r="N26" i="14" s="1"/>
  <c r="H26" i="14"/>
  <c r="O26" i="14" s="1"/>
  <c r="L25" i="14"/>
  <c r="N25" i="14" s="1"/>
  <c r="H25" i="14"/>
  <c r="O25" i="14" s="1"/>
  <c r="L24" i="14"/>
  <c r="N24" i="14" s="1"/>
  <c r="H24" i="14"/>
  <c r="O24" i="14" s="1"/>
  <c r="H23" i="14"/>
  <c r="K276" i="13"/>
  <c r="N42" i="14" l="1"/>
  <c r="H55" i="14"/>
  <c r="L54" i="14"/>
  <c r="N54" i="14" s="1"/>
  <c r="O54" i="14" s="1"/>
  <c r="H57" i="14"/>
  <c r="N37" i="14"/>
  <c r="N33" i="14"/>
  <c r="N32" i="14"/>
  <c r="O32" i="14" s="1"/>
  <c r="N34" i="14"/>
  <c r="O34" i="14" s="1"/>
  <c r="N36" i="14"/>
  <c r="N38" i="14"/>
  <c r="N41" i="14"/>
  <c r="N43" i="14"/>
  <c r="H58" i="14"/>
  <c r="G59" i="14"/>
  <c r="L49" i="14"/>
  <c r="N49" i="14" s="1"/>
  <c r="O49" i="14" s="1"/>
  <c r="G52" i="14"/>
  <c r="H52" i="14" s="1"/>
  <c r="N55" i="14"/>
  <c r="O55" i="14" s="1"/>
  <c r="L58" i="14"/>
  <c r="L56" i="14"/>
  <c r="N57" i="14"/>
  <c r="O57" i="14" s="1"/>
  <c r="L48" i="14"/>
  <c r="N48" i="14" s="1"/>
  <c r="O48" i="14" s="1"/>
  <c r="O33" i="14"/>
  <c r="N35" i="14"/>
  <c r="N40" i="14"/>
  <c r="O40" i="14" s="1"/>
  <c r="N56" i="14"/>
  <c r="O56" i="14" s="1"/>
  <c r="N52" i="14"/>
  <c r="O52" i="14" s="1"/>
  <c r="H39" i="14"/>
  <c r="L51" i="14"/>
  <c r="N58" i="14" l="1"/>
  <c r="O58" i="14" s="1"/>
  <c r="L59" i="14"/>
  <c r="H59" i="14"/>
  <c r="H45" i="14"/>
  <c r="H47" i="14" s="1"/>
  <c r="N51" i="14"/>
  <c r="O51" i="14" s="1"/>
  <c r="N45" i="14" l="1"/>
  <c r="O45" i="14" s="1"/>
  <c r="N59" i="14"/>
  <c r="O59" i="14" s="1"/>
  <c r="H50" i="14"/>
  <c r="H61" i="14" l="1"/>
  <c r="H67" i="14"/>
  <c r="H68" i="14" l="1"/>
  <c r="H69" i="14" s="1"/>
  <c r="H62" i="14"/>
  <c r="H63" i="14" s="1"/>
  <c r="H65" i="14" l="1"/>
  <c r="H71" i="14"/>
  <c r="K276" i="6" l="1"/>
  <c r="K201" i="6"/>
  <c r="K126" i="6"/>
  <c r="K51" i="6"/>
  <c r="K48" i="2"/>
  <c r="K201" i="13"/>
  <c r="K126" i="13"/>
  <c r="K51" i="13"/>
  <c r="K204" i="8"/>
  <c r="K128" i="8"/>
  <c r="K51" i="8"/>
  <c r="G428" i="2" l="1"/>
  <c r="G427" i="2"/>
  <c r="G426" i="2"/>
  <c r="K426" i="2" s="1"/>
  <c r="G130" i="2" l="1"/>
  <c r="H31" i="8" l="1"/>
  <c r="G58" i="6" l="1"/>
  <c r="K98" i="10" l="1"/>
  <c r="K23" i="10"/>
  <c r="K120" i="10" l="1"/>
  <c r="K119" i="10"/>
  <c r="K118" i="10"/>
  <c r="K117" i="10"/>
  <c r="K116" i="10"/>
  <c r="K115" i="10"/>
  <c r="K45" i="10"/>
  <c r="K113" i="10"/>
  <c r="K112" i="10"/>
  <c r="K111" i="10"/>
  <c r="K110" i="10"/>
  <c r="K109" i="10"/>
  <c r="K108" i="10"/>
  <c r="K107" i="10"/>
  <c r="K106" i="10"/>
  <c r="K104" i="10"/>
  <c r="G129" i="10"/>
  <c r="G130" i="10"/>
  <c r="G131" i="10"/>
  <c r="G132" i="10"/>
  <c r="G133" i="10"/>
  <c r="G134" i="10" s="1"/>
  <c r="G120" i="10"/>
  <c r="G119" i="10"/>
  <c r="G118" i="10"/>
  <c r="G117" i="10"/>
  <c r="G116" i="10"/>
  <c r="G115" i="10"/>
  <c r="G113" i="10"/>
  <c r="G112" i="10"/>
  <c r="G111" i="10"/>
  <c r="G110" i="10"/>
  <c r="G109" i="10"/>
  <c r="G108" i="10"/>
  <c r="G107" i="10"/>
  <c r="G106" i="10"/>
  <c r="G104" i="10"/>
  <c r="G98" i="10"/>
  <c r="K38" i="10"/>
  <c r="K37" i="10"/>
  <c r="K36" i="10"/>
  <c r="K35" i="10"/>
  <c r="K34" i="10"/>
  <c r="K33" i="10"/>
  <c r="K32" i="10"/>
  <c r="K31" i="10"/>
  <c r="K29" i="10"/>
  <c r="K44" i="10"/>
  <c r="K43" i="10"/>
  <c r="K42" i="10"/>
  <c r="K41" i="10"/>
  <c r="K40" i="10"/>
  <c r="G57" i="10"/>
  <c r="G56" i="10"/>
  <c r="G45" i="10"/>
  <c r="G44" i="10"/>
  <c r="G43" i="10"/>
  <c r="G42" i="10"/>
  <c r="G41" i="10"/>
  <c r="G40" i="10"/>
  <c r="G38" i="10"/>
  <c r="G37" i="10"/>
  <c r="G36" i="10"/>
  <c r="G35" i="10"/>
  <c r="G34" i="10"/>
  <c r="G33" i="10"/>
  <c r="G32" i="10"/>
  <c r="G29" i="10"/>
  <c r="G211" i="8"/>
  <c r="G212" i="8" s="1"/>
  <c r="G210" i="8"/>
  <c r="G209" i="8"/>
  <c r="G208" i="8"/>
  <c r="G135" i="8"/>
  <c r="G136" i="8" s="1"/>
  <c r="G134" i="8"/>
  <c r="G133" i="8"/>
  <c r="G132" i="8"/>
  <c r="G58" i="8"/>
  <c r="G59" i="8" s="1"/>
  <c r="G57" i="8"/>
  <c r="G56" i="8"/>
  <c r="J45" i="8"/>
  <c r="G270" i="13" l="1"/>
  <c r="G195" i="13"/>
  <c r="G120" i="13"/>
  <c r="K270" i="6"/>
  <c r="G270" i="6"/>
  <c r="K195" i="6"/>
  <c r="G195" i="6"/>
  <c r="K120" i="6"/>
  <c r="G120" i="6"/>
  <c r="G193" i="5"/>
  <c r="F193" i="5"/>
  <c r="H193" i="5" s="1"/>
  <c r="K344" i="5"/>
  <c r="J344" i="5"/>
  <c r="G344" i="5"/>
  <c r="K269" i="5"/>
  <c r="J269" i="5"/>
  <c r="G269" i="5"/>
  <c r="F269" i="5"/>
  <c r="K193" i="5"/>
  <c r="J193" i="5"/>
  <c r="K119" i="5"/>
  <c r="J119" i="5"/>
  <c r="G119" i="5"/>
  <c r="F119" i="5"/>
  <c r="J45" i="5"/>
  <c r="F490" i="2"/>
  <c r="F416" i="2"/>
  <c r="F342" i="2"/>
  <c r="F268" i="2"/>
  <c r="F194" i="2"/>
  <c r="J490" i="2"/>
  <c r="J416" i="2"/>
  <c r="J342" i="2"/>
  <c r="J268" i="2"/>
  <c r="J194" i="2"/>
  <c r="J120" i="2"/>
  <c r="F120" i="2"/>
  <c r="J45" i="2"/>
  <c r="F45" i="2"/>
  <c r="G282" i="6"/>
  <c r="G281" i="6"/>
  <c r="G280" i="6"/>
  <c r="G283" i="6"/>
  <c r="H344" i="5" l="1"/>
  <c r="L344" i="5"/>
  <c r="H269" i="5"/>
  <c r="L269" i="5"/>
  <c r="L193" i="5"/>
  <c r="H119" i="5"/>
  <c r="L119" i="5"/>
  <c r="O223" i="8"/>
  <c r="N223" i="8"/>
  <c r="O217" i="8"/>
  <c r="N217" i="8"/>
  <c r="H212" i="8"/>
  <c r="H211" i="8"/>
  <c r="H210" i="8"/>
  <c r="H209" i="8"/>
  <c r="H208" i="8"/>
  <c r="K207" i="8"/>
  <c r="J207" i="8"/>
  <c r="H207" i="8"/>
  <c r="G207" i="8"/>
  <c r="J206" i="8"/>
  <c r="L206" i="8" s="1"/>
  <c r="N206" i="8" s="1"/>
  <c r="H206" i="8"/>
  <c r="J205" i="8"/>
  <c r="K205" i="8"/>
  <c r="J204" i="8"/>
  <c r="L204" i="8" s="1"/>
  <c r="G204" i="8"/>
  <c r="G205" i="8" s="1"/>
  <c r="H205" i="8" s="1"/>
  <c r="K201" i="8"/>
  <c r="K202" i="8" s="1"/>
  <c r="L202" i="8" s="1"/>
  <c r="G201" i="8"/>
  <c r="G202" i="8" s="1"/>
  <c r="H202" i="8" s="1"/>
  <c r="L199" i="8"/>
  <c r="N199" i="8" s="1"/>
  <c r="H199" i="8"/>
  <c r="K198" i="8"/>
  <c r="G198" i="8"/>
  <c r="H198" i="8" s="1"/>
  <c r="K197" i="8"/>
  <c r="G197" i="8"/>
  <c r="H197" i="8" s="1"/>
  <c r="K196" i="8"/>
  <c r="L196" i="8" s="1"/>
  <c r="N196" i="8" s="1"/>
  <c r="G196" i="8"/>
  <c r="H196" i="8" s="1"/>
  <c r="O196" i="8" s="1"/>
  <c r="K195" i="8"/>
  <c r="L195" i="8" s="1"/>
  <c r="G195" i="8"/>
  <c r="H195" i="8" s="1"/>
  <c r="O195" i="8" s="1"/>
  <c r="K194" i="8"/>
  <c r="L194" i="8" s="1"/>
  <c r="G194" i="8"/>
  <c r="H194" i="8" s="1"/>
  <c r="O194" i="8" s="1"/>
  <c r="K193" i="8"/>
  <c r="G193" i="8"/>
  <c r="H193" i="8" s="1"/>
  <c r="K191" i="8"/>
  <c r="L191" i="8" s="1"/>
  <c r="G191" i="8"/>
  <c r="H191" i="8" s="1"/>
  <c r="O191" i="8" s="1"/>
  <c r="K190" i="8"/>
  <c r="L190" i="8" s="1"/>
  <c r="G190" i="8"/>
  <c r="H190" i="8" s="1"/>
  <c r="O190" i="8" s="1"/>
  <c r="K189" i="8"/>
  <c r="G189" i="8"/>
  <c r="H189" i="8" s="1"/>
  <c r="O189" i="8" s="1"/>
  <c r="K188" i="8"/>
  <c r="G188" i="8"/>
  <c r="H188" i="8" s="1"/>
  <c r="O188" i="8" s="1"/>
  <c r="K187" i="8"/>
  <c r="H187" i="8"/>
  <c r="G187" i="8"/>
  <c r="L186" i="8"/>
  <c r="K186" i="8"/>
  <c r="H186" i="8"/>
  <c r="G186" i="8"/>
  <c r="L185" i="8"/>
  <c r="K185" i="8"/>
  <c r="H185" i="8"/>
  <c r="G185" i="8"/>
  <c r="K184" i="8"/>
  <c r="G184" i="8"/>
  <c r="H184" i="8" s="1"/>
  <c r="L183" i="8"/>
  <c r="H183" i="8"/>
  <c r="O183" i="8" s="1"/>
  <c r="K182" i="8"/>
  <c r="G182" i="8"/>
  <c r="H182" i="8" s="1"/>
  <c r="O181" i="8"/>
  <c r="L181" i="8"/>
  <c r="H181" i="8"/>
  <c r="L180" i="8"/>
  <c r="N180" i="8" s="1"/>
  <c r="H180" i="8"/>
  <c r="O180" i="8" s="1"/>
  <c r="L179" i="8"/>
  <c r="H179" i="8"/>
  <c r="O179" i="8" s="1"/>
  <c r="L178" i="8"/>
  <c r="N178" i="8" s="1"/>
  <c r="H178" i="8"/>
  <c r="O178" i="8" s="1"/>
  <c r="O177" i="8"/>
  <c r="L177" i="8"/>
  <c r="H177" i="8"/>
  <c r="H176" i="8"/>
  <c r="O147" i="8"/>
  <c r="N147" i="8"/>
  <c r="O141" i="8"/>
  <c r="N141" i="8"/>
  <c r="H136" i="8"/>
  <c r="H135" i="8"/>
  <c r="H134" i="8"/>
  <c r="H133" i="8"/>
  <c r="H132" i="8"/>
  <c r="K131" i="8"/>
  <c r="J131" i="8"/>
  <c r="H131" i="8"/>
  <c r="G131" i="8"/>
  <c r="J130" i="8"/>
  <c r="L130" i="8" s="1"/>
  <c r="N130" i="8" s="1"/>
  <c r="H130" i="8"/>
  <c r="J129" i="8"/>
  <c r="K129" i="8"/>
  <c r="J128" i="8"/>
  <c r="L128" i="8" s="1"/>
  <c r="G128" i="8"/>
  <c r="G129" i="8" s="1"/>
  <c r="H129" i="8" s="1"/>
  <c r="K125" i="8"/>
  <c r="K126" i="8" s="1"/>
  <c r="L126" i="8" s="1"/>
  <c r="G125" i="8"/>
  <c r="G126" i="8" s="1"/>
  <c r="H126" i="8" s="1"/>
  <c r="L123" i="8"/>
  <c r="N123" i="8" s="1"/>
  <c r="H123" i="8"/>
  <c r="K122" i="8"/>
  <c r="L122" i="8" s="1"/>
  <c r="G122" i="8"/>
  <c r="K121" i="8"/>
  <c r="G121" i="8"/>
  <c r="H121" i="8" s="1"/>
  <c r="K120" i="8"/>
  <c r="L120" i="8" s="1"/>
  <c r="G120" i="8"/>
  <c r="H120" i="8" s="1"/>
  <c r="O120" i="8" s="1"/>
  <c r="K119" i="8"/>
  <c r="L119" i="8" s="1"/>
  <c r="G119" i="8"/>
  <c r="H119" i="8" s="1"/>
  <c r="O119" i="8" s="1"/>
  <c r="K118" i="8"/>
  <c r="L118" i="8" s="1"/>
  <c r="G118" i="8"/>
  <c r="H118" i="8" s="1"/>
  <c r="O118" i="8" s="1"/>
  <c r="K117" i="8"/>
  <c r="G117" i="8"/>
  <c r="H117" i="8" s="1"/>
  <c r="K115" i="8"/>
  <c r="L115" i="8" s="1"/>
  <c r="G115" i="8"/>
  <c r="H115" i="8" s="1"/>
  <c r="O115" i="8" s="1"/>
  <c r="K114" i="8"/>
  <c r="L114" i="8" s="1"/>
  <c r="G114" i="8"/>
  <c r="H114" i="8" s="1"/>
  <c r="O114" i="8" s="1"/>
  <c r="K113" i="8"/>
  <c r="G113" i="8"/>
  <c r="H113" i="8" s="1"/>
  <c r="O113" i="8" s="1"/>
  <c r="K112" i="8"/>
  <c r="G112" i="8"/>
  <c r="H112" i="8" s="1"/>
  <c r="O112" i="8" s="1"/>
  <c r="K111" i="8"/>
  <c r="H111" i="8"/>
  <c r="G111" i="8"/>
  <c r="L110" i="8"/>
  <c r="K110" i="8"/>
  <c r="H110" i="8"/>
  <c r="G110" i="8"/>
  <c r="L109" i="8"/>
  <c r="K109" i="8"/>
  <c r="H109" i="8"/>
  <c r="G109" i="8"/>
  <c r="K108" i="8"/>
  <c r="G108" i="8"/>
  <c r="H108" i="8" s="1"/>
  <c r="L107" i="8"/>
  <c r="H107" i="8"/>
  <c r="O107" i="8" s="1"/>
  <c r="K106" i="8"/>
  <c r="G106" i="8"/>
  <c r="H106" i="8" s="1"/>
  <c r="L105" i="8"/>
  <c r="H105" i="8"/>
  <c r="O105" i="8" s="1"/>
  <c r="L104" i="8"/>
  <c r="N104" i="8" s="1"/>
  <c r="H104" i="8"/>
  <c r="O104" i="8" s="1"/>
  <c r="L103" i="8"/>
  <c r="H103" i="8"/>
  <c r="O103" i="8" s="1"/>
  <c r="L102" i="8"/>
  <c r="N102" i="8" s="1"/>
  <c r="H102" i="8"/>
  <c r="O102" i="8" s="1"/>
  <c r="L101" i="8"/>
  <c r="H101" i="8"/>
  <c r="O101" i="8" s="1"/>
  <c r="H100" i="8"/>
  <c r="K45" i="8"/>
  <c r="K44" i="8"/>
  <c r="K43" i="8"/>
  <c r="K42" i="8"/>
  <c r="K41" i="8"/>
  <c r="K40" i="8"/>
  <c r="K38" i="8"/>
  <c r="K37" i="8"/>
  <c r="K36" i="8"/>
  <c r="K35" i="8"/>
  <c r="K34" i="8"/>
  <c r="K33" i="8"/>
  <c r="K32" i="8"/>
  <c r="K31" i="8"/>
  <c r="K29" i="8"/>
  <c r="G48" i="8"/>
  <c r="G45" i="8"/>
  <c r="G44" i="8"/>
  <c r="G43" i="8"/>
  <c r="G42" i="8"/>
  <c r="G41" i="8"/>
  <c r="G40" i="8"/>
  <c r="G38" i="8"/>
  <c r="G37" i="8"/>
  <c r="G36" i="8"/>
  <c r="G35" i="8"/>
  <c r="G34" i="8"/>
  <c r="G33" i="8"/>
  <c r="G32" i="8"/>
  <c r="G31" i="8"/>
  <c r="G29" i="8"/>
  <c r="O295" i="13"/>
  <c r="N295" i="13"/>
  <c r="O289" i="13"/>
  <c r="N289" i="13"/>
  <c r="G284" i="13"/>
  <c r="G283" i="13"/>
  <c r="H283" i="13" s="1"/>
  <c r="G282" i="13"/>
  <c r="H282" i="13" s="1"/>
  <c r="G281" i="13"/>
  <c r="H281" i="13" s="1"/>
  <c r="G280" i="13"/>
  <c r="H280" i="13" s="1"/>
  <c r="K279" i="13"/>
  <c r="J279" i="13"/>
  <c r="H279" i="13"/>
  <c r="G279" i="13"/>
  <c r="J278" i="13"/>
  <c r="L278" i="13" s="1"/>
  <c r="N278" i="13" s="1"/>
  <c r="H278" i="13"/>
  <c r="K277" i="13"/>
  <c r="J277" i="13"/>
  <c r="J276" i="13"/>
  <c r="L276" i="13" s="1"/>
  <c r="G276" i="13"/>
  <c r="G277" i="13" s="1"/>
  <c r="H277" i="13" s="1"/>
  <c r="K274" i="13"/>
  <c r="L273" i="13"/>
  <c r="G273" i="13"/>
  <c r="G274" i="13" s="1"/>
  <c r="H274" i="13" s="1"/>
  <c r="L271" i="13"/>
  <c r="N271" i="13" s="1"/>
  <c r="H271" i="13"/>
  <c r="K270" i="13"/>
  <c r="K269" i="13"/>
  <c r="G269" i="13"/>
  <c r="H269" i="13" s="1"/>
  <c r="K268" i="13"/>
  <c r="L268" i="13" s="1"/>
  <c r="G268" i="13"/>
  <c r="H268" i="13" s="1"/>
  <c r="O268" i="13" s="1"/>
  <c r="K267" i="13"/>
  <c r="L267" i="13" s="1"/>
  <c r="G267" i="13"/>
  <c r="H267" i="13" s="1"/>
  <c r="O267" i="13" s="1"/>
  <c r="K266" i="13"/>
  <c r="L266" i="13" s="1"/>
  <c r="G266" i="13"/>
  <c r="H266" i="13" s="1"/>
  <c r="O266" i="13" s="1"/>
  <c r="K265" i="13"/>
  <c r="H265" i="13"/>
  <c r="G265" i="13"/>
  <c r="L263" i="13"/>
  <c r="K263" i="13"/>
  <c r="H263" i="13"/>
  <c r="O263" i="13" s="1"/>
  <c r="G263" i="13"/>
  <c r="L262" i="13"/>
  <c r="K262" i="13"/>
  <c r="H262" i="13"/>
  <c r="O262" i="13" s="1"/>
  <c r="G262" i="13"/>
  <c r="K261" i="13"/>
  <c r="H261" i="13"/>
  <c r="O261" i="13" s="1"/>
  <c r="G261" i="13"/>
  <c r="K260" i="13"/>
  <c r="G260" i="13"/>
  <c r="H260" i="13" s="1"/>
  <c r="O260" i="13" s="1"/>
  <c r="L259" i="13"/>
  <c r="H259" i="13"/>
  <c r="O259" i="13" s="1"/>
  <c r="K258" i="13"/>
  <c r="L258" i="13" s="1"/>
  <c r="G258" i="13"/>
  <c r="H258" i="13" s="1"/>
  <c r="K257" i="13"/>
  <c r="L257" i="13" s="1"/>
  <c r="G257" i="13"/>
  <c r="H257" i="13" s="1"/>
  <c r="K256" i="13"/>
  <c r="H256" i="13"/>
  <c r="G256" i="13"/>
  <c r="L255" i="13"/>
  <c r="H255" i="13"/>
  <c r="O255" i="13" s="1"/>
  <c r="K254" i="13"/>
  <c r="G254" i="13"/>
  <c r="H254" i="13" s="1"/>
  <c r="L253" i="13"/>
  <c r="H253" i="13"/>
  <c r="O253" i="13" s="1"/>
  <c r="L252" i="13"/>
  <c r="H252" i="13"/>
  <c r="O252" i="13" s="1"/>
  <c r="L251" i="13"/>
  <c r="H251" i="13"/>
  <c r="O251" i="13" s="1"/>
  <c r="L250" i="13"/>
  <c r="H250" i="13"/>
  <c r="O250" i="13" s="1"/>
  <c r="L249" i="13"/>
  <c r="H249" i="13"/>
  <c r="O249" i="13" s="1"/>
  <c r="H248" i="13"/>
  <c r="O220" i="13"/>
  <c r="N220" i="13"/>
  <c r="O214" i="13"/>
  <c r="N214" i="13"/>
  <c r="G209" i="13"/>
  <c r="G208" i="13"/>
  <c r="K208" i="13" s="1"/>
  <c r="L208" i="13" s="1"/>
  <c r="G207" i="13"/>
  <c r="K207" i="13" s="1"/>
  <c r="L207" i="13" s="1"/>
  <c r="G206" i="13"/>
  <c r="K206" i="13" s="1"/>
  <c r="L206" i="13" s="1"/>
  <c r="K205" i="13"/>
  <c r="L205" i="13" s="1"/>
  <c r="K204" i="13"/>
  <c r="J204" i="13"/>
  <c r="H204" i="13"/>
  <c r="G204" i="13"/>
  <c r="J203" i="13"/>
  <c r="L203" i="13" s="1"/>
  <c r="N203" i="13" s="1"/>
  <c r="H203" i="13"/>
  <c r="K202" i="13"/>
  <c r="J202" i="13"/>
  <c r="J201" i="13"/>
  <c r="L201" i="13" s="1"/>
  <c r="G201" i="13"/>
  <c r="G202" i="13" s="1"/>
  <c r="H202" i="13" s="1"/>
  <c r="K199" i="13"/>
  <c r="K198" i="13"/>
  <c r="L198" i="13"/>
  <c r="G198" i="13"/>
  <c r="G199" i="13" s="1"/>
  <c r="H199" i="13" s="1"/>
  <c r="L196" i="13"/>
  <c r="N196" i="13" s="1"/>
  <c r="H196" i="13"/>
  <c r="K195" i="13"/>
  <c r="K194" i="13"/>
  <c r="G194" i="13"/>
  <c r="H194" i="13" s="1"/>
  <c r="K193" i="13"/>
  <c r="L193" i="13" s="1"/>
  <c r="N193" i="13" s="1"/>
  <c r="G193" i="13"/>
  <c r="H193" i="13" s="1"/>
  <c r="O193" i="13" s="1"/>
  <c r="K192" i="13"/>
  <c r="L192" i="13" s="1"/>
  <c r="G192" i="13"/>
  <c r="H192" i="13" s="1"/>
  <c r="O192" i="13" s="1"/>
  <c r="K191" i="13"/>
  <c r="L191" i="13" s="1"/>
  <c r="G191" i="13"/>
  <c r="H191" i="13" s="1"/>
  <c r="O191" i="13" s="1"/>
  <c r="K190" i="13"/>
  <c r="G190" i="13"/>
  <c r="H190" i="13" s="1"/>
  <c r="K188" i="13"/>
  <c r="L188" i="13" s="1"/>
  <c r="G188" i="13"/>
  <c r="H188" i="13" s="1"/>
  <c r="O188" i="13" s="1"/>
  <c r="K187" i="13"/>
  <c r="L187" i="13" s="1"/>
  <c r="G187" i="13"/>
  <c r="H187" i="13" s="1"/>
  <c r="O187" i="13" s="1"/>
  <c r="K186" i="13"/>
  <c r="G186" i="13"/>
  <c r="H186" i="13" s="1"/>
  <c r="O186" i="13" s="1"/>
  <c r="K185" i="13"/>
  <c r="G185" i="13"/>
  <c r="H185" i="13" s="1"/>
  <c r="O185" i="13" s="1"/>
  <c r="L184" i="13"/>
  <c r="H184" i="13"/>
  <c r="O184" i="13" s="1"/>
  <c r="L183" i="13"/>
  <c r="K183" i="13"/>
  <c r="H183" i="13"/>
  <c r="G183" i="13"/>
  <c r="L182" i="13"/>
  <c r="K182" i="13"/>
  <c r="H182" i="13"/>
  <c r="G182" i="13"/>
  <c r="K181" i="13"/>
  <c r="G181" i="13"/>
  <c r="H181" i="13" s="1"/>
  <c r="L180" i="13"/>
  <c r="H180" i="13"/>
  <c r="N180" i="13" s="1"/>
  <c r="K179" i="13"/>
  <c r="H179" i="13"/>
  <c r="G179" i="13"/>
  <c r="L178" i="13"/>
  <c r="H178" i="13"/>
  <c r="O178" i="13" s="1"/>
  <c r="L177" i="13"/>
  <c r="N177" i="13" s="1"/>
  <c r="H177" i="13"/>
  <c r="O177" i="13" s="1"/>
  <c r="L176" i="13"/>
  <c r="H176" i="13"/>
  <c r="O176" i="13" s="1"/>
  <c r="L175" i="13"/>
  <c r="N175" i="13" s="1"/>
  <c r="H175" i="13"/>
  <c r="O175" i="13" s="1"/>
  <c r="L174" i="13"/>
  <c r="H174" i="13"/>
  <c r="O174" i="13" s="1"/>
  <c r="H173" i="13"/>
  <c r="O145" i="13"/>
  <c r="N145" i="13"/>
  <c r="O139" i="13"/>
  <c r="N139" i="13"/>
  <c r="G134" i="13"/>
  <c r="G133" i="13"/>
  <c r="K133" i="13" s="1"/>
  <c r="L133" i="13" s="1"/>
  <c r="G132" i="13"/>
  <c r="K132" i="13" s="1"/>
  <c r="L132" i="13" s="1"/>
  <c r="G131" i="13"/>
  <c r="K131" i="13" s="1"/>
  <c r="L131" i="13" s="1"/>
  <c r="G130" i="13"/>
  <c r="K130" i="13" s="1"/>
  <c r="L130" i="13" s="1"/>
  <c r="K129" i="13"/>
  <c r="J129" i="13"/>
  <c r="H129" i="13"/>
  <c r="G129" i="13"/>
  <c r="J128" i="13"/>
  <c r="L128" i="13" s="1"/>
  <c r="N128" i="13" s="1"/>
  <c r="H128" i="13"/>
  <c r="K127" i="13"/>
  <c r="J127" i="13"/>
  <c r="J126" i="13"/>
  <c r="L126" i="13" s="1"/>
  <c r="G126" i="13"/>
  <c r="G127" i="13" s="1"/>
  <c r="H127" i="13" s="1"/>
  <c r="K123" i="13"/>
  <c r="K124" i="13" s="1"/>
  <c r="L123" i="13"/>
  <c r="G123" i="13"/>
  <c r="G124" i="13" s="1"/>
  <c r="H124" i="13" s="1"/>
  <c r="L121" i="13"/>
  <c r="N121" i="13" s="1"/>
  <c r="H121" i="13"/>
  <c r="K120" i="13"/>
  <c r="K119" i="13"/>
  <c r="G119" i="13"/>
  <c r="H119" i="13" s="1"/>
  <c r="K118" i="13"/>
  <c r="L118" i="13" s="1"/>
  <c r="G118" i="13"/>
  <c r="H118" i="13" s="1"/>
  <c r="O118" i="13" s="1"/>
  <c r="K117" i="13"/>
  <c r="L117" i="13" s="1"/>
  <c r="G117" i="13"/>
  <c r="H117" i="13" s="1"/>
  <c r="O117" i="13" s="1"/>
  <c r="K116" i="13"/>
  <c r="L116" i="13" s="1"/>
  <c r="G116" i="13"/>
  <c r="H116" i="13" s="1"/>
  <c r="O116" i="13" s="1"/>
  <c r="K115" i="13"/>
  <c r="H115" i="13"/>
  <c r="G115" i="13"/>
  <c r="L113" i="13"/>
  <c r="K113" i="13"/>
  <c r="H113" i="13"/>
  <c r="O113" i="13" s="1"/>
  <c r="G113" i="13"/>
  <c r="L112" i="13"/>
  <c r="K112" i="13"/>
  <c r="H112" i="13"/>
  <c r="O112" i="13" s="1"/>
  <c r="G112" i="13"/>
  <c r="K111" i="13"/>
  <c r="H111" i="13"/>
  <c r="O111" i="13" s="1"/>
  <c r="G111" i="13"/>
  <c r="K110" i="13"/>
  <c r="G110" i="13"/>
  <c r="H110" i="13" s="1"/>
  <c r="O110" i="13" s="1"/>
  <c r="L109" i="13"/>
  <c r="H109" i="13"/>
  <c r="N109" i="13" s="1"/>
  <c r="K108" i="13"/>
  <c r="L108" i="13" s="1"/>
  <c r="G108" i="13"/>
  <c r="H108" i="13" s="1"/>
  <c r="K107" i="13"/>
  <c r="L107" i="13" s="1"/>
  <c r="G107" i="13"/>
  <c r="H107" i="13" s="1"/>
  <c r="K106" i="13"/>
  <c r="H106" i="13"/>
  <c r="G106" i="13"/>
  <c r="L105" i="13"/>
  <c r="H105" i="13"/>
  <c r="O105" i="13" s="1"/>
  <c r="K104" i="13"/>
  <c r="G104" i="13"/>
  <c r="H104" i="13" s="1"/>
  <c r="L103" i="13"/>
  <c r="H103" i="13"/>
  <c r="N103" i="13" s="1"/>
  <c r="L102" i="13"/>
  <c r="H102" i="13"/>
  <c r="N102" i="13" s="1"/>
  <c r="L101" i="13"/>
  <c r="H101" i="13"/>
  <c r="N101" i="13" s="1"/>
  <c r="L100" i="13"/>
  <c r="H100" i="13"/>
  <c r="N100" i="13" s="1"/>
  <c r="L99" i="13"/>
  <c r="H99" i="13"/>
  <c r="N99" i="13" s="1"/>
  <c r="H98" i="13"/>
  <c r="O70" i="13"/>
  <c r="N70" i="13"/>
  <c r="O64" i="13"/>
  <c r="N64" i="13"/>
  <c r="G59" i="13"/>
  <c r="H59" i="13" s="1"/>
  <c r="G58" i="13"/>
  <c r="H58" i="13" s="1"/>
  <c r="G57" i="13"/>
  <c r="H57" i="13" s="1"/>
  <c r="G56" i="13"/>
  <c r="H56" i="13" s="1"/>
  <c r="G55" i="13"/>
  <c r="H55" i="13" s="1"/>
  <c r="K54" i="13"/>
  <c r="J54" i="13"/>
  <c r="H54" i="13"/>
  <c r="G54" i="13"/>
  <c r="J53" i="13"/>
  <c r="L53" i="13" s="1"/>
  <c r="N53" i="13" s="1"/>
  <c r="H53" i="13"/>
  <c r="K52" i="13"/>
  <c r="J52" i="13"/>
  <c r="J51" i="13"/>
  <c r="L51" i="13" s="1"/>
  <c r="G51" i="13"/>
  <c r="G52" i="13" s="1"/>
  <c r="H52" i="13" s="1"/>
  <c r="K49" i="13"/>
  <c r="K48" i="13"/>
  <c r="L48" i="13"/>
  <c r="G48" i="13"/>
  <c r="G49" i="13" s="1"/>
  <c r="H49" i="13" s="1"/>
  <c r="L46" i="13"/>
  <c r="N46" i="13" s="1"/>
  <c r="H46" i="13"/>
  <c r="K45" i="13"/>
  <c r="G45" i="13"/>
  <c r="K44" i="13"/>
  <c r="G44" i="13"/>
  <c r="H44" i="13" s="1"/>
  <c r="K43" i="13"/>
  <c r="L43" i="13" s="1"/>
  <c r="G43" i="13"/>
  <c r="H43" i="13" s="1"/>
  <c r="O43" i="13" s="1"/>
  <c r="K42" i="13"/>
  <c r="L42" i="13" s="1"/>
  <c r="G42" i="13"/>
  <c r="H42" i="13" s="1"/>
  <c r="O42" i="13" s="1"/>
  <c r="K41" i="13"/>
  <c r="L41" i="13" s="1"/>
  <c r="G41" i="13"/>
  <c r="H41" i="13" s="1"/>
  <c r="O41" i="13" s="1"/>
  <c r="K40" i="13"/>
  <c r="H40" i="13"/>
  <c r="G40" i="13"/>
  <c r="L38" i="13"/>
  <c r="K38" i="13"/>
  <c r="H38" i="13"/>
  <c r="O38" i="13" s="1"/>
  <c r="G38" i="13"/>
  <c r="L37" i="13"/>
  <c r="K37" i="13"/>
  <c r="H37" i="13"/>
  <c r="O37" i="13" s="1"/>
  <c r="G37" i="13"/>
  <c r="K36" i="13"/>
  <c r="H36" i="13"/>
  <c r="O36" i="13" s="1"/>
  <c r="G36" i="13"/>
  <c r="K35" i="13"/>
  <c r="G35" i="13"/>
  <c r="H35" i="13" s="1"/>
  <c r="O35" i="13" s="1"/>
  <c r="L34" i="13"/>
  <c r="H34" i="13"/>
  <c r="O34" i="13" s="1"/>
  <c r="K33" i="13"/>
  <c r="L33" i="13" s="1"/>
  <c r="G33" i="13"/>
  <c r="H33" i="13" s="1"/>
  <c r="K32" i="13"/>
  <c r="L32" i="13" s="1"/>
  <c r="G32" i="13"/>
  <c r="H32" i="13" s="1"/>
  <c r="K31" i="13"/>
  <c r="H31" i="13"/>
  <c r="G31" i="13"/>
  <c r="L30" i="13"/>
  <c r="H30" i="13"/>
  <c r="O30" i="13" s="1"/>
  <c r="K29" i="13"/>
  <c r="G29" i="13"/>
  <c r="H29" i="13" s="1"/>
  <c r="L28" i="13"/>
  <c r="H28" i="13"/>
  <c r="O28" i="13" s="1"/>
  <c r="L27" i="13"/>
  <c r="H27" i="13"/>
  <c r="O27" i="13" s="1"/>
  <c r="L26" i="13"/>
  <c r="H26" i="13"/>
  <c r="O26" i="13" s="1"/>
  <c r="L25" i="13"/>
  <c r="H25" i="13"/>
  <c r="O25" i="13" s="1"/>
  <c r="L24" i="13"/>
  <c r="H24" i="13"/>
  <c r="O24" i="13" s="1"/>
  <c r="H23" i="13"/>
  <c r="K45" i="6"/>
  <c r="G45" i="6"/>
  <c r="G45" i="5"/>
  <c r="O295" i="6"/>
  <c r="N295" i="6"/>
  <c r="O289" i="6"/>
  <c r="N289" i="6"/>
  <c r="G284" i="6"/>
  <c r="H283" i="6"/>
  <c r="H282" i="6"/>
  <c r="H281" i="6"/>
  <c r="H280" i="6"/>
  <c r="K279" i="6"/>
  <c r="J279" i="6"/>
  <c r="G279" i="6"/>
  <c r="H279" i="6" s="1"/>
  <c r="L278" i="6"/>
  <c r="J278" i="6"/>
  <c r="H278" i="6"/>
  <c r="J277" i="6"/>
  <c r="K277" i="6"/>
  <c r="L277" i="6" s="1"/>
  <c r="J276" i="6"/>
  <c r="G276" i="6"/>
  <c r="G277" i="6" s="1"/>
  <c r="H277" i="6" s="1"/>
  <c r="K274" i="6"/>
  <c r="L274" i="6" s="1"/>
  <c r="G273" i="6"/>
  <c r="G274" i="6" s="1"/>
  <c r="H274" i="6" s="1"/>
  <c r="L271" i="6"/>
  <c r="H271" i="6"/>
  <c r="K269" i="6"/>
  <c r="G269" i="6"/>
  <c r="H269" i="6" s="1"/>
  <c r="K268" i="6"/>
  <c r="L268" i="6" s="1"/>
  <c r="G268" i="6"/>
  <c r="H268" i="6" s="1"/>
  <c r="O268" i="6" s="1"/>
  <c r="K267" i="6"/>
  <c r="L267" i="6" s="1"/>
  <c r="G267" i="6"/>
  <c r="H267" i="6" s="1"/>
  <c r="O267" i="6" s="1"/>
  <c r="K266" i="6"/>
  <c r="L266" i="6" s="1"/>
  <c r="G266" i="6"/>
  <c r="H266" i="6" s="1"/>
  <c r="O266" i="6" s="1"/>
  <c r="K265" i="6"/>
  <c r="G265" i="6"/>
  <c r="H265" i="6" s="1"/>
  <c r="K263" i="6"/>
  <c r="L263" i="6" s="1"/>
  <c r="G263" i="6"/>
  <c r="H263" i="6" s="1"/>
  <c r="O263" i="6" s="1"/>
  <c r="K262" i="6"/>
  <c r="L262" i="6" s="1"/>
  <c r="G262" i="6"/>
  <c r="H262" i="6" s="1"/>
  <c r="O262" i="6" s="1"/>
  <c r="K261" i="6"/>
  <c r="G261" i="6"/>
  <c r="H261" i="6" s="1"/>
  <c r="O261" i="6" s="1"/>
  <c r="K260" i="6"/>
  <c r="G260" i="6"/>
  <c r="H260" i="6" s="1"/>
  <c r="O260" i="6" s="1"/>
  <c r="L259" i="6"/>
  <c r="H259" i="6"/>
  <c r="O259" i="6" s="1"/>
  <c r="K258" i="6"/>
  <c r="L258" i="6" s="1"/>
  <c r="G258" i="6"/>
  <c r="H258" i="6" s="1"/>
  <c r="K257" i="6"/>
  <c r="L257" i="6" s="1"/>
  <c r="G257" i="6"/>
  <c r="H257" i="6" s="1"/>
  <c r="K256" i="6"/>
  <c r="H256" i="6"/>
  <c r="G256" i="6"/>
  <c r="L255" i="6"/>
  <c r="H255" i="6"/>
  <c r="O255" i="6" s="1"/>
  <c r="K254" i="6"/>
  <c r="G254" i="6"/>
  <c r="H254" i="6" s="1"/>
  <c r="L253" i="6"/>
  <c r="H253" i="6"/>
  <c r="O253" i="6" s="1"/>
  <c r="L252" i="6"/>
  <c r="H252" i="6"/>
  <c r="O252" i="6" s="1"/>
  <c r="L251" i="6"/>
  <c r="H251" i="6"/>
  <c r="O251" i="6" s="1"/>
  <c r="L250" i="6"/>
  <c r="H250" i="6"/>
  <c r="O250" i="6" s="1"/>
  <c r="L249" i="6"/>
  <c r="H249" i="6"/>
  <c r="O249" i="6" s="1"/>
  <c r="H248" i="6"/>
  <c r="O220" i="6"/>
  <c r="N220" i="6"/>
  <c r="O214" i="6"/>
  <c r="N214" i="6"/>
  <c r="G209" i="6"/>
  <c r="G208" i="6"/>
  <c r="H208" i="6" s="1"/>
  <c r="G207" i="6"/>
  <c r="H207" i="6" s="1"/>
  <c r="G206" i="6"/>
  <c r="H206" i="6" s="1"/>
  <c r="G205" i="6"/>
  <c r="H205" i="6" s="1"/>
  <c r="K204" i="6"/>
  <c r="J204" i="6"/>
  <c r="H204" i="6"/>
  <c r="G204" i="6"/>
  <c r="J203" i="6"/>
  <c r="L203" i="6" s="1"/>
  <c r="N203" i="6" s="1"/>
  <c r="H203" i="6"/>
  <c r="J202" i="6"/>
  <c r="K202" i="6"/>
  <c r="J201" i="6"/>
  <c r="L201" i="6" s="1"/>
  <c r="G201" i="6"/>
  <c r="G202" i="6" s="1"/>
  <c r="H202" i="6" s="1"/>
  <c r="K198" i="6"/>
  <c r="K199" i="6" s="1"/>
  <c r="L199" i="6" s="1"/>
  <c r="G198" i="6"/>
  <c r="G199" i="6" s="1"/>
  <c r="H199" i="6" s="1"/>
  <c r="L196" i="6"/>
  <c r="N196" i="6" s="1"/>
  <c r="H196" i="6"/>
  <c r="K194" i="6"/>
  <c r="G194" i="6"/>
  <c r="H194" i="6" s="1"/>
  <c r="K193" i="6"/>
  <c r="L193" i="6" s="1"/>
  <c r="N193" i="6" s="1"/>
  <c r="G193" i="6"/>
  <c r="H193" i="6" s="1"/>
  <c r="O193" i="6" s="1"/>
  <c r="K192" i="6"/>
  <c r="L192" i="6" s="1"/>
  <c r="G192" i="6"/>
  <c r="H192" i="6" s="1"/>
  <c r="O192" i="6" s="1"/>
  <c r="K191" i="6"/>
  <c r="L191" i="6" s="1"/>
  <c r="G191" i="6"/>
  <c r="H191" i="6" s="1"/>
  <c r="O191" i="6" s="1"/>
  <c r="K190" i="6"/>
  <c r="G190" i="6"/>
  <c r="H190" i="6" s="1"/>
  <c r="K188" i="6"/>
  <c r="L188" i="6" s="1"/>
  <c r="G188" i="6"/>
  <c r="H188" i="6" s="1"/>
  <c r="O188" i="6" s="1"/>
  <c r="K187" i="6"/>
  <c r="L187" i="6" s="1"/>
  <c r="G187" i="6"/>
  <c r="H187" i="6" s="1"/>
  <c r="O187" i="6" s="1"/>
  <c r="K186" i="6"/>
  <c r="G186" i="6"/>
  <c r="H186" i="6" s="1"/>
  <c r="O186" i="6" s="1"/>
  <c r="K185" i="6"/>
  <c r="G185" i="6"/>
  <c r="H185" i="6" s="1"/>
  <c r="O185" i="6" s="1"/>
  <c r="L184" i="6"/>
  <c r="H184" i="6"/>
  <c r="O184" i="6" s="1"/>
  <c r="K183" i="6"/>
  <c r="L183" i="6" s="1"/>
  <c r="G183" i="6"/>
  <c r="H183" i="6" s="1"/>
  <c r="K182" i="6"/>
  <c r="L182" i="6" s="1"/>
  <c r="G182" i="6"/>
  <c r="H182" i="6" s="1"/>
  <c r="K181" i="6"/>
  <c r="H181" i="6"/>
  <c r="G181" i="6"/>
  <c r="L180" i="6"/>
  <c r="H180" i="6"/>
  <c r="O180" i="6" s="1"/>
  <c r="K179" i="6"/>
  <c r="G179" i="6"/>
  <c r="H179" i="6" s="1"/>
  <c r="L178" i="6"/>
  <c r="H178" i="6"/>
  <c r="O178" i="6" s="1"/>
  <c r="L177" i="6"/>
  <c r="H177" i="6"/>
  <c r="O177" i="6" s="1"/>
  <c r="L176" i="6"/>
  <c r="H176" i="6"/>
  <c r="O176" i="6" s="1"/>
  <c r="L175" i="6"/>
  <c r="H175" i="6"/>
  <c r="O175" i="6" s="1"/>
  <c r="L174" i="6"/>
  <c r="H174" i="6"/>
  <c r="O174" i="6" s="1"/>
  <c r="H173" i="6"/>
  <c r="O145" i="6"/>
  <c r="N145" i="6"/>
  <c r="O139" i="6"/>
  <c r="N139" i="6"/>
  <c r="G134" i="6"/>
  <c r="G133" i="6"/>
  <c r="H133" i="6" s="1"/>
  <c r="G132" i="6"/>
  <c r="H132" i="6" s="1"/>
  <c r="G131" i="6"/>
  <c r="H131" i="6" s="1"/>
  <c r="G130" i="6"/>
  <c r="H130" i="6" s="1"/>
  <c r="K129" i="6"/>
  <c r="J129" i="6"/>
  <c r="H129" i="6"/>
  <c r="G129" i="6"/>
  <c r="J128" i="6"/>
  <c r="L128" i="6" s="1"/>
  <c r="N128" i="6" s="1"/>
  <c r="H128" i="6"/>
  <c r="J127" i="6"/>
  <c r="K127" i="6"/>
  <c r="J126" i="6"/>
  <c r="L126" i="6" s="1"/>
  <c r="G126" i="6"/>
  <c r="G127" i="6" s="1"/>
  <c r="H127" i="6" s="1"/>
  <c r="K123" i="6"/>
  <c r="K124" i="6" s="1"/>
  <c r="L124" i="6" s="1"/>
  <c r="G123" i="6"/>
  <c r="G124" i="6" s="1"/>
  <c r="H124" i="6" s="1"/>
  <c r="L121" i="6"/>
  <c r="N121" i="6" s="1"/>
  <c r="H121" i="6"/>
  <c r="K119" i="6"/>
  <c r="G119" i="6"/>
  <c r="H119" i="6" s="1"/>
  <c r="K118" i="6"/>
  <c r="L118" i="6" s="1"/>
  <c r="N118" i="6" s="1"/>
  <c r="G118" i="6"/>
  <c r="H118" i="6" s="1"/>
  <c r="O118" i="6" s="1"/>
  <c r="K117" i="6"/>
  <c r="L117" i="6" s="1"/>
  <c r="G117" i="6"/>
  <c r="H117" i="6" s="1"/>
  <c r="O117" i="6" s="1"/>
  <c r="K116" i="6"/>
  <c r="L116" i="6" s="1"/>
  <c r="G116" i="6"/>
  <c r="H116" i="6" s="1"/>
  <c r="O116" i="6" s="1"/>
  <c r="K115" i="6"/>
  <c r="G115" i="6"/>
  <c r="H115" i="6" s="1"/>
  <c r="K113" i="6"/>
  <c r="L113" i="6" s="1"/>
  <c r="G113" i="6"/>
  <c r="H113" i="6" s="1"/>
  <c r="O113" i="6" s="1"/>
  <c r="K112" i="6"/>
  <c r="L112" i="6" s="1"/>
  <c r="G112" i="6"/>
  <c r="H112" i="6" s="1"/>
  <c r="O112" i="6" s="1"/>
  <c r="K111" i="6"/>
  <c r="G111" i="6"/>
  <c r="H111" i="6" s="1"/>
  <c r="O111" i="6" s="1"/>
  <c r="K110" i="6"/>
  <c r="G110" i="6"/>
  <c r="H110" i="6" s="1"/>
  <c r="O110" i="6" s="1"/>
  <c r="L109" i="6"/>
  <c r="H109" i="6"/>
  <c r="O109" i="6" s="1"/>
  <c r="K108" i="6"/>
  <c r="L108" i="6" s="1"/>
  <c r="G108" i="6"/>
  <c r="H108" i="6" s="1"/>
  <c r="K107" i="6"/>
  <c r="L107" i="6" s="1"/>
  <c r="G107" i="6"/>
  <c r="H107" i="6" s="1"/>
  <c r="K106" i="6"/>
  <c r="H106" i="6"/>
  <c r="G106" i="6"/>
  <c r="L105" i="6"/>
  <c r="N105" i="6" s="1"/>
  <c r="H105" i="6"/>
  <c r="O105" i="6" s="1"/>
  <c r="K104" i="6"/>
  <c r="G104" i="6"/>
  <c r="H104" i="6" s="1"/>
  <c r="L103" i="6"/>
  <c r="H103" i="6"/>
  <c r="O103" i="6" s="1"/>
  <c r="L102" i="6"/>
  <c r="N102" i="6" s="1"/>
  <c r="H102" i="6"/>
  <c r="O102" i="6" s="1"/>
  <c r="L101" i="6"/>
  <c r="H101" i="6"/>
  <c r="O101" i="6" s="1"/>
  <c r="L100" i="6"/>
  <c r="N100" i="6" s="1"/>
  <c r="H100" i="6"/>
  <c r="O100" i="6" s="1"/>
  <c r="L99" i="6"/>
  <c r="H99" i="6"/>
  <c r="O99" i="6" s="1"/>
  <c r="H98" i="6"/>
  <c r="K44" i="6"/>
  <c r="K43" i="6"/>
  <c r="K42" i="6"/>
  <c r="K41" i="6"/>
  <c r="K40" i="6"/>
  <c r="K38" i="6"/>
  <c r="K37" i="6"/>
  <c r="K36" i="6"/>
  <c r="K35" i="6"/>
  <c r="K33" i="6"/>
  <c r="K32" i="6"/>
  <c r="K31" i="6"/>
  <c r="K29" i="6"/>
  <c r="G57" i="6"/>
  <c r="G56" i="6"/>
  <c r="G55" i="6"/>
  <c r="G44" i="6"/>
  <c r="G43" i="6"/>
  <c r="G42" i="6"/>
  <c r="G41" i="6"/>
  <c r="G40" i="6"/>
  <c r="G38" i="6"/>
  <c r="G37" i="6"/>
  <c r="G36" i="6"/>
  <c r="G35" i="6"/>
  <c r="G33" i="6"/>
  <c r="G32" i="6"/>
  <c r="G31" i="6"/>
  <c r="G29" i="6"/>
  <c r="G133" i="5"/>
  <c r="H133" i="5" s="1"/>
  <c r="G132" i="5"/>
  <c r="H132" i="5" s="1"/>
  <c r="G131" i="5"/>
  <c r="H131" i="5" s="1"/>
  <c r="G130" i="5"/>
  <c r="H130" i="5" s="1"/>
  <c r="G129" i="5"/>
  <c r="H129" i="5" s="1"/>
  <c r="K128" i="5"/>
  <c r="J128" i="5"/>
  <c r="H128" i="5"/>
  <c r="G128" i="5"/>
  <c r="L127" i="5"/>
  <c r="J127" i="5"/>
  <c r="H127" i="5"/>
  <c r="J126" i="5"/>
  <c r="J125" i="5"/>
  <c r="K122" i="5"/>
  <c r="K123" i="5" s="1"/>
  <c r="K125" i="5" s="1"/>
  <c r="G122" i="5"/>
  <c r="G123" i="5" s="1"/>
  <c r="L120" i="5"/>
  <c r="N120" i="5" s="1"/>
  <c r="H120" i="5"/>
  <c r="K118" i="5"/>
  <c r="G118" i="5"/>
  <c r="H118" i="5" s="1"/>
  <c r="K117" i="5"/>
  <c r="L117" i="5" s="1"/>
  <c r="G117" i="5"/>
  <c r="H117" i="5" s="1"/>
  <c r="O117" i="5" s="1"/>
  <c r="K116" i="5"/>
  <c r="L116" i="5" s="1"/>
  <c r="G116" i="5"/>
  <c r="H116" i="5" s="1"/>
  <c r="O116" i="5" s="1"/>
  <c r="K115" i="5"/>
  <c r="L115" i="5" s="1"/>
  <c r="G115" i="5"/>
  <c r="H115" i="5" s="1"/>
  <c r="O115" i="5" s="1"/>
  <c r="K114" i="5"/>
  <c r="G114" i="5"/>
  <c r="H114" i="5" s="1"/>
  <c r="K112" i="5"/>
  <c r="L112" i="5" s="1"/>
  <c r="G112" i="5"/>
  <c r="H112" i="5" s="1"/>
  <c r="O112" i="5" s="1"/>
  <c r="K111" i="5"/>
  <c r="L111" i="5" s="1"/>
  <c r="G111" i="5"/>
  <c r="H111" i="5" s="1"/>
  <c r="O111" i="5" s="1"/>
  <c r="K110" i="5"/>
  <c r="H110" i="5"/>
  <c r="O110" i="5" s="1"/>
  <c r="G110" i="5"/>
  <c r="K109" i="5"/>
  <c r="G109" i="5"/>
  <c r="H109" i="5" s="1"/>
  <c r="O109" i="5" s="1"/>
  <c r="H108" i="5"/>
  <c r="O108" i="5" s="1"/>
  <c r="K107" i="5"/>
  <c r="L107" i="5" s="1"/>
  <c r="G107" i="5"/>
  <c r="H107" i="5" s="1"/>
  <c r="K106" i="5"/>
  <c r="L106" i="5" s="1"/>
  <c r="G106" i="5"/>
  <c r="H106" i="5" s="1"/>
  <c r="K105" i="5"/>
  <c r="G105" i="5"/>
  <c r="H105" i="5" s="1"/>
  <c r="O105" i="5" s="1"/>
  <c r="L104" i="5"/>
  <c r="H104" i="5"/>
  <c r="K103" i="5"/>
  <c r="G103" i="5"/>
  <c r="H103" i="5" s="1"/>
  <c r="L102" i="5"/>
  <c r="H102" i="5"/>
  <c r="O102" i="5" s="1"/>
  <c r="L101" i="5"/>
  <c r="H101" i="5"/>
  <c r="O101" i="5" s="1"/>
  <c r="L100" i="5"/>
  <c r="H100" i="5"/>
  <c r="O100" i="5" s="1"/>
  <c r="L99" i="5"/>
  <c r="H99" i="5"/>
  <c r="O99" i="5" s="1"/>
  <c r="L98" i="5"/>
  <c r="H98" i="5"/>
  <c r="H97" i="5"/>
  <c r="L122" i="5" l="1"/>
  <c r="N179" i="8"/>
  <c r="O206" i="8"/>
  <c r="N177" i="8"/>
  <c r="N181" i="8"/>
  <c r="L205" i="8"/>
  <c r="L207" i="8"/>
  <c r="L129" i="8"/>
  <c r="O130" i="8"/>
  <c r="L131" i="8"/>
  <c r="N101" i="8"/>
  <c r="N103" i="8"/>
  <c r="N105" i="8"/>
  <c r="N262" i="13"/>
  <c r="N263" i="13"/>
  <c r="O278" i="13"/>
  <c r="L279" i="13"/>
  <c r="N279" i="13" s="1"/>
  <c r="O279" i="13" s="1"/>
  <c r="N255" i="13"/>
  <c r="N268" i="13"/>
  <c r="L277" i="13"/>
  <c r="N174" i="13"/>
  <c r="N176" i="13"/>
  <c r="N178" i="13"/>
  <c r="N182" i="13"/>
  <c r="O182" i="13" s="1"/>
  <c r="N183" i="13"/>
  <c r="O183" i="13" s="1"/>
  <c r="N184" i="13"/>
  <c r="N187" i="13"/>
  <c r="N188" i="13"/>
  <c r="L202" i="13"/>
  <c r="O203" i="13"/>
  <c r="L204" i="13"/>
  <c r="N204" i="13" s="1"/>
  <c r="O204" i="13" s="1"/>
  <c r="N112" i="13"/>
  <c r="N113" i="13"/>
  <c r="O128" i="13"/>
  <c r="L129" i="13"/>
  <c r="N129" i="13" s="1"/>
  <c r="O129" i="13" s="1"/>
  <c r="H114" i="13"/>
  <c r="N105" i="13"/>
  <c r="L127" i="13"/>
  <c r="N37" i="13"/>
  <c r="N38" i="13"/>
  <c r="L52" i="13"/>
  <c r="N30" i="13"/>
  <c r="N32" i="13"/>
  <c r="N33" i="13"/>
  <c r="O53" i="13"/>
  <c r="L54" i="13"/>
  <c r="N54" i="13" s="1"/>
  <c r="O54" i="13" s="1"/>
  <c r="N255" i="6"/>
  <c r="N262" i="6"/>
  <c r="N263" i="6"/>
  <c r="N268" i="6"/>
  <c r="N271" i="6"/>
  <c r="L279" i="6"/>
  <c r="O278" i="6"/>
  <c r="N278" i="6"/>
  <c r="L202" i="6"/>
  <c r="O203" i="6"/>
  <c r="L204" i="6"/>
  <c r="N180" i="6"/>
  <c r="N99" i="6"/>
  <c r="N101" i="6"/>
  <c r="N113" i="6"/>
  <c r="L127" i="6"/>
  <c r="O128" i="6"/>
  <c r="L129" i="6"/>
  <c r="N112" i="5"/>
  <c r="N127" i="5"/>
  <c r="O127" i="5" s="1"/>
  <c r="L128" i="5"/>
  <c r="L125" i="5"/>
  <c r="H134" i="6"/>
  <c r="F120" i="6"/>
  <c r="H209" i="6"/>
  <c r="F195" i="6"/>
  <c r="H284" i="6"/>
  <c r="F270" i="6"/>
  <c r="H284" i="13"/>
  <c r="F270" i="13"/>
  <c r="K59" i="13"/>
  <c r="L59" i="13" s="1"/>
  <c r="N59" i="13" s="1"/>
  <c r="F45" i="13"/>
  <c r="J45" i="13" s="1"/>
  <c r="L45" i="13" s="1"/>
  <c r="K134" i="13"/>
  <c r="L134" i="13" s="1"/>
  <c r="F120" i="13"/>
  <c r="K209" i="13"/>
  <c r="L209" i="13" s="1"/>
  <c r="F195" i="13"/>
  <c r="L198" i="8"/>
  <c r="N198" i="8" s="1"/>
  <c r="O198" i="8" s="1"/>
  <c r="H122" i="8"/>
  <c r="N122" i="8" s="1"/>
  <c r="O207" i="8"/>
  <c r="N207" i="8"/>
  <c r="N190" i="8"/>
  <c r="N191" i="8"/>
  <c r="N195" i="8"/>
  <c r="H192" i="8"/>
  <c r="O185" i="8"/>
  <c r="N185" i="8"/>
  <c r="N186" i="8"/>
  <c r="O186" i="8" s="1"/>
  <c r="L201" i="8"/>
  <c r="N131" i="8"/>
  <c r="O131" i="8" s="1"/>
  <c r="N114" i="8"/>
  <c r="N115" i="8"/>
  <c r="N109" i="8"/>
  <c r="O109" i="8" s="1"/>
  <c r="N110" i="8"/>
  <c r="O110" i="8" s="1"/>
  <c r="L125" i="8"/>
  <c r="H116" i="8"/>
  <c r="H124" i="8" s="1"/>
  <c r="H200" i="8"/>
  <c r="N194" i="8"/>
  <c r="N202" i="8"/>
  <c r="O202" i="8" s="1"/>
  <c r="N205" i="8"/>
  <c r="O205" i="8" s="1"/>
  <c r="N183" i="8"/>
  <c r="L208" i="8"/>
  <c r="N208" i="8" s="1"/>
  <c r="O208" i="8" s="1"/>
  <c r="L209" i="8"/>
  <c r="N209" i="8" s="1"/>
  <c r="O209" i="8" s="1"/>
  <c r="L210" i="8"/>
  <c r="N210" i="8" s="1"/>
  <c r="O210" i="8" s="1"/>
  <c r="L211" i="8"/>
  <c r="L212" i="8"/>
  <c r="N212" i="8" s="1"/>
  <c r="O212" i="8" s="1"/>
  <c r="H201" i="8"/>
  <c r="H204" i="8"/>
  <c r="N118" i="8"/>
  <c r="N119" i="8"/>
  <c r="N120" i="8"/>
  <c r="N126" i="8"/>
  <c r="O126" i="8" s="1"/>
  <c r="N129" i="8"/>
  <c r="O129" i="8" s="1"/>
  <c r="N107" i="8"/>
  <c r="L132" i="8"/>
  <c r="N132" i="8" s="1"/>
  <c r="O132" i="8" s="1"/>
  <c r="L133" i="8"/>
  <c r="N133" i="8" s="1"/>
  <c r="O133" i="8" s="1"/>
  <c r="L134" i="8"/>
  <c r="N134" i="8" s="1"/>
  <c r="O134" i="8" s="1"/>
  <c r="L135" i="8"/>
  <c r="L136" i="8"/>
  <c r="N136" i="8" s="1"/>
  <c r="O136" i="8" s="1"/>
  <c r="H125" i="8"/>
  <c r="H128" i="8"/>
  <c r="L274" i="13"/>
  <c r="N274" i="13" s="1"/>
  <c r="O274" i="13" s="1"/>
  <c r="L199" i="13"/>
  <c r="N199" i="13" s="1"/>
  <c r="O199" i="13" s="1"/>
  <c r="L124" i="13"/>
  <c r="N124" i="13" s="1"/>
  <c r="O124" i="13" s="1"/>
  <c r="L49" i="13"/>
  <c r="N49" i="13" s="1"/>
  <c r="O49" i="13" s="1"/>
  <c r="N24" i="13"/>
  <c r="N25" i="13"/>
  <c r="N26" i="13"/>
  <c r="N27" i="13"/>
  <c r="N28" i="13"/>
  <c r="O52" i="13"/>
  <c r="N52" i="13"/>
  <c r="N116" i="13"/>
  <c r="N117" i="13"/>
  <c r="N118" i="13"/>
  <c r="H39" i="13"/>
  <c r="O32" i="13"/>
  <c r="O33" i="13"/>
  <c r="N41" i="13"/>
  <c r="N42" i="13"/>
  <c r="N43" i="13"/>
  <c r="O59" i="13"/>
  <c r="N107" i="13"/>
  <c r="O107" i="13" s="1"/>
  <c r="N108" i="13"/>
  <c r="O108" i="13" s="1"/>
  <c r="N127" i="13"/>
  <c r="O127" i="13" s="1"/>
  <c r="N34" i="13"/>
  <c r="K55" i="13"/>
  <c r="L55" i="13" s="1"/>
  <c r="N55" i="13" s="1"/>
  <c r="O55" i="13" s="1"/>
  <c r="K56" i="13"/>
  <c r="L56" i="13" s="1"/>
  <c r="N56" i="13" s="1"/>
  <c r="O56" i="13" s="1"/>
  <c r="K57" i="13"/>
  <c r="L57" i="13" s="1"/>
  <c r="N57" i="13" s="1"/>
  <c r="O57" i="13" s="1"/>
  <c r="K58" i="13"/>
  <c r="L58" i="13" s="1"/>
  <c r="O99" i="13"/>
  <c r="O100" i="13"/>
  <c r="O101" i="13"/>
  <c r="O102" i="13"/>
  <c r="O103" i="13"/>
  <c r="O109" i="13"/>
  <c r="H123" i="13"/>
  <c r="H126" i="13"/>
  <c r="N126" i="13" s="1"/>
  <c r="H130" i="13"/>
  <c r="H131" i="13"/>
  <c r="H132" i="13"/>
  <c r="H133" i="13"/>
  <c r="N133" i="13" s="1"/>
  <c r="H134" i="13"/>
  <c r="O180" i="13"/>
  <c r="N191" i="13"/>
  <c r="N192" i="13"/>
  <c r="H48" i="13"/>
  <c r="H51" i="13"/>
  <c r="H189" i="13"/>
  <c r="N202" i="13"/>
  <c r="O202" i="13" s="1"/>
  <c r="H198" i="13"/>
  <c r="H201" i="13"/>
  <c r="H205" i="13"/>
  <c r="H206" i="13"/>
  <c r="N206" i="13" s="1"/>
  <c r="H207" i="13"/>
  <c r="H208" i="13"/>
  <c r="H209" i="13"/>
  <c r="N249" i="13"/>
  <c r="N250" i="13"/>
  <c r="N251" i="13"/>
  <c r="N252" i="13"/>
  <c r="N266" i="13"/>
  <c r="N267" i="13"/>
  <c r="H264" i="13"/>
  <c r="N253" i="13"/>
  <c r="N257" i="13"/>
  <c r="O257" i="13" s="1"/>
  <c r="N258" i="13"/>
  <c r="O258" i="13" s="1"/>
  <c r="N277" i="13"/>
  <c r="O277" i="13" s="1"/>
  <c r="N259" i="13"/>
  <c r="K280" i="13"/>
  <c r="L280" i="13" s="1"/>
  <c r="N280" i="13" s="1"/>
  <c r="O280" i="13" s="1"/>
  <c r="K281" i="13"/>
  <c r="L281" i="13" s="1"/>
  <c r="N281" i="13" s="1"/>
  <c r="O281" i="13" s="1"/>
  <c r="K282" i="13"/>
  <c r="L282" i="13" s="1"/>
  <c r="N282" i="13" s="1"/>
  <c r="O282" i="13" s="1"/>
  <c r="K283" i="13"/>
  <c r="L283" i="13" s="1"/>
  <c r="K284" i="13"/>
  <c r="L284" i="13" s="1"/>
  <c r="N284" i="13" s="1"/>
  <c r="O284" i="13" s="1"/>
  <c r="H273" i="13"/>
  <c r="H276" i="13"/>
  <c r="N276" i="13" s="1"/>
  <c r="L276" i="6"/>
  <c r="N279" i="6"/>
  <c r="O279" i="6" s="1"/>
  <c r="N266" i="6"/>
  <c r="N267" i="6"/>
  <c r="L273" i="6"/>
  <c r="N204" i="6"/>
  <c r="O204" i="6" s="1"/>
  <c r="N187" i="6"/>
  <c r="N188" i="6"/>
  <c r="L198" i="6"/>
  <c r="N129" i="6"/>
  <c r="O129" i="6" s="1"/>
  <c r="H114" i="6"/>
  <c r="N112" i="6"/>
  <c r="L123" i="6"/>
  <c r="N249" i="6"/>
  <c r="N250" i="6"/>
  <c r="N251" i="6"/>
  <c r="N252" i="6"/>
  <c r="N274" i="6"/>
  <c r="O274" i="6" s="1"/>
  <c r="H264" i="6"/>
  <c r="N253" i="6"/>
  <c r="N257" i="6"/>
  <c r="O257" i="6" s="1"/>
  <c r="N258" i="6"/>
  <c r="O258" i="6" s="1"/>
  <c r="N277" i="6"/>
  <c r="O277" i="6" s="1"/>
  <c r="N259" i="6"/>
  <c r="K280" i="6"/>
  <c r="L280" i="6" s="1"/>
  <c r="N280" i="6" s="1"/>
  <c r="O280" i="6" s="1"/>
  <c r="K281" i="6"/>
  <c r="L281" i="6" s="1"/>
  <c r="N281" i="6" s="1"/>
  <c r="O281" i="6" s="1"/>
  <c r="K282" i="6"/>
  <c r="L282" i="6" s="1"/>
  <c r="N282" i="6" s="1"/>
  <c r="O282" i="6" s="1"/>
  <c r="K283" i="6"/>
  <c r="L283" i="6" s="1"/>
  <c r="K284" i="6"/>
  <c r="L284" i="6" s="1"/>
  <c r="H273" i="6"/>
  <c r="H276" i="6"/>
  <c r="N174" i="6"/>
  <c r="N175" i="6"/>
  <c r="N176" i="6"/>
  <c r="N177" i="6"/>
  <c r="N191" i="6"/>
  <c r="N192" i="6"/>
  <c r="N199" i="6"/>
  <c r="O199" i="6" s="1"/>
  <c r="H189" i="6"/>
  <c r="N178" i="6"/>
  <c r="N182" i="6"/>
  <c r="O182" i="6" s="1"/>
  <c r="N183" i="6"/>
  <c r="O183" i="6" s="1"/>
  <c r="N202" i="6"/>
  <c r="O202" i="6" s="1"/>
  <c r="N184" i="6"/>
  <c r="K205" i="6"/>
  <c r="L205" i="6" s="1"/>
  <c r="N205" i="6" s="1"/>
  <c r="O205" i="6" s="1"/>
  <c r="K206" i="6"/>
  <c r="L206" i="6" s="1"/>
  <c r="N206" i="6" s="1"/>
  <c r="O206" i="6" s="1"/>
  <c r="K207" i="6"/>
  <c r="L207" i="6" s="1"/>
  <c r="N207" i="6" s="1"/>
  <c r="O207" i="6" s="1"/>
  <c r="K208" i="6"/>
  <c r="L208" i="6" s="1"/>
  <c r="K209" i="6"/>
  <c r="L209" i="6" s="1"/>
  <c r="N209" i="6" s="1"/>
  <c r="O209" i="6" s="1"/>
  <c r="H198" i="6"/>
  <c r="H201" i="6"/>
  <c r="N201" i="6" s="1"/>
  <c r="N103" i="6"/>
  <c r="N116" i="6"/>
  <c r="N117" i="6"/>
  <c r="N124" i="6"/>
  <c r="O124" i="6" s="1"/>
  <c r="N107" i="6"/>
  <c r="O107" i="6" s="1"/>
  <c r="N108" i="6"/>
  <c r="O108" i="6" s="1"/>
  <c r="N127" i="6"/>
  <c r="O127" i="6" s="1"/>
  <c r="N109" i="6"/>
  <c r="K130" i="6"/>
  <c r="L130" i="6" s="1"/>
  <c r="N130" i="6" s="1"/>
  <c r="O130" i="6" s="1"/>
  <c r="K131" i="6"/>
  <c r="L131" i="6" s="1"/>
  <c r="N131" i="6" s="1"/>
  <c r="O131" i="6" s="1"/>
  <c r="K132" i="6"/>
  <c r="L132" i="6" s="1"/>
  <c r="N132" i="6" s="1"/>
  <c r="O132" i="6" s="1"/>
  <c r="K133" i="6"/>
  <c r="L133" i="6" s="1"/>
  <c r="K134" i="6"/>
  <c r="L134" i="6" s="1"/>
  <c r="H123" i="6"/>
  <c r="H126" i="6"/>
  <c r="N126" i="6" s="1"/>
  <c r="N106" i="5"/>
  <c r="O106" i="5" s="1"/>
  <c r="N107" i="5"/>
  <c r="O107" i="5" s="1"/>
  <c r="N111" i="5"/>
  <c r="N128" i="5"/>
  <c r="O128" i="5" s="1"/>
  <c r="N98" i="5"/>
  <c r="O98" i="5" s="1"/>
  <c r="N102" i="5"/>
  <c r="N99" i="5"/>
  <c r="N100" i="5"/>
  <c r="N101" i="5"/>
  <c r="H113" i="5"/>
  <c r="N104" i="5"/>
  <c r="O104" i="5" s="1"/>
  <c r="N115" i="5"/>
  <c r="N116" i="5"/>
  <c r="N117" i="5"/>
  <c r="N119" i="5"/>
  <c r="O119" i="5" s="1"/>
  <c r="G126" i="5"/>
  <c r="H126" i="5" s="1"/>
  <c r="G125" i="5"/>
  <c r="H125" i="5" s="1"/>
  <c r="H123" i="5"/>
  <c r="N125" i="5"/>
  <c r="K126" i="5"/>
  <c r="L126" i="5" s="1"/>
  <c r="N126" i="5" s="1"/>
  <c r="K129" i="5"/>
  <c r="L129" i="5" s="1"/>
  <c r="N129" i="5" s="1"/>
  <c r="O129" i="5" s="1"/>
  <c r="K130" i="5"/>
  <c r="L130" i="5" s="1"/>
  <c r="N130" i="5" s="1"/>
  <c r="O130" i="5" s="1"/>
  <c r="K131" i="5"/>
  <c r="L131" i="5" s="1"/>
  <c r="N131" i="5" s="1"/>
  <c r="O131" i="5" s="1"/>
  <c r="K132" i="5"/>
  <c r="L132" i="5" s="1"/>
  <c r="K133" i="5"/>
  <c r="L133" i="5" s="1"/>
  <c r="N133" i="5" s="1"/>
  <c r="O133" i="5" s="1"/>
  <c r="H122" i="5"/>
  <c r="N122" i="5" s="1"/>
  <c r="L123" i="5"/>
  <c r="N123" i="5" s="1"/>
  <c r="G358" i="5"/>
  <c r="H358" i="5" s="1"/>
  <c r="G357" i="5"/>
  <c r="H357" i="5" s="1"/>
  <c r="G356" i="5"/>
  <c r="H356" i="5" s="1"/>
  <c r="G355" i="5"/>
  <c r="H355" i="5" s="1"/>
  <c r="G354" i="5"/>
  <c r="H354" i="5" s="1"/>
  <c r="K353" i="5"/>
  <c r="J353" i="5"/>
  <c r="H353" i="5"/>
  <c r="G353" i="5"/>
  <c r="J352" i="5"/>
  <c r="L352" i="5" s="1"/>
  <c r="N352" i="5" s="1"/>
  <c r="H352" i="5"/>
  <c r="J351" i="5"/>
  <c r="J350" i="5"/>
  <c r="K347" i="5"/>
  <c r="K348" i="5" s="1"/>
  <c r="K350" i="5" s="1"/>
  <c r="K351" i="5" s="1"/>
  <c r="G347" i="5"/>
  <c r="G348" i="5" s="1"/>
  <c r="L345" i="5"/>
  <c r="H345" i="5"/>
  <c r="K343" i="5"/>
  <c r="G343" i="5"/>
  <c r="H343" i="5" s="1"/>
  <c r="K342" i="5"/>
  <c r="L342" i="5" s="1"/>
  <c r="G342" i="5"/>
  <c r="H342" i="5" s="1"/>
  <c r="O342" i="5" s="1"/>
  <c r="K341" i="5"/>
  <c r="L341" i="5" s="1"/>
  <c r="G341" i="5"/>
  <c r="H341" i="5" s="1"/>
  <c r="O341" i="5" s="1"/>
  <c r="K340" i="5"/>
  <c r="L340" i="5" s="1"/>
  <c r="G340" i="5"/>
  <c r="H340" i="5" s="1"/>
  <c r="O340" i="5" s="1"/>
  <c r="K339" i="5"/>
  <c r="G339" i="5"/>
  <c r="H339" i="5" s="1"/>
  <c r="K337" i="5"/>
  <c r="L337" i="5" s="1"/>
  <c r="G337" i="5"/>
  <c r="H337" i="5" s="1"/>
  <c r="O337" i="5" s="1"/>
  <c r="K336" i="5"/>
  <c r="L336" i="5" s="1"/>
  <c r="G336" i="5"/>
  <c r="H336" i="5" s="1"/>
  <c r="O336" i="5" s="1"/>
  <c r="K335" i="5"/>
  <c r="G335" i="5"/>
  <c r="H335" i="5" s="1"/>
  <c r="O335" i="5" s="1"/>
  <c r="K334" i="5"/>
  <c r="G334" i="5"/>
  <c r="H334" i="5" s="1"/>
  <c r="O334" i="5" s="1"/>
  <c r="H333" i="5"/>
  <c r="O333" i="5" s="1"/>
  <c r="K332" i="5"/>
  <c r="L332" i="5" s="1"/>
  <c r="N332" i="5" s="1"/>
  <c r="G332" i="5"/>
  <c r="H332" i="5" s="1"/>
  <c r="K331" i="5"/>
  <c r="L331" i="5" s="1"/>
  <c r="G331" i="5"/>
  <c r="H331" i="5" s="1"/>
  <c r="K330" i="5"/>
  <c r="G330" i="5"/>
  <c r="H330" i="5" s="1"/>
  <c r="O330" i="5" s="1"/>
  <c r="L329" i="5"/>
  <c r="H329" i="5"/>
  <c r="K328" i="5"/>
  <c r="G328" i="5"/>
  <c r="H328" i="5" s="1"/>
  <c r="L327" i="5"/>
  <c r="N327" i="5" s="1"/>
  <c r="H327" i="5"/>
  <c r="O327" i="5" s="1"/>
  <c r="L326" i="5"/>
  <c r="N326" i="5" s="1"/>
  <c r="H326" i="5"/>
  <c r="O326" i="5" s="1"/>
  <c r="L325" i="5"/>
  <c r="N325" i="5" s="1"/>
  <c r="H325" i="5"/>
  <c r="O325" i="5" s="1"/>
  <c r="L324" i="5"/>
  <c r="N324" i="5" s="1"/>
  <c r="H324" i="5"/>
  <c r="O324" i="5" s="1"/>
  <c r="L323" i="5"/>
  <c r="N323" i="5" s="1"/>
  <c r="H323" i="5"/>
  <c r="H322" i="5"/>
  <c r="G283" i="5"/>
  <c r="H283" i="5" s="1"/>
  <c r="G282" i="5"/>
  <c r="H282" i="5" s="1"/>
  <c r="G281" i="5"/>
  <c r="H281" i="5" s="1"/>
  <c r="G280" i="5"/>
  <c r="H280" i="5" s="1"/>
  <c r="G279" i="5"/>
  <c r="H279" i="5" s="1"/>
  <c r="K278" i="5"/>
  <c r="J278" i="5"/>
  <c r="G278" i="5"/>
  <c r="H278" i="5" s="1"/>
  <c r="J277" i="5"/>
  <c r="L277" i="5" s="1"/>
  <c r="N277" i="5" s="1"/>
  <c r="H277" i="5"/>
  <c r="J276" i="5"/>
  <c r="J275" i="5"/>
  <c r="K272" i="5"/>
  <c r="K273" i="5" s="1"/>
  <c r="K275" i="5" s="1"/>
  <c r="G272" i="5"/>
  <c r="G273" i="5" s="1"/>
  <c r="L270" i="5"/>
  <c r="H270" i="5"/>
  <c r="K268" i="5"/>
  <c r="G268" i="5"/>
  <c r="H268" i="5" s="1"/>
  <c r="K267" i="5"/>
  <c r="L267" i="5" s="1"/>
  <c r="G267" i="5"/>
  <c r="H267" i="5" s="1"/>
  <c r="O267" i="5" s="1"/>
  <c r="K266" i="5"/>
  <c r="L266" i="5" s="1"/>
  <c r="G266" i="5"/>
  <c r="H266" i="5" s="1"/>
  <c r="O266" i="5" s="1"/>
  <c r="K265" i="5"/>
  <c r="L265" i="5" s="1"/>
  <c r="G265" i="5"/>
  <c r="H265" i="5" s="1"/>
  <c r="O265" i="5" s="1"/>
  <c r="K264" i="5"/>
  <c r="G264" i="5"/>
  <c r="H264" i="5" s="1"/>
  <c r="K262" i="5"/>
  <c r="L262" i="5" s="1"/>
  <c r="G262" i="5"/>
  <c r="H262" i="5" s="1"/>
  <c r="O262" i="5" s="1"/>
  <c r="K261" i="5"/>
  <c r="L261" i="5" s="1"/>
  <c r="G261" i="5"/>
  <c r="H261" i="5" s="1"/>
  <c r="O261" i="5" s="1"/>
  <c r="K260" i="5"/>
  <c r="G260" i="5"/>
  <c r="H260" i="5" s="1"/>
  <c r="O260" i="5" s="1"/>
  <c r="K259" i="5"/>
  <c r="G259" i="5"/>
  <c r="H259" i="5" s="1"/>
  <c r="O259" i="5" s="1"/>
  <c r="H258" i="5"/>
  <c r="O258" i="5" s="1"/>
  <c r="K257" i="5"/>
  <c r="L257" i="5" s="1"/>
  <c r="N257" i="5" s="1"/>
  <c r="G257" i="5"/>
  <c r="H257" i="5" s="1"/>
  <c r="K256" i="5"/>
  <c r="L256" i="5" s="1"/>
  <c r="N256" i="5" s="1"/>
  <c r="G256" i="5"/>
  <c r="H256" i="5" s="1"/>
  <c r="K255" i="5"/>
  <c r="G255" i="5"/>
  <c r="H255" i="5" s="1"/>
  <c r="O255" i="5" s="1"/>
  <c r="L254" i="5"/>
  <c r="H254" i="5"/>
  <c r="K253" i="5"/>
  <c r="G253" i="5"/>
  <c r="H253" i="5" s="1"/>
  <c r="L252" i="5"/>
  <c r="H252" i="5"/>
  <c r="O252" i="5" s="1"/>
  <c r="L251" i="5"/>
  <c r="N251" i="5" s="1"/>
  <c r="H251" i="5"/>
  <c r="O251" i="5" s="1"/>
  <c r="L250" i="5"/>
  <c r="H250" i="5"/>
  <c r="O250" i="5" s="1"/>
  <c r="L249" i="5"/>
  <c r="N249" i="5" s="1"/>
  <c r="H249" i="5"/>
  <c r="O249" i="5" s="1"/>
  <c r="L248" i="5"/>
  <c r="N248" i="5" s="1"/>
  <c r="O248" i="5" s="1"/>
  <c r="H248" i="5"/>
  <c r="H247" i="5"/>
  <c r="G207" i="5"/>
  <c r="H207" i="5" s="1"/>
  <c r="G206" i="5"/>
  <c r="H206" i="5" s="1"/>
  <c r="G205" i="5"/>
  <c r="H205" i="5" s="1"/>
  <c r="G204" i="5"/>
  <c r="H204" i="5" s="1"/>
  <c r="G203" i="5"/>
  <c r="H203" i="5" s="1"/>
  <c r="K202" i="5"/>
  <c r="J202" i="5"/>
  <c r="H202" i="5"/>
  <c r="G202" i="5"/>
  <c r="J201" i="5"/>
  <c r="L201" i="5" s="1"/>
  <c r="H201" i="5"/>
  <c r="J200" i="5"/>
  <c r="J199" i="5"/>
  <c r="K196" i="5"/>
  <c r="K197" i="5" s="1"/>
  <c r="K199" i="5" s="1"/>
  <c r="L199" i="5" s="1"/>
  <c r="G196" i="5"/>
  <c r="G197" i="5" s="1"/>
  <c r="L194" i="5"/>
  <c r="H194" i="5"/>
  <c r="K192" i="5"/>
  <c r="G192" i="5"/>
  <c r="H192" i="5" s="1"/>
  <c r="K191" i="5"/>
  <c r="L191" i="5" s="1"/>
  <c r="G191" i="5"/>
  <c r="H191" i="5" s="1"/>
  <c r="O191" i="5" s="1"/>
  <c r="K190" i="5"/>
  <c r="L190" i="5" s="1"/>
  <c r="G190" i="5"/>
  <c r="H190" i="5" s="1"/>
  <c r="O190" i="5" s="1"/>
  <c r="K189" i="5"/>
  <c r="L189" i="5" s="1"/>
  <c r="G189" i="5"/>
  <c r="H189" i="5" s="1"/>
  <c r="O189" i="5" s="1"/>
  <c r="K188" i="5"/>
  <c r="G188" i="5"/>
  <c r="H188" i="5" s="1"/>
  <c r="K186" i="5"/>
  <c r="L186" i="5" s="1"/>
  <c r="H186" i="5"/>
  <c r="O186" i="5" s="1"/>
  <c r="G186" i="5"/>
  <c r="L185" i="5"/>
  <c r="K185" i="5"/>
  <c r="H185" i="5"/>
  <c r="O185" i="5" s="1"/>
  <c r="G185" i="5"/>
  <c r="K184" i="5"/>
  <c r="H184" i="5"/>
  <c r="O184" i="5" s="1"/>
  <c r="G184" i="5"/>
  <c r="K183" i="5"/>
  <c r="G183" i="5"/>
  <c r="H183" i="5" s="1"/>
  <c r="O183" i="5" s="1"/>
  <c r="H182" i="5"/>
  <c r="O182" i="5" s="1"/>
  <c r="K181" i="5"/>
  <c r="L181" i="5" s="1"/>
  <c r="G181" i="5"/>
  <c r="H181" i="5" s="1"/>
  <c r="K180" i="5"/>
  <c r="L180" i="5" s="1"/>
  <c r="G180" i="5"/>
  <c r="H180" i="5" s="1"/>
  <c r="K179" i="5"/>
  <c r="G179" i="5"/>
  <c r="H179" i="5" s="1"/>
  <c r="O179" i="5" s="1"/>
  <c r="L178" i="5"/>
  <c r="H178" i="5"/>
  <c r="K177" i="5"/>
  <c r="G177" i="5"/>
  <c r="H177" i="5" s="1"/>
  <c r="L176" i="5"/>
  <c r="H176" i="5"/>
  <c r="O176" i="5" s="1"/>
  <c r="L175" i="5"/>
  <c r="H175" i="5"/>
  <c r="O175" i="5" s="1"/>
  <c r="L174" i="5"/>
  <c r="H174" i="5"/>
  <c r="O174" i="5" s="1"/>
  <c r="L173" i="5"/>
  <c r="H173" i="5"/>
  <c r="O173" i="5" s="1"/>
  <c r="L172" i="5"/>
  <c r="H172" i="5"/>
  <c r="H171" i="5"/>
  <c r="K38" i="5"/>
  <c r="K37" i="5"/>
  <c r="K36" i="5"/>
  <c r="K35" i="5"/>
  <c r="K33" i="5"/>
  <c r="K32" i="5"/>
  <c r="K31" i="5"/>
  <c r="K29" i="5"/>
  <c r="K45" i="5"/>
  <c r="K44" i="5"/>
  <c r="K43" i="5"/>
  <c r="K42" i="5"/>
  <c r="K41" i="5"/>
  <c r="K40" i="5"/>
  <c r="G57" i="5"/>
  <c r="G56" i="5"/>
  <c r="G55" i="5"/>
  <c r="G44" i="5"/>
  <c r="G43" i="5"/>
  <c r="G42" i="5"/>
  <c r="G41" i="5"/>
  <c r="G40" i="5"/>
  <c r="G38" i="5"/>
  <c r="G37" i="5"/>
  <c r="G36" i="5"/>
  <c r="G35" i="5"/>
  <c r="G33" i="5"/>
  <c r="G32" i="5"/>
  <c r="G31" i="5"/>
  <c r="G29" i="5"/>
  <c r="K483" i="2"/>
  <c r="K482" i="2"/>
  <c r="K481" i="2"/>
  <c r="K480" i="2"/>
  <c r="K478" i="2"/>
  <c r="K477" i="2"/>
  <c r="K476" i="2"/>
  <c r="K474" i="2"/>
  <c r="K490" i="2"/>
  <c r="K489" i="2"/>
  <c r="K488" i="2"/>
  <c r="K487" i="2"/>
  <c r="K486" i="2"/>
  <c r="K485" i="2"/>
  <c r="G502" i="2"/>
  <c r="G501" i="2"/>
  <c r="G500" i="2"/>
  <c r="G490" i="2"/>
  <c r="G489" i="2"/>
  <c r="G488" i="2"/>
  <c r="G487" i="2"/>
  <c r="G486" i="2"/>
  <c r="G485" i="2"/>
  <c r="G483" i="2"/>
  <c r="G482" i="2"/>
  <c r="G481" i="2"/>
  <c r="G480" i="2"/>
  <c r="G478" i="2"/>
  <c r="G477" i="2"/>
  <c r="G476" i="2"/>
  <c r="G474" i="2"/>
  <c r="K409" i="2"/>
  <c r="K408" i="2"/>
  <c r="K407" i="2"/>
  <c r="K406" i="2"/>
  <c r="K404" i="2"/>
  <c r="K403" i="2"/>
  <c r="K402" i="2"/>
  <c r="K400" i="2"/>
  <c r="K416" i="2"/>
  <c r="K415" i="2"/>
  <c r="K414" i="2"/>
  <c r="K413" i="2"/>
  <c r="K412" i="2"/>
  <c r="K411" i="2"/>
  <c r="G416" i="2"/>
  <c r="G412" i="2"/>
  <c r="G413" i="2"/>
  <c r="G414" i="2"/>
  <c r="G415" i="2"/>
  <c r="G411" i="2"/>
  <c r="G409" i="2"/>
  <c r="G408" i="2"/>
  <c r="G407" i="2"/>
  <c r="G406" i="2"/>
  <c r="G404" i="2"/>
  <c r="G403" i="2"/>
  <c r="G402" i="2"/>
  <c r="G400" i="2"/>
  <c r="K335" i="2"/>
  <c r="K334" i="2"/>
  <c r="K333" i="2"/>
  <c r="K332" i="2"/>
  <c r="K330" i="2"/>
  <c r="K329" i="2"/>
  <c r="K328" i="2"/>
  <c r="K326" i="2"/>
  <c r="K341" i="2"/>
  <c r="K340" i="2"/>
  <c r="K339" i="2"/>
  <c r="K338" i="2"/>
  <c r="K337" i="2"/>
  <c r="K342" i="2"/>
  <c r="G354" i="2"/>
  <c r="G353" i="2"/>
  <c r="G352" i="2"/>
  <c r="G342" i="2"/>
  <c r="G338" i="2"/>
  <c r="G339" i="2"/>
  <c r="G340" i="2"/>
  <c r="G341" i="2"/>
  <c r="G337" i="2"/>
  <c r="G335" i="2"/>
  <c r="G334" i="2"/>
  <c r="G333" i="2"/>
  <c r="G332" i="2"/>
  <c r="G330" i="2"/>
  <c r="G329" i="2"/>
  <c r="G328" i="2"/>
  <c r="G326" i="2"/>
  <c r="K261" i="2"/>
  <c r="K260" i="2"/>
  <c r="K259" i="2"/>
  <c r="K258" i="2"/>
  <c r="K256" i="2"/>
  <c r="K255" i="2"/>
  <c r="K254" i="2"/>
  <c r="K252" i="2"/>
  <c r="K267" i="2"/>
  <c r="K266" i="2"/>
  <c r="K265" i="2"/>
  <c r="K264" i="2"/>
  <c r="K263" i="2"/>
  <c r="K268" i="2"/>
  <c r="G280" i="2"/>
  <c r="G279" i="2"/>
  <c r="G278" i="2"/>
  <c r="G268" i="2"/>
  <c r="G264" i="2"/>
  <c r="G265" i="2"/>
  <c r="G266" i="2"/>
  <c r="G267" i="2"/>
  <c r="G263" i="2"/>
  <c r="G261" i="2"/>
  <c r="G260" i="2"/>
  <c r="G259" i="2"/>
  <c r="G258" i="2"/>
  <c r="G256" i="2"/>
  <c r="G255" i="2"/>
  <c r="G254" i="2"/>
  <c r="G252" i="2"/>
  <c r="K194" i="2"/>
  <c r="K193" i="2"/>
  <c r="K192" i="2"/>
  <c r="K191" i="2"/>
  <c r="K190" i="2"/>
  <c r="K189" i="2"/>
  <c r="G206" i="2"/>
  <c r="G205" i="2"/>
  <c r="G204" i="2"/>
  <c r="G194" i="2"/>
  <c r="G190" i="2"/>
  <c r="G191" i="2"/>
  <c r="G192" i="2"/>
  <c r="G193" i="2"/>
  <c r="G189" i="2"/>
  <c r="K187" i="2"/>
  <c r="K186" i="2"/>
  <c r="K185" i="2"/>
  <c r="K184" i="2"/>
  <c r="K182" i="2"/>
  <c r="K181" i="2"/>
  <c r="K180" i="2"/>
  <c r="K178" i="2"/>
  <c r="G187" i="2"/>
  <c r="G186" i="2"/>
  <c r="G185" i="2"/>
  <c r="G184" i="2"/>
  <c r="G182" i="2"/>
  <c r="G181" i="2"/>
  <c r="G180" i="2"/>
  <c r="G178" i="2"/>
  <c r="K120" i="2"/>
  <c r="K119" i="2"/>
  <c r="K118" i="2"/>
  <c r="K117" i="2"/>
  <c r="K116" i="2"/>
  <c r="K115" i="2"/>
  <c r="K113" i="2"/>
  <c r="K112" i="2"/>
  <c r="K111" i="2"/>
  <c r="K110" i="2"/>
  <c r="K108" i="2"/>
  <c r="K107" i="2"/>
  <c r="K106" i="2"/>
  <c r="K104" i="2"/>
  <c r="G132" i="2"/>
  <c r="G131" i="2"/>
  <c r="G123" i="2"/>
  <c r="G120" i="2"/>
  <c r="G116" i="2"/>
  <c r="G117" i="2"/>
  <c r="G118" i="2"/>
  <c r="G119" i="2"/>
  <c r="G115" i="2"/>
  <c r="G113" i="2"/>
  <c r="G112" i="2"/>
  <c r="G111" i="2"/>
  <c r="G110" i="2"/>
  <c r="G108" i="2"/>
  <c r="G107" i="2"/>
  <c r="G106" i="2"/>
  <c r="G104" i="2"/>
  <c r="O323" i="5" l="1"/>
  <c r="N345" i="5"/>
  <c r="L350" i="5"/>
  <c r="O352" i="5"/>
  <c r="L353" i="5"/>
  <c r="O277" i="5"/>
  <c r="N250" i="5"/>
  <c r="N252" i="5"/>
  <c r="N270" i="5"/>
  <c r="L275" i="5"/>
  <c r="L278" i="5"/>
  <c r="N134" i="6"/>
  <c r="O134" i="6" s="1"/>
  <c r="N284" i="6"/>
  <c r="O284" i="6" s="1"/>
  <c r="H270" i="6"/>
  <c r="H272" i="6" s="1"/>
  <c r="J270" i="6"/>
  <c r="L270" i="6" s="1"/>
  <c r="H195" i="6"/>
  <c r="J195" i="6"/>
  <c r="L195" i="6" s="1"/>
  <c r="H120" i="6"/>
  <c r="H122" i="6" s="1"/>
  <c r="J120" i="6"/>
  <c r="L120" i="6" s="1"/>
  <c r="J195" i="13"/>
  <c r="L195" i="13" s="1"/>
  <c r="H195" i="13"/>
  <c r="J120" i="13"/>
  <c r="L120" i="13" s="1"/>
  <c r="N120" i="13" s="1"/>
  <c r="H120" i="13"/>
  <c r="J270" i="13"/>
  <c r="L270" i="13" s="1"/>
  <c r="N270" i="13" s="1"/>
  <c r="H270" i="13"/>
  <c r="H45" i="13"/>
  <c r="N45" i="13" s="1"/>
  <c r="O45" i="13" s="1"/>
  <c r="O122" i="8"/>
  <c r="N211" i="8"/>
  <c r="O211" i="8" s="1"/>
  <c r="N201" i="8"/>
  <c r="O201" i="8" s="1"/>
  <c r="N204" i="8"/>
  <c r="O204" i="8" s="1"/>
  <c r="H203" i="8"/>
  <c r="N135" i="8"/>
  <c r="O135" i="8" s="1"/>
  <c r="N125" i="8"/>
  <c r="O125" i="8" s="1"/>
  <c r="N128" i="8"/>
  <c r="O128" i="8" s="1"/>
  <c r="H127" i="8"/>
  <c r="N283" i="13"/>
  <c r="O283" i="13" s="1"/>
  <c r="N273" i="13"/>
  <c r="O273" i="13" s="1"/>
  <c r="H272" i="13"/>
  <c r="N207" i="13"/>
  <c r="O207" i="13" s="1"/>
  <c r="N198" i="13"/>
  <c r="O198" i="13" s="1"/>
  <c r="H197" i="13"/>
  <c r="N58" i="13"/>
  <c r="O58" i="13" s="1"/>
  <c r="N132" i="13"/>
  <c r="O132" i="13" s="1"/>
  <c r="N123" i="13"/>
  <c r="O123" i="13" s="1"/>
  <c r="N48" i="13"/>
  <c r="O48" i="13" s="1"/>
  <c r="O276" i="13"/>
  <c r="O206" i="13"/>
  <c r="N209" i="13"/>
  <c r="O209" i="13" s="1"/>
  <c r="N205" i="13"/>
  <c r="O205" i="13" s="1"/>
  <c r="N208" i="13"/>
  <c r="O208" i="13" s="1"/>
  <c r="N201" i="13"/>
  <c r="O201" i="13" s="1"/>
  <c r="O133" i="13"/>
  <c r="O126" i="13"/>
  <c r="N134" i="13"/>
  <c r="O134" i="13" s="1"/>
  <c r="N130" i="13"/>
  <c r="O130" i="13" s="1"/>
  <c r="N51" i="13"/>
  <c r="O51" i="13" s="1"/>
  <c r="H47" i="13"/>
  <c r="N131" i="13"/>
  <c r="O131" i="13" s="1"/>
  <c r="N283" i="6"/>
  <c r="O283" i="6" s="1"/>
  <c r="N273" i="6"/>
  <c r="O273" i="6" s="1"/>
  <c r="N276" i="6"/>
  <c r="O276" i="6" s="1"/>
  <c r="N208" i="6"/>
  <c r="O208" i="6" s="1"/>
  <c r="N198" i="6"/>
  <c r="O198" i="6" s="1"/>
  <c r="O201" i="6"/>
  <c r="H197" i="6"/>
  <c r="N133" i="6"/>
  <c r="O133" i="6" s="1"/>
  <c r="N123" i="6"/>
  <c r="O123" i="6" s="1"/>
  <c r="O126" i="6"/>
  <c r="H125" i="6"/>
  <c r="O125" i="5"/>
  <c r="O122" i="5"/>
  <c r="N132" i="5"/>
  <c r="O132" i="5" s="1"/>
  <c r="O123" i="5"/>
  <c r="O126" i="5"/>
  <c r="H121" i="5"/>
  <c r="L347" i="5"/>
  <c r="O332" i="5"/>
  <c r="N336" i="5"/>
  <c r="N337" i="5"/>
  <c r="N353" i="5"/>
  <c r="O353" i="5" s="1"/>
  <c r="N331" i="5"/>
  <c r="O331" i="5" s="1"/>
  <c r="H338" i="5"/>
  <c r="N329" i="5"/>
  <c r="O329" i="5" s="1"/>
  <c r="N340" i="5"/>
  <c r="N341" i="5"/>
  <c r="N342" i="5"/>
  <c r="N344" i="5"/>
  <c r="O344" i="5" s="1"/>
  <c r="G351" i="5"/>
  <c r="H351" i="5" s="1"/>
  <c r="G350" i="5"/>
  <c r="H350" i="5" s="1"/>
  <c r="H348" i="5"/>
  <c r="N350" i="5"/>
  <c r="L351" i="5"/>
  <c r="N351" i="5" s="1"/>
  <c r="K354" i="5"/>
  <c r="L354" i="5" s="1"/>
  <c r="N354" i="5" s="1"/>
  <c r="O354" i="5" s="1"/>
  <c r="K355" i="5"/>
  <c r="L355" i="5" s="1"/>
  <c r="N355" i="5" s="1"/>
  <c r="O355" i="5" s="1"/>
  <c r="K356" i="5"/>
  <c r="L356" i="5" s="1"/>
  <c r="N356" i="5" s="1"/>
  <c r="O356" i="5" s="1"/>
  <c r="K357" i="5"/>
  <c r="L357" i="5" s="1"/>
  <c r="K358" i="5"/>
  <c r="L358" i="5" s="1"/>
  <c r="N358" i="5" s="1"/>
  <c r="O358" i="5" s="1"/>
  <c r="H347" i="5"/>
  <c r="L348" i="5"/>
  <c r="O256" i="5"/>
  <c r="O257" i="5"/>
  <c r="N261" i="5"/>
  <c r="N262" i="5"/>
  <c r="L272" i="5"/>
  <c r="N278" i="5"/>
  <c r="O278" i="5" s="1"/>
  <c r="H263" i="5"/>
  <c r="H271" i="5" s="1"/>
  <c r="N254" i="5"/>
  <c r="O254" i="5" s="1"/>
  <c r="N265" i="5"/>
  <c r="N266" i="5"/>
  <c r="N267" i="5"/>
  <c r="N269" i="5"/>
  <c r="O269" i="5" s="1"/>
  <c r="G276" i="5"/>
  <c r="H276" i="5" s="1"/>
  <c r="G275" i="5"/>
  <c r="H275" i="5" s="1"/>
  <c r="H273" i="5"/>
  <c r="N275" i="5"/>
  <c r="K276" i="5"/>
  <c r="L276" i="5" s="1"/>
  <c r="N276" i="5" s="1"/>
  <c r="K279" i="5"/>
  <c r="L279" i="5" s="1"/>
  <c r="N279" i="5" s="1"/>
  <c r="O279" i="5" s="1"/>
  <c r="K280" i="5"/>
  <c r="L280" i="5" s="1"/>
  <c r="N280" i="5" s="1"/>
  <c r="O280" i="5" s="1"/>
  <c r="K281" i="5"/>
  <c r="L281" i="5" s="1"/>
  <c r="N281" i="5" s="1"/>
  <c r="O281" i="5" s="1"/>
  <c r="K282" i="5"/>
  <c r="L282" i="5" s="1"/>
  <c r="K283" i="5"/>
  <c r="L283" i="5" s="1"/>
  <c r="N283" i="5" s="1"/>
  <c r="O283" i="5" s="1"/>
  <c r="H272" i="5"/>
  <c r="L273" i="5"/>
  <c r="N273" i="5" s="1"/>
  <c r="O201" i="5"/>
  <c r="N201" i="5"/>
  <c r="L202" i="5"/>
  <c r="N194" i="5"/>
  <c r="L196" i="5"/>
  <c r="N180" i="5"/>
  <c r="O180" i="5" s="1"/>
  <c r="N181" i="5"/>
  <c r="O181" i="5" s="1"/>
  <c r="N202" i="5"/>
  <c r="O202" i="5" s="1"/>
  <c r="N185" i="5"/>
  <c r="N186" i="5"/>
  <c r="N193" i="5"/>
  <c r="O193" i="5" s="1"/>
  <c r="N172" i="5"/>
  <c r="O172" i="5" s="1"/>
  <c r="N173" i="5"/>
  <c r="N174" i="5"/>
  <c r="N175" i="5"/>
  <c r="N176" i="5"/>
  <c r="H187" i="5"/>
  <c r="N178" i="5"/>
  <c r="O178" i="5" s="1"/>
  <c r="N189" i="5"/>
  <c r="N190" i="5"/>
  <c r="N191" i="5"/>
  <c r="G200" i="5"/>
  <c r="H200" i="5" s="1"/>
  <c r="G199" i="5"/>
  <c r="H199" i="5" s="1"/>
  <c r="H197" i="5"/>
  <c r="N199" i="5"/>
  <c r="K200" i="5"/>
  <c r="L200" i="5" s="1"/>
  <c r="N200" i="5" s="1"/>
  <c r="K203" i="5"/>
  <c r="L203" i="5" s="1"/>
  <c r="N203" i="5" s="1"/>
  <c r="O203" i="5" s="1"/>
  <c r="K204" i="5"/>
  <c r="L204" i="5" s="1"/>
  <c r="N204" i="5" s="1"/>
  <c r="O204" i="5" s="1"/>
  <c r="K205" i="5"/>
  <c r="L205" i="5" s="1"/>
  <c r="N205" i="5" s="1"/>
  <c r="O205" i="5" s="1"/>
  <c r="K206" i="5"/>
  <c r="L206" i="5" s="1"/>
  <c r="K207" i="5"/>
  <c r="L207" i="5" s="1"/>
  <c r="N207" i="5" s="1"/>
  <c r="O207" i="5" s="1"/>
  <c r="H196" i="5"/>
  <c r="L197" i="5"/>
  <c r="N195" i="13" l="1"/>
  <c r="N120" i="6"/>
  <c r="O120" i="6" s="1"/>
  <c r="N195" i="6"/>
  <c r="O195" i="6" s="1"/>
  <c r="N270" i="6"/>
  <c r="O270" i="6" s="1"/>
  <c r="O270" i="13"/>
  <c r="H122" i="13"/>
  <c r="H125" i="13" s="1"/>
  <c r="H142" i="13" s="1"/>
  <c r="H143" i="13" s="1"/>
  <c r="O120" i="13"/>
  <c r="O195" i="13"/>
  <c r="H220" i="8"/>
  <c r="H214" i="8"/>
  <c r="H144" i="8"/>
  <c r="H138" i="8"/>
  <c r="H50" i="13"/>
  <c r="H136" i="13"/>
  <c r="H200" i="13"/>
  <c r="H275" i="13"/>
  <c r="H275" i="6"/>
  <c r="H200" i="6"/>
  <c r="H142" i="6"/>
  <c r="H136" i="6"/>
  <c r="H124" i="5"/>
  <c r="N348" i="5"/>
  <c r="O348" i="5" s="1"/>
  <c r="N357" i="5"/>
  <c r="O357" i="5" s="1"/>
  <c r="O351" i="5"/>
  <c r="O350" i="5"/>
  <c r="H346" i="5"/>
  <c r="N347" i="5"/>
  <c r="O347" i="5" s="1"/>
  <c r="N282" i="5"/>
  <c r="O282" i="5" s="1"/>
  <c r="O273" i="5"/>
  <c r="O276" i="5"/>
  <c r="O275" i="5"/>
  <c r="N272" i="5"/>
  <c r="O272" i="5" s="1"/>
  <c r="H274" i="5"/>
  <c r="N197" i="5"/>
  <c r="O197" i="5" s="1"/>
  <c r="N206" i="5"/>
  <c r="O206" i="5" s="1"/>
  <c r="O200" i="5"/>
  <c r="O199" i="5"/>
  <c r="H195" i="5"/>
  <c r="N196" i="5"/>
  <c r="O196" i="5" s="1"/>
  <c r="H221" i="8" l="1"/>
  <c r="H222" i="8" s="1"/>
  <c r="H215" i="8"/>
  <c r="H216" i="8" s="1"/>
  <c r="H145" i="8"/>
  <c r="H146" i="8" s="1"/>
  <c r="H139" i="8"/>
  <c r="H140" i="8" s="1"/>
  <c r="H217" i="13"/>
  <c r="H211" i="13"/>
  <c r="H292" i="13"/>
  <c r="H286" i="13"/>
  <c r="H137" i="13"/>
  <c r="H138" i="13" s="1"/>
  <c r="H67" i="13"/>
  <c r="H61" i="13"/>
  <c r="H144" i="13"/>
  <c r="H292" i="6"/>
  <c r="H286" i="6"/>
  <c r="H217" i="6"/>
  <c r="H211" i="6"/>
  <c r="H137" i="6"/>
  <c r="H138" i="6" s="1"/>
  <c r="H143" i="6"/>
  <c r="H144" i="6" s="1"/>
  <c r="H141" i="5"/>
  <c r="H135" i="5"/>
  <c r="H349" i="5"/>
  <c r="H360" i="5" s="1"/>
  <c r="H291" i="5"/>
  <c r="H285" i="5"/>
  <c r="H198" i="5"/>
  <c r="F18" i="11"/>
  <c r="O145" i="10"/>
  <c r="N145" i="10"/>
  <c r="O139" i="10"/>
  <c r="N139" i="10"/>
  <c r="H134" i="10"/>
  <c r="H133" i="10"/>
  <c r="H132" i="10"/>
  <c r="H131" i="10"/>
  <c r="H130" i="10"/>
  <c r="K129" i="10"/>
  <c r="J129" i="10"/>
  <c r="H129" i="10"/>
  <c r="L128" i="10"/>
  <c r="J128" i="10"/>
  <c r="H128" i="10"/>
  <c r="J127" i="10"/>
  <c r="K127" i="10"/>
  <c r="L127" i="10" s="1"/>
  <c r="J126" i="10"/>
  <c r="L126" i="10" s="1"/>
  <c r="G126" i="10"/>
  <c r="G127" i="10" s="1"/>
  <c r="H127" i="10" s="1"/>
  <c r="K123" i="10"/>
  <c r="K124" i="10" s="1"/>
  <c r="L124" i="10" s="1"/>
  <c r="G123" i="10"/>
  <c r="G124" i="10" s="1"/>
  <c r="H124" i="10" s="1"/>
  <c r="L121" i="10"/>
  <c r="H121" i="10"/>
  <c r="L120" i="10"/>
  <c r="H120" i="10"/>
  <c r="O120" i="10" s="1"/>
  <c r="H119" i="10"/>
  <c r="L118" i="10"/>
  <c r="N118" i="10" s="1"/>
  <c r="H118" i="10"/>
  <c r="O118" i="10" s="1"/>
  <c r="L117" i="10"/>
  <c r="H117" i="10"/>
  <c r="O117" i="10" s="1"/>
  <c r="L116" i="10"/>
  <c r="H116" i="10"/>
  <c r="O116" i="10" s="1"/>
  <c r="H115" i="10"/>
  <c r="L113" i="10"/>
  <c r="H113" i="10"/>
  <c r="O113" i="10" s="1"/>
  <c r="L112" i="10"/>
  <c r="H112" i="10"/>
  <c r="O112" i="10" s="1"/>
  <c r="L111" i="10"/>
  <c r="H111" i="10"/>
  <c r="O111" i="10" s="1"/>
  <c r="H110" i="10"/>
  <c r="O110" i="10" s="1"/>
  <c r="H109" i="10"/>
  <c r="O109" i="10" s="1"/>
  <c r="L108" i="10"/>
  <c r="H108" i="10"/>
  <c r="L107" i="10"/>
  <c r="H107" i="10"/>
  <c r="H106" i="10"/>
  <c r="O106" i="10" s="1"/>
  <c r="L105" i="10"/>
  <c r="N105" i="10" s="1"/>
  <c r="H105" i="10"/>
  <c r="O105" i="10" s="1"/>
  <c r="H104" i="10"/>
  <c r="L103" i="10"/>
  <c r="H103" i="10"/>
  <c r="O103" i="10" s="1"/>
  <c r="L102" i="10"/>
  <c r="H102" i="10"/>
  <c r="O102" i="10" s="1"/>
  <c r="L101" i="10"/>
  <c r="H101" i="10"/>
  <c r="O101" i="10" s="1"/>
  <c r="L100" i="10"/>
  <c r="H100" i="10"/>
  <c r="O100" i="10" s="1"/>
  <c r="L99" i="10"/>
  <c r="H99" i="10"/>
  <c r="O99" i="10" s="1"/>
  <c r="H98" i="10"/>
  <c r="N100" i="10" l="1"/>
  <c r="N120" i="10"/>
  <c r="L129" i="10"/>
  <c r="N128" i="10"/>
  <c r="O128" i="10" s="1"/>
  <c r="N121" i="10"/>
  <c r="N99" i="10"/>
  <c r="N101" i="10"/>
  <c r="H224" i="8"/>
  <c r="H218" i="8"/>
  <c r="H148" i="8"/>
  <c r="H142" i="8"/>
  <c r="H140" i="13"/>
  <c r="H146" i="13"/>
  <c r="H68" i="13"/>
  <c r="H69" i="13" s="1"/>
  <c r="H293" i="13"/>
  <c r="H294" i="13" s="1"/>
  <c r="H212" i="13"/>
  <c r="H213" i="13" s="1"/>
  <c r="H62" i="13"/>
  <c r="H63" i="13" s="1"/>
  <c r="H287" i="13"/>
  <c r="H288" i="13" s="1"/>
  <c r="H218" i="13"/>
  <c r="H219" i="13" s="1"/>
  <c r="H293" i="6"/>
  <c r="H287" i="6"/>
  <c r="H218" i="6"/>
  <c r="H219" i="6" s="1"/>
  <c r="H212" i="6"/>
  <c r="H213" i="6" s="1"/>
  <c r="H146" i="6"/>
  <c r="H140" i="6"/>
  <c r="H142" i="5"/>
  <c r="H143" i="5" s="1"/>
  <c r="H136" i="5"/>
  <c r="H137" i="5" s="1"/>
  <c r="H366" i="5"/>
  <c r="H292" i="5"/>
  <c r="H293" i="5" s="1"/>
  <c r="H286" i="5"/>
  <c r="H215" i="5"/>
  <c r="H209" i="5"/>
  <c r="N129" i="10"/>
  <c r="O129" i="10" s="1"/>
  <c r="L123" i="10"/>
  <c r="N111" i="10"/>
  <c r="N112" i="10"/>
  <c r="N113" i="10"/>
  <c r="N116" i="10"/>
  <c r="N117" i="10"/>
  <c r="H114" i="10"/>
  <c r="N102" i="10"/>
  <c r="N124" i="10"/>
  <c r="O124" i="10" s="1"/>
  <c r="N103" i="10"/>
  <c r="N107" i="10"/>
  <c r="O107" i="10" s="1"/>
  <c r="N108" i="10"/>
  <c r="O108" i="10" s="1"/>
  <c r="N127" i="10"/>
  <c r="O127" i="10" s="1"/>
  <c r="N130" i="10"/>
  <c r="O130" i="10" s="1"/>
  <c r="L131" i="10"/>
  <c r="N131" i="10" s="1"/>
  <c r="O131" i="10" s="1"/>
  <c r="L132" i="10"/>
  <c r="N132" i="10" s="1"/>
  <c r="O132" i="10" s="1"/>
  <c r="L133" i="10"/>
  <c r="L134" i="10"/>
  <c r="N134" i="10" s="1"/>
  <c r="O134" i="10" s="1"/>
  <c r="H123" i="10"/>
  <c r="N123" i="10" s="1"/>
  <c r="H126" i="10"/>
  <c r="O145" i="12"/>
  <c r="N145" i="12"/>
  <c r="H133" i="12"/>
  <c r="H132" i="12"/>
  <c r="K131" i="12"/>
  <c r="L131" i="12" s="1"/>
  <c r="H131" i="12"/>
  <c r="H130" i="12"/>
  <c r="K129" i="12"/>
  <c r="L129" i="12" s="1"/>
  <c r="J129" i="12"/>
  <c r="H129" i="12"/>
  <c r="G129" i="12"/>
  <c r="L128" i="12"/>
  <c r="J128" i="12"/>
  <c r="H128" i="12"/>
  <c r="J127" i="12"/>
  <c r="J126" i="12"/>
  <c r="K124" i="12"/>
  <c r="K126" i="12" s="1"/>
  <c r="G123" i="12"/>
  <c r="H123" i="12" s="1"/>
  <c r="L121" i="12"/>
  <c r="H121" i="12"/>
  <c r="H119" i="12"/>
  <c r="L118" i="12"/>
  <c r="H118" i="12"/>
  <c r="O118" i="12" s="1"/>
  <c r="L117" i="12"/>
  <c r="H117" i="12"/>
  <c r="O117" i="12" s="1"/>
  <c r="L116" i="12"/>
  <c r="H116" i="12"/>
  <c r="O116" i="12" s="1"/>
  <c r="H115" i="12"/>
  <c r="L113" i="12"/>
  <c r="H113" i="12"/>
  <c r="O113" i="12" s="1"/>
  <c r="L112" i="12"/>
  <c r="H112" i="12"/>
  <c r="O112" i="12" s="1"/>
  <c r="H111" i="12"/>
  <c r="O111" i="12" s="1"/>
  <c r="H110" i="12"/>
  <c r="O110" i="12" s="1"/>
  <c r="L109" i="12"/>
  <c r="H109" i="12"/>
  <c r="O109" i="12" s="1"/>
  <c r="L108" i="12"/>
  <c r="H108" i="12"/>
  <c r="L107" i="12"/>
  <c r="H107" i="12"/>
  <c r="H106" i="12"/>
  <c r="L105" i="12"/>
  <c r="N105" i="12" s="1"/>
  <c r="H105" i="12"/>
  <c r="O105" i="12" s="1"/>
  <c r="H104" i="12"/>
  <c r="L103" i="12"/>
  <c r="H103" i="12"/>
  <c r="O103" i="12" s="1"/>
  <c r="L102" i="12"/>
  <c r="N102" i="12" s="1"/>
  <c r="H102" i="12"/>
  <c r="O102" i="12" s="1"/>
  <c r="L101" i="12"/>
  <c r="H101" i="12"/>
  <c r="O101" i="12" s="1"/>
  <c r="L100" i="12"/>
  <c r="N100" i="12" s="1"/>
  <c r="H100" i="12"/>
  <c r="O100" i="12" s="1"/>
  <c r="L99" i="12"/>
  <c r="H99" i="12"/>
  <c r="O99" i="12" s="1"/>
  <c r="H98" i="12"/>
  <c r="N99" i="12" l="1"/>
  <c r="N101" i="12"/>
  <c r="N103" i="12"/>
  <c r="N107" i="12"/>
  <c r="O107" i="12" s="1"/>
  <c r="N117" i="12"/>
  <c r="N128" i="12"/>
  <c r="O128" i="12" s="1"/>
  <c r="N121" i="12"/>
  <c r="L126" i="12"/>
  <c r="H134" i="12"/>
  <c r="K133" i="12"/>
  <c r="L133" i="12" s="1"/>
  <c r="N133" i="12" s="1"/>
  <c r="O133" i="12" s="1"/>
  <c r="H215" i="13"/>
  <c r="H221" i="13"/>
  <c r="H71" i="13"/>
  <c r="H290" i="13"/>
  <c r="H65" i="13"/>
  <c r="H296" i="13"/>
  <c r="H288" i="6"/>
  <c r="H294" i="6"/>
  <c r="H215" i="6"/>
  <c r="H221" i="6"/>
  <c r="H138" i="5"/>
  <c r="H139" i="5" s="1"/>
  <c r="H144" i="5"/>
  <c r="H145" i="5" s="1"/>
  <c r="H367" i="5"/>
  <c r="H368" i="5" s="1"/>
  <c r="H361" i="5"/>
  <c r="H362" i="5" s="1"/>
  <c r="H294" i="5"/>
  <c r="H295" i="5" s="1"/>
  <c r="H287" i="5"/>
  <c r="H216" i="5"/>
  <c r="H210" i="5"/>
  <c r="H211" i="5" s="1"/>
  <c r="O123" i="10"/>
  <c r="N133" i="10"/>
  <c r="O133" i="10" s="1"/>
  <c r="N126" i="10"/>
  <c r="O126" i="10" s="1"/>
  <c r="H122" i="10"/>
  <c r="N112" i="12"/>
  <c r="N113" i="12"/>
  <c r="N129" i="12"/>
  <c r="L123" i="12"/>
  <c r="N123" i="12" s="1"/>
  <c r="O123" i="12" s="1"/>
  <c r="O129" i="12"/>
  <c r="H114" i="12"/>
  <c r="N108" i="12"/>
  <c r="O108" i="12" s="1"/>
  <c r="N116" i="12"/>
  <c r="N118" i="12"/>
  <c r="N131" i="12"/>
  <c r="O131" i="12" s="1"/>
  <c r="N109" i="12"/>
  <c r="K130" i="12"/>
  <c r="L130" i="12" s="1"/>
  <c r="N130" i="12" s="1"/>
  <c r="O130" i="12" s="1"/>
  <c r="K132" i="12"/>
  <c r="L132" i="12" s="1"/>
  <c r="N132" i="12" s="1"/>
  <c r="O132" i="12" s="1"/>
  <c r="K134" i="12"/>
  <c r="L134" i="12" s="1"/>
  <c r="N134" i="12" s="1"/>
  <c r="O134" i="12" s="1"/>
  <c r="G124" i="12"/>
  <c r="L124" i="12"/>
  <c r="K127" i="12"/>
  <c r="L127" i="12" s="1"/>
  <c r="J120" i="12" l="1"/>
  <c r="H120" i="12"/>
  <c r="H296" i="6"/>
  <c r="H290" i="6"/>
  <c r="H363" i="5"/>
  <c r="H364" i="5" s="1"/>
  <c r="H369" i="5"/>
  <c r="H370" i="5" s="1"/>
  <c r="H288" i="5"/>
  <c r="H289" i="5" s="1"/>
  <c r="H212" i="5"/>
  <c r="H213" i="5" s="1"/>
  <c r="H217" i="5"/>
  <c r="H125" i="10"/>
  <c r="G127" i="12"/>
  <c r="H127" i="12" s="1"/>
  <c r="H124" i="12"/>
  <c r="G126" i="12"/>
  <c r="H126" i="12" s="1"/>
  <c r="H122" i="12"/>
  <c r="N127" i="12"/>
  <c r="N124" i="12"/>
  <c r="N120" i="12" l="1"/>
  <c r="O120" i="12" s="1"/>
  <c r="H218" i="5"/>
  <c r="H142" i="10"/>
  <c r="H136" i="10"/>
  <c r="O124" i="12"/>
  <c r="N126" i="12"/>
  <c r="O126" i="12" s="1"/>
  <c r="H125" i="12"/>
  <c r="H136" i="12" s="1"/>
  <c r="O127" i="12"/>
  <c r="G504" i="2"/>
  <c r="H504" i="2" s="1"/>
  <c r="G503" i="2"/>
  <c r="H503" i="2" s="1"/>
  <c r="H502" i="2"/>
  <c r="H501" i="2"/>
  <c r="H500" i="2"/>
  <c r="K499" i="2"/>
  <c r="L499" i="2" s="1"/>
  <c r="G499" i="2"/>
  <c r="H499" i="2" s="1"/>
  <c r="L498" i="2"/>
  <c r="H498" i="2"/>
  <c r="K493" i="2"/>
  <c r="L493" i="2" s="1"/>
  <c r="G493" i="2"/>
  <c r="H493" i="2" s="1"/>
  <c r="L491" i="2"/>
  <c r="H491" i="2"/>
  <c r="H489" i="2"/>
  <c r="L488" i="2"/>
  <c r="H488" i="2"/>
  <c r="O488" i="2" s="1"/>
  <c r="L487" i="2"/>
  <c r="H487" i="2"/>
  <c r="O487" i="2" s="1"/>
  <c r="L486" i="2"/>
  <c r="H486" i="2"/>
  <c r="O486" i="2" s="1"/>
  <c r="H485" i="2"/>
  <c r="L483" i="2"/>
  <c r="H483" i="2"/>
  <c r="O483" i="2" s="1"/>
  <c r="L482" i="2"/>
  <c r="H482" i="2"/>
  <c r="O482" i="2" s="1"/>
  <c r="H481" i="2"/>
  <c r="O481" i="2" s="1"/>
  <c r="H480" i="2"/>
  <c r="O480" i="2" s="1"/>
  <c r="H479" i="2"/>
  <c r="O479" i="2" s="1"/>
  <c r="L478" i="2"/>
  <c r="H478" i="2"/>
  <c r="L477" i="2"/>
  <c r="H477" i="2"/>
  <c r="H476" i="2"/>
  <c r="L475" i="2"/>
  <c r="H475" i="2"/>
  <c r="H474" i="2"/>
  <c r="L473" i="2"/>
  <c r="H473" i="2"/>
  <c r="L472" i="2"/>
  <c r="H472" i="2"/>
  <c r="L471" i="2"/>
  <c r="H471" i="2"/>
  <c r="L470" i="2"/>
  <c r="H470" i="2"/>
  <c r="L469" i="2"/>
  <c r="H469" i="2"/>
  <c r="H468" i="2"/>
  <c r="G430" i="2"/>
  <c r="H430" i="2" s="1"/>
  <c r="G429" i="2"/>
  <c r="H429" i="2" s="1"/>
  <c r="H428" i="2"/>
  <c r="H427" i="2"/>
  <c r="H426" i="2"/>
  <c r="K425" i="2"/>
  <c r="L425" i="2" s="1"/>
  <c r="G425" i="2"/>
  <c r="H425" i="2" s="1"/>
  <c r="L424" i="2"/>
  <c r="H424" i="2"/>
  <c r="K419" i="2"/>
  <c r="L419" i="2" s="1"/>
  <c r="G419" i="2"/>
  <c r="H419" i="2" s="1"/>
  <c r="L417" i="2"/>
  <c r="H417" i="2"/>
  <c r="H415" i="2"/>
  <c r="L414" i="2"/>
  <c r="H414" i="2"/>
  <c r="O414" i="2" s="1"/>
  <c r="L413" i="2"/>
  <c r="H413" i="2"/>
  <c r="O413" i="2" s="1"/>
  <c r="L412" i="2"/>
  <c r="H412" i="2"/>
  <c r="O412" i="2" s="1"/>
  <c r="H411" i="2"/>
  <c r="L409" i="2"/>
  <c r="H409" i="2"/>
  <c r="O409" i="2" s="1"/>
  <c r="L408" i="2"/>
  <c r="H408" i="2"/>
  <c r="O408" i="2" s="1"/>
  <c r="H407" i="2"/>
  <c r="O407" i="2" s="1"/>
  <c r="H406" i="2"/>
  <c r="O406" i="2" s="1"/>
  <c r="H405" i="2"/>
  <c r="O405" i="2" s="1"/>
  <c r="L404" i="2"/>
  <c r="H404" i="2"/>
  <c r="L403" i="2"/>
  <c r="H403" i="2"/>
  <c r="H402" i="2"/>
  <c r="L401" i="2"/>
  <c r="H401" i="2"/>
  <c r="H400" i="2"/>
  <c r="L399" i="2"/>
  <c r="H399" i="2"/>
  <c r="O399" i="2" s="1"/>
  <c r="L398" i="2"/>
  <c r="N398" i="2" s="1"/>
  <c r="H398" i="2"/>
  <c r="O398" i="2" s="1"/>
  <c r="L397" i="2"/>
  <c r="H397" i="2"/>
  <c r="O397" i="2" s="1"/>
  <c r="L396" i="2"/>
  <c r="N396" i="2" s="1"/>
  <c r="H396" i="2"/>
  <c r="O396" i="2" s="1"/>
  <c r="L395" i="2"/>
  <c r="N395" i="2" s="1"/>
  <c r="O395" i="2" s="1"/>
  <c r="H395" i="2"/>
  <c r="H394" i="2"/>
  <c r="G356" i="2"/>
  <c r="H356" i="2" s="1"/>
  <c r="G355" i="2"/>
  <c r="H355" i="2" s="1"/>
  <c r="H354" i="2"/>
  <c r="H353" i="2"/>
  <c r="H352" i="2"/>
  <c r="K351" i="2"/>
  <c r="L351" i="2" s="1"/>
  <c r="G351" i="2"/>
  <c r="H351" i="2" s="1"/>
  <c r="L350" i="2"/>
  <c r="H350" i="2"/>
  <c r="K345" i="2"/>
  <c r="L345" i="2" s="1"/>
  <c r="G345" i="2"/>
  <c r="H345" i="2" s="1"/>
  <c r="L343" i="2"/>
  <c r="H343" i="2"/>
  <c r="H341" i="2"/>
  <c r="L340" i="2"/>
  <c r="H340" i="2"/>
  <c r="O340" i="2" s="1"/>
  <c r="L339" i="2"/>
  <c r="H339" i="2"/>
  <c r="O339" i="2" s="1"/>
  <c r="L338" i="2"/>
  <c r="H338" i="2"/>
  <c r="O338" i="2" s="1"/>
  <c r="H337" i="2"/>
  <c r="L335" i="2"/>
  <c r="H335" i="2"/>
  <c r="O335" i="2" s="1"/>
  <c r="L334" i="2"/>
  <c r="H334" i="2"/>
  <c r="O334" i="2" s="1"/>
  <c r="H333" i="2"/>
  <c r="O333" i="2" s="1"/>
  <c r="H332" i="2"/>
  <c r="O332" i="2" s="1"/>
  <c r="H331" i="2"/>
  <c r="O331" i="2" s="1"/>
  <c r="L330" i="2"/>
  <c r="H330" i="2"/>
  <c r="L329" i="2"/>
  <c r="H329" i="2"/>
  <c r="H328" i="2"/>
  <c r="L327" i="2"/>
  <c r="H327" i="2"/>
  <c r="H326" i="2"/>
  <c r="L325" i="2"/>
  <c r="N325" i="2" s="1"/>
  <c r="H325" i="2"/>
  <c r="O325" i="2" s="1"/>
  <c r="L324" i="2"/>
  <c r="H324" i="2"/>
  <c r="O324" i="2" s="1"/>
  <c r="L323" i="2"/>
  <c r="N323" i="2" s="1"/>
  <c r="H323" i="2"/>
  <c r="O323" i="2" s="1"/>
  <c r="L322" i="2"/>
  <c r="H322" i="2"/>
  <c r="O322" i="2" s="1"/>
  <c r="L321" i="2"/>
  <c r="H321" i="2"/>
  <c r="H320" i="2"/>
  <c r="G282" i="2"/>
  <c r="H282" i="2" s="1"/>
  <c r="O282" i="2" s="1"/>
  <c r="G281" i="2"/>
  <c r="H281" i="2" s="1"/>
  <c r="H280" i="2"/>
  <c r="H279" i="2"/>
  <c r="H278" i="2"/>
  <c r="K277" i="2"/>
  <c r="L277" i="2" s="1"/>
  <c r="G277" i="2"/>
  <c r="H277" i="2" s="1"/>
  <c r="L276" i="2"/>
  <c r="H276" i="2"/>
  <c r="K271" i="2"/>
  <c r="L271" i="2" s="1"/>
  <c r="G271" i="2"/>
  <c r="H271" i="2" s="1"/>
  <c r="L269" i="2"/>
  <c r="H269" i="2"/>
  <c r="H267" i="2"/>
  <c r="L266" i="2"/>
  <c r="H266" i="2"/>
  <c r="O266" i="2" s="1"/>
  <c r="L265" i="2"/>
  <c r="H265" i="2"/>
  <c r="O265" i="2" s="1"/>
  <c r="L264" i="2"/>
  <c r="H264" i="2"/>
  <c r="O264" i="2" s="1"/>
  <c r="H263" i="2"/>
  <c r="L261" i="2"/>
  <c r="H261" i="2"/>
  <c r="O261" i="2" s="1"/>
  <c r="L260" i="2"/>
  <c r="H260" i="2"/>
  <c r="O260" i="2" s="1"/>
  <c r="H259" i="2"/>
  <c r="O259" i="2" s="1"/>
  <c r="H258" i="2"/>
  <c r="O258" i="2" s="1"/>
  <c r="H257" i="2"/>
  <c r="O257" i="2" s="1"/>
  <c r="L256" i="2"/>
  <c r="H256" i="2"/>
  <c r="L255" i="2"/>
  <c r="H255" i="2"/>
  <c r="H254" i="2"/>
  <c r="L253" i="2"/>
  <c r="H253" i="2"/>
  <c r="H252" i="2"/>
  <c r="L251" i="2"/>
  <c r="H251" i="2"/>
  <c r="O251" i="2" s="1"/>
  <c r="L250" i="2"/>
  <c r="H250" i="2"/>
  <c r="O250" i="2" s="1"/>
  <c r="L249" i="2"/>
  <c r="H249" i="2"/>
  <c r="O249" i="2" s="1"/>
  <c r="L248" i="2"/>
  <c r="H248" i="2"/>
  <c r="O248" i="2" s="1"/>
  <c r="L247" i="2"/>
  <c r="H247" i="2"/>
  <c r="H246" i="2"/>
  <c r="G208" i="2"/>
  <c r="H208" i="2" s="1"/>
  <c r="O208" i="2" s="1"/>
  <c r="G207" i="2"/>
  <c r="H207" i="2" s="1"/>
  <c r="H206" i="2"/>
  <c r="H205" i="2"/>
  <c r="H204" i="2"/>
  <c r="K203" i="2"/>
  <c r="L203" i="2" s="1"/>
  <c r="G203" i="2"/>
  <c r="H203" i="2" s="1"/>
  <c r="L202" i="2"/>
  <c r="H202" i="2"/>
  <c r="K197" i="2"/>
  <c r="L197" i="2" s="1"/>
  <c r="G197" i="2"/>
  <c r="H197" i="2" s="1"/>
  <c r="L195" i="2"/>
  <c r="H195" i="2"/>
  <c r="H193" i="2"/>
  <c r="L192" i="2"/>
  <c r="H192" i="2"/>
  <c r="O192" i="2" s="1"/>
  <c r="L191" i="2"/>
  <c r="H191" i="2"/>
  <c r="O191" i="2" s="1"/>
  <c r="L190" i="2"/>
  <c r="H190" i="2"/>
  <c r="O190" i="2" s="1"/>
  <c r="H189" i="2"/>
  <c r="L187" i="2"/>
  <c r="H187" i="2"/>
  <c r="O187" i="2" s="1"/>
  <c r="L186" i="2"/>
  <c r="H186" i="2"/>
  <c r="O186" i="2" s="1"/>
  <c r="H185" i="2"/>
  <c r="O185" i="2" s="1"/>
  <c r="H184" i="2"/>
  <c r="O184" i="2" s="1"/>
  <c r="H183" i="2"/>
  <c r="O183" i="2" s="1"/>
  <c r="L182" i="2"/>
  <c r="H182" i="2"/>
  <c r="L181" i="2"/>
  <c r="H181" i="2"/>
  <c r="H180" i="2"/>
  <c r="L179" i="2"/>
  <c r="H179" i="2"/>
  <c r="H178" i="2"/>
  <c r="L177" i="2"/>
  <c r="N177" i="2" s="1"/>
  <c r="H177" i="2"/>
  <c r="O177" i="2" s="1"/>
  <c r="L176" i="2"/>
  <c r="H176" i="2"/>
  <c r="O176" i="2" s="1"/>
  <c r="L175" i="2"/>
  <c r="H175" i="2"/>
  <c r="O175" i="2" s="1"/>
  <c r="L174" i="2"/>
  <c r="H174" i="2"/>
  <c r="O174" i="2" s="1"/>
  <c r="L173" i="2"/>
  <c r="H173" i="2"/>
  <c r="H172" i="2"/>
  <c r="G134" i="2"/>
  <c r="H134" i="2" s="1"/>
  <c r="G133" i="2"/>
  <c r="H133" i="2" s="1"/>
  <c r="H132" i="2"/>
  <c r="H131" i="2"/>
  <c r="H130" i="2"/>
  <c r="K129" i="2"/>
  <c r="L129" i="2" s="1"/>
  <c r="G129" i="2"/>
  <c r="H129" i="2" s="1"/>
  <c r="L128" i="2"/>
  <c r="H128" i="2"/>
  <c r="K123" i="2"/>
  <c r="L123" i="2" s="1"/>
  <c r="H123" i="2"/>
  <c r="L121" i="2"/>
  <c r="N121" i="2" s="1"/>
  <c r="H121" i="2"/>
  <c r="H119" i="2"/>
  <c r="L118" i="2"/>
  <c r="H118" i="2"/>
  <c r="O118" i="2" s="1"/>
  <c r="L117" i="2"/>
  <c r="H117" i="2"/>
  <c r="O117" i="2" s="1"/>
  <c r="L116" i="2"/>
  <c r="H116" i="2"/>
  <c r="O116" i="2" s="1"/>
  <c r="H115" i="2"/>
  <c r="L113" i="2"/>
  <c r="H113" i="2"/>
  <c r="O113" i="2" s="1"/>
  <c r="L112" i="2"/>
  <c r="H112" i="2"/>
  <c r="O112" i="2" s="1"/>
  <c r="H111" i="2"/>
  <c r="O111" i="2" s="1"/>
  <c r="H110" i="2"/>
  <c r="O110" i="2" s="1"/>
  <c r="H109" i="2"/>
  <c r="O109" i="2" s="1"/>
  <c r="L108" i="2"/>
  <c r="H108" i="2"/>
  <c r="L107" i="2"/>
  <c r="H107" i="2"/>
  <c r="H106" i="2"/>
  <c r="L105" i="2"/>
  <c r="H105" i="2"/>
  <c r="H104" i="2"/>
  <c r="L103" i="2"/>
  <c r="H103" i="2"/>
  <c r="L102" i="2"/>
  <c r="H102" i="2"/>
  <c r="L101" i="2"/>
  <c r="H101" i="2"/>
  <c r="L100" i="2"/>
  <c r="H100" i="2"/>
  <c r="L99" i="2"/>
  <c r="H99" i="2"/>
  <c r="H98" i="2"/>
  <c r="N99" i="2" l="1"/>
  <c r="N100" i="2"/>
  <c r="N101" i="2"/>
  <c r="N102" i="2"/>
  <c r="N103" i="2"/>
  <c r="N105" i="2"/>
  <c r="N175" i="2"/>
  <c r="N475" i="2"/>
  <c r="N401" i="2"/>
  <c r="N417" i="2"/>
  <c r="H219" i="5"/>
  <c r="N486" i="2"/>
  <c r="N487" i="2"/>
  <c r="N488" i="2"/>
  <c r="H143" i="10"/>
  <c r="H137" i="10"/>
  <c r="K130" i="2"/>
  <c r="L130" i="2" s="1"/>
  <c r="N130" i="2" s="1"/>
  <c r="O130" i="2" s="1"/>
  <c r="N339" i="2"/>
  <c r="L342" i="2"/>
  <c r="N338" i="2"/>
  <c r="N340" i="2"/>
  <c r="N408" i="2"/>
  <c r="N409" i="2"/>
  <c r="H137" i="12"/>
  <c r="H138" i="12" s="1"/>
  <c r="H139" i="12" s="1"/>
  <c r="H142" i="12"/>
  <c r="N469" i="2"/>
  <c r="N470" i="2"/>
  <c r="N471" i="2"/>
  <c r="N472" i="2"/>
  <c r="N473" i="2"/>
  <c r="L337" i="2"/>
  <c r="N337" i="2" s="1"/>
  <c r="O337" i="2" s="1"/>
  <c r="L485" i="2"/>
  <c r="N485" i="2" s="1"/>
  <c r="O485" i="2" s="1"/>
  <c r="L189" i="2"/>
  <c r="N189" i="2" s="1"/>
  <c r="O189" i="2" s="1"/>
  <c r="N190" i="2"/>
  <c r="N191" i="2"/>
  <c r="N192" i="2"/>
  <c r="L194" i="2"/>
  <c r="N247" i="2"/>
  <c r="O247" i="2" s="1"/>
  <c r="N248" i="2"/>
  <c r="N250" i="2"/>
  <c r="N253" i="2"/>
  <c r="N260" i="2"/>
  <c r="N261" i="2"/>
  <c r="N269" i="2"/>
  <c r="N491" i="2"/>
  <c r="L490" i="2"/>
  <c r="N116" i="2"/>
  <c r="N117" i="2"/>
  <c r="N118" i="2"/>
  <c r="L120" i="2"/>
  <c r="K132" i="2"/>
  <c r="L132" i="2" s="1"/>
  <c r="N132" i="2" s="1"/>
  <c r="N173" i="2"/>
  <c r="O173" i="2" s="1"/>
  <c r="N174" i="2"/>
  <c r="N176" i="2"/>
  <c r="N195" i="2"/>
  <c r="H262" i="2"/>
  <c r="N249" i="2"/>
  <c r="N251" i="2"/>
  <c r="L263" i="2"/>
  <c r="N263" i="2" s="1"/>
  <c r="O263" i="2" s="1"/>
  <c r="N264" i="2"/>
  <c r="N265" i="2"/>
  <c r="N266" i="2"/>
  <c r="L268" i="2"/>
  <c r="N321" i="2"/>
  <c r="O321" i="2" s="1"/>
  <c r="N322" i="2"/>
  <c r="N324" i="2"/>
  <c r="N343" i="2"/>
  <c r="H410" i="2"/>
  <c r="N397" i="2"/>
  <c r="N399" i="2"/>
  <c r="N412" i="2"/>
  <c r="N413" i="2"/>
  <c r="N414" i="2"/>
  <c r="L416" i="2"/>
  <c r="H188" i="2"/>
  <c r="N179" i="2"/>
  <c r="N186" i="2"/>
  <c r="N187" i="2"/>
  <c r="H336" i="2"/>
  <c r="N327" i="2"/>
  <c r="O327" i="2" s="1"/>
  <c r="N334" i="2"/>
  <c r="N335" i="2"/>
  <c r="N482" i="2"/>
  <c r="N483" i="2"/>
  <c r="L115" i="2"/>
  <c r="N115" i="2" s="1"/>
  <c r="O115" i="2" s="1"/>
  <c r="L411" i="2"/>
  <c r="N411" i="2" s="1"/>
  <c r="O411" i="2" s="1"/>
  <c r="H490" i="2"/>
  <c r="N490" i="2" s="1"/>
  <c r="O490" i="2" s="1"/>
  <c r="H416" i="2"/>
  <c r="H342" i="2"/>
  <c r="N342" i="2" s="1"/>
  <c r="O342" i="2" s="1"/>
  <c r="H268" i="2"/>
  <c r="H194" i="2"/>
  <c r="N194" i="2" s="1"/>
  <c r="O194" i="2" s="1"/>
  <c r="H484" i="2"/>
  <c r="O469" i="2"/>
  <c r="O470" i="2"/>
  <c r="O471" i="2"/>
  <c r="O472" i="2"/>
  <c r="O473" i="2"/>
  <c r="O475" i="2"/>
  <c r="N477" i="2"/>
  <c r="O477" i="2" s="1"/>
  <c r="N493" i="2"/>
  <c r="O493" i="2" s="1"/>
  <c r="N499" i="2"/>
  <c r="N478" i="2"/>
  <c r="O478" i="2" s="1"/>
  <c r="O499" i="2"/>
  <c r="G494" i="2"/>
  <c r="K494" i="2"/>
  <c r="N498" i="2"/>
  <c r="O498" i="2" s="1"/>
  <c r="K500" i="2"/>
  <c r="L500" i="2" s="1"/>
  <c r="N500" i="2" s="1"/>
  <c r="O500" i="2" s="1"/>
  <c r="K501" i="2"/>
  <c r="L501" i="2" s="1"/>
  <c r="N501" i="2" s="1"/>
  <c r="O501" i="2" s="1"/>
  <c r="K502" i="2"/>
  <c r="L502" i="2" s="1"/>
  <c r="N502" i="2" s="1"/>
  <c r="O502" i="2" s="1"/>
  <c r="K503" i="2"/>
  <c r="L503" i="2" s="1"/>
  <c r="K504" i="2"/>
  <c r="L504" i="2" s="1"/>
  <c r="N504" i="2" s="1"/>
  <c r="O504" i="2" s="1"/>
  <c r="N404" i="2"/>
  <c r="O404" i="2" s="1"/>
  <c r="N419" i="2"/>
  <c r="O419" i="2" s="1"/>
  <c r="N425" i="2"/>
  <c r="O425" i="2" s="1"/>
  <c r="O401" i="2"/>
  <c r="N403" i="2"/>
  <c r="O403" i="2" s="1"/>
  <c r="G420" i="2"/>
  <c r="K420" i="2"/>
  <c r="N424" i="2"/>
  <c r="O424" i="2" s="1"/>
  <c r="L426" i="2"/>
  <c r="N426" i="2" s="1"/>
  <c r="O426" i="2" s="1"/>
  <c r="K427" i="2"/>
  <c r="L427" i="2" s="1"/>
  <c r="N427" i="2" s="1"/>
  <c r="O427" i="2" s="1"/>
  <c r="K428" i="2"/>
  <c r="L428" i="2" s="1"/>
  <c r="N428" i="2" s="1"/>
  <c r="O428" i="2" s="1"/>
  <c r="K429" i="2"/>
  <c r="L429" i="2" s="1"/>
  <c r="K430" i="2"/>
  <c r="L430" i="2" s="1"/>
  <c r="N430" i="2" s="1"/>
  <c r="O430" i="2" s="1"/>
  <c r="N330" i="2"/>
  <c r="O330" i="2" s="1"/>
  <c r="N345" i="2"/>
  <c r="O345" i="2" s="1"/>
  <c r="N351" i="2"/>
  <c r="O351" i="2" s="1"/>
  <c r="N329" i="2"/>
  <c r="O329" i="2" s="1"/>
  <c r="G346" i="2"/>
  <c r="K346" i="2"/>
  <c r="N350" i="2"/>
  <c r="O350" i="2" s="1"/>
  <c r="K352" i="2"/>
  <c r="L352" i="2" s="1"/>
  <c r="N352" i="2" s="1"/>
  <c r="O352" i="2" s="1"/>
  <c r="K353" i="2"/>
  <c r="L353" i="2" s="1"/>
  <c r="N353" i="2" s="1"/>
  <c r="O353" i="2" s="1"/>
  <c r="K354" i="2"/>
  <c r="L354" i="2" s="1"/>
  <c r="N354" i="2" s="1"/>
  <c r="O354" i="2" s="1"/>
  <c r="K355" i="2"/>
  <c r="L355" i="2" s="1"/>
  <c r="K356" i="2"/>
  <c r="L356" i="2" s="1"/>
  <c r="N356" i="2" s="1"/>
  <c r="O356" i="2" s="1"/>
  <c r="N256" i="2"/>
  <c r="O256" i="2" s="1"/>
  <c r="N271" i="2"/>
  <c r="O271" i="2" s="1"/>
  <c r="N277" i="2"/>
  <c r="O277" i="2" s="1"/>
  <c r="O253" i="2"/>
  <c r="N255" i="2"/>
  <c r="O255" i="2" s="1"/>
  <c r="G272" i="2"/>
  <c r="K272" i="2"/>
  <c r="N276" i="2"/>
  <c r="O276" i="2" s="1"/>
  <c r="K278" i="2"/>
  <c r="L278" i="2" s="1"/>
  <c r="N278" i="2" s="1"/>
  <c r="O278" i="2" s="1"/>
  <c r="K279" i="2"/>
  <c r="L279" i="2" s="1"/>
  <c r="N279" i="2" s="1"/>
  <c r="O279" i="2" s="1"/>
  <c r="K280" i="2"/>
  <c r="L280" i="2" s="1"/>
  <c r="N280" i="2" s="1"/>
  <c r="O280" i="2" s="1"/>
  <c r="K281" i="2"/>
  <c r="L281" i="2" s="1"/>
  <c r="K282" i="2"/>
  <c r="L282" i="2" s="1"/>
  <c r="N282" i="2" s="1"/>
  <c r="N182" i="2"/>
  <c r="O182" i="2" s="1"/>
  <c r="N197" i="2"/>
  <c r="O197" i="2" s="1"/>
  <c r="N203" i="2"/>
  <c r="O179" i="2"/>
  <c r="N181" i="2"/>
  <c r="O181" i="2" s="1"/>
  <c r="O203" i="2"/>
  <c r="G198" i="2"/>
  <c r="K198" i="2"/>
  <c r="N202" i="2"/>
  <c r="O202" i="2" s="1"/>
  <c r="K204" i="2"/>
  <c r="L204" i="2" s="1"/>
  <c r="N204" i="2" s="1"/>
  <c r="O204" i="2" s="1"/>
  <c r="K205" i="2"/>
  <c r="L205" i="2" s="1"/>
  <c r="N205" i="2" s="1"/>
  <c r="O205" i="2" s="1"/>
  <c r="K206" i="2"/>
  <c r="L206" i="2" s="1"/>
  <c r="N206" i="2" s="1"/>
  <c r="O206" i="2" s="1"/>
  <c r="K207" i="2"/>
  <c r="L207" i="2" s="1"/>
  <c r="K208" i="2"/>
  <c r="L208" i="2" s="1"/>
  <c r="N208" i="2" s="1"/>
  <c r="G124" i="2"/>
  <c r="H124" i="2" s="1"/>
  <c r="H120" i="2"/>
  <c r="N123" i="2"/>
  <c r="O123" i="2" s="1"/>
  <c r="H114" i="2"/>
  <c r="O99" i="2"/>
  <c r="O100" i="2"/>
  <c r="O101" i="2"/>
  <c r="O102" i="2"/>
  <c r="O103" i="2"/>
  <c r="O105" i="2"/>
  <c r="N107" i="2"/>
  <c r="O107" i="2" s="1"/>
  <c r="N113" i="2"/>
  <c r="G127" i="2"/>
  <c r="H127" i="2" s="1"/>
  <c r="N129" i="2"/>
  <c r="O129" i="2" s="1"/>
  <c r="N108" i="2"/>
  <c r="O108" i="2" s="1"/>
  <c r="N112" i="2"/>
  <c r="K124" i="2"/>
  <c r="N128" i="2"/>
  <c r="O128" i="2" s="1"/>
  <c r="K131" i="2"/>
  <c r="L131" i="2" s="1"/>
  <c r="N131" i="2" s="1"/>
  <c r="O131" i="2" s="1"/>
  <c r="O132" i="2"/>
  <c r="K133" i="2"/>
  <c r="L133" i="2" s="1"/>
  <c r="K134" i="2"/>
  <c r="L134" i="2" s="1"/>
  <c r="N134" i="2" s="1"/>
  <c r="O134" i="2" s="1"/>
  <c r="H418" i="2" l="1"/>
  <c r="H270" i="2"/>
  <c r="H138" i="10"/>
  <c r="H144" i="10"/>
  <c r="H196" i="2"/>
  <c r="H140" i="12"/>
  <c r="H143" i="12"/>
  <c r="H144" i="12" s="1"/>
  <c r="G126" i="2"/>
  <c r="H126" i="2" s="1"/>
  <c r="H344" i="2"/>
  <c r="N268" i="2"/>
  <c r="O268" i="2" s="1"/>
  <c r="N416" i="2"/>
  <c r="O416" i="2" s="1"/>
  <c r="L494" i="2"/>
  <c r="K497" i="2"/>
  <c r="L497" i="2" s="1"/>
  <c r="K496" i="2"/>
  <c r="L496" i="2" s="1"/>
  <c r="H492" i="2"/>
  <c r="N503" i="2"/>
  <c r="O503" i="2" s="1"/>
  <c r="H494" i="2"/>
  <c r="G497" i="2"/>
  <c r="H497" i="2" s="1"/>
  <c r="G496" i="2"/>
  <c r="H496" i="2" s="1"/>
  <c r="L420" i="2"/>
  <c r="K423" i="2"/>
  <c r="L423" i="2" s="1"/>
  <c r="K422" i="2"/>
  <c r="L422" i="2" s="1"/>
  <c r="N429" i="2"/>
  <c r="O429" i="2" s="1"/>
  <c r="H420" i="2"/>
  <c r="G423" i="2"/>
  <c r="H423" i="2" s="1"/>
  <c r="G422" i="2"/>
  <c r="H422" i="2" s="1"/>
  <c r="N355" i="2"/>
  <c r="O355" i="2" s="1"/>
  <c r="H346" i="2"/>
  <c r="G349" i="2"/>
  <c r="H349" i="2" s="1"/>
  <c r="G348" i="2"/>
  <c r="H348" i="2" s="1"/>
  <c r="L346" i="2"/>
  <c r="K349" i="2"/>
  <c r="L349" i="2" s="1"/>
  <c r="K348" i="2"/>
  <c r="L348" i="2" s="1"/>
  <c r="N281" i="2"/>
  <c r="O281" i="2" s="1"/>
  <c r="H272" i="2"/>
  <c r="G275" i="2"/>
  <c r="H275" i="2" s="1"/>
  <c r="G274" i="2"/>
  <c r="H274" i="2" s="1"/>
  <c r="L272" i="2"/>
  <c r="K275" i="2"/>
  <c r="L275" i="2" s="1"/>
  <c r="K274" i="2"/>
  <c r="L274" i="2" s="1"/>
  <c r="H273" i="2"/>
  <c r="L198" i="2"/>
  <c r="K201" i="2"/>
  <c r="L201" i="2" s="1"/>
  <c r="K200" i="2"/>
  <c r="L200" i="2" s="1"/>
  <c r="N207" i="2"/>
  <c r="O207" i="2" s="1"/>
  <c r="H198" i="2"/>
  <c r="G201" i="2"/>
  <c r="H201" i="2" s="1"/>
  <c r="G200" i="2"/>
  <c r="H200" i="2" s="1"/>
  <c r="N120" i="2"/>
  <c r="O120" i="2" s="1"/>
  <c r="L124" i="2"/>
  <c r="N124" i="2" s="1"/>
  <c r="O124" i="2" s="1"/>
  <c r="K127" i="2"/>
  <c r="L127" i="2" s="1"/>
  <c r="N127" i="2" s="1"/>
  <c r="K126" i="2"/>
  <c r="L126" i="2" s="1"/>
  <c r="O127" i="2"/>
  <c r="H122" i="2"/>
  <c r="N133" i="2"/>
  <c r="O133" i="2" s="1"/>
  <c r="H347" i="2" l="1"/>
  <c r="N272" i="2"/>
  <c r="H146" i="10"/>
  <c r="H140" i="10"/>
  <c r="H146" i="12"/>
  <c r="N275" i="2"/>
  <c r="N349" i="2"/>
  <c r="O272" i="2"/>
  <c r="H495" i="2"/>
  <c r="H506" i="2" s="1"/>
  <c r="N497" i="2"/>
  <c r="O497" i="2" s="1"/>
  <c r="N496" i="2"/>
  <c r="O496" i="2" s="1"/>
  <c r="N494" i="2"/>
  <c r="O494" i="2" s="1"/>
  <c r="N423" i="2"/>
  <c r="O423" i="2" s="1"/>
  <c r="H421" i="2"/>
  <c r="N422" i="2"/>
  <c r="O422" i="2" s="1"/>
  <c r="N420" i="2"/>
  <c r="O420" i="2" s="1"/>
  <c r="H364" i="2"/>
  <c r="N348" i="2"/>
  <c r="N346" i="2"/>
  <c r="O346" i="2" s="1"/>
  <c r="O349" i="2"/>
  <c r="O348" i="2"/>
  <c r="H358" i="2"/>
  <c r="H290" i="2"/>
  <c r="N274" i="2"/>
  <c r="O275" i="2"/>
  <c r="O274" i="2"/>
  <c r="H284" i="2"/>
  <c r="N201" i="2"/>
  <c r="O201" i="2" s="1"/>
  <c r="H199" i="2"/>
  <c r="N200" i="2"/>
  <c r="O200" i="2" s="1"/>
  <c r="N198" i="2"/>
  <c r="O198" i="2" s="1"/>
  <c r="H125" i="2"/>
  <c r="N126" i="2"/>
  <c r="O126" i="2" s="1"/>
  <c r="H507" i="2" l="1"/>
  <c r="H508" i="2" s="1"/>
  <c r="H512" i="2"/>
  <c r="H438" i="2"/>
  <c r="H432" i="2"/>
  <c r="H359" i="2"/>
  <c r="H360" i="2" s="1"/>
  <c r="H365" i="2"/>
  <c r="H366" i="2" s="1"/>
  <c r="H291" i="2"/>
  <c r="H292" i="2" s="1"/>
  <c r="H285" i="2"/>
  <c r="H286" i="2" s="1"/>
  <c r="H216" i="2"/>
  <c r="H210" i="2"/>
  <c r="H142" i="2"/>
  <c r="H136" i="2"/>
  <c r="H509" i="2" l="1"/>
  <c r="H510" i="2" s="1"/>
  <c r="H513" i="2"/>
  <c r="H514" i="2" s="1"/>
  <c r="H439" i="2"/>
  <c r="H440" i="2" s="1"/>
  <c r="H433" i="2"/>
  <c r="H361" i="2"/>
  <c r="H362" i="2" s="1"/>
  <c r="H367" i="2"/>
  <c r="H368" i="2" s="1"/>
  <c r="H293" i="2"/>
  <c r="H294" i="2" s="1"/>
  <c r="H287" i="2"/>
  <c r="H288" i="2" s="1"/>
  <c r="H217" i="2"/>
  <c r="H218" i="2" s="1"/>
  <c r="H211" i="2"/>
  <c r="H143" i="2"/>
  <c r="H144" i="2" s="1"/>
  <c r="H137" i="2"/>
  <c r="H212" i="2" l="1"/>
  <c r="H213" i="2" s="1"/>
  <c r="H214" i="2" s="1"/>
  <c r="H434" i="2"/>
  <c r="H435" i="2" s="1"/>
  <c r="H436" i="2" s="1"/>
  <c r="H138" i="2"/>
  <c r="H139" i="2" s="1"/>
  <c r="H140" i="2" s="1"/>
  <c r="H515" i="2"/>
  <c r="H516" i="2" s="1"/>
  <c r="H441" i="2"/>
  <c r="H442" i="2" s="1"/>
  <c r="H219" i="2"/>
  <c r="H220" i="2" s="1"/>
  <c r="H145" i="2"/>
  <c r="H146" i="2" s="1"/>
  <c r="F19" i="11" l="1"/>
  <c r="H58" i="12" l="1"/>
  <c r="G57" i="12"/>
  <c r="H57" i="12" s="1"/>
  <c r="G56" i="12"/>
  <c r="H56" i="12" s="1"/>
  <c r="G55" i="12"/>
  <c r="H55" i="12" s="1"/>
  <c r="K54" i="12"/>
  <c r="J54" i="12"/>
  <c r="G54" i="12"/>
  <c r="H54" i="12" s="1"/>
  <c r="L53" i="12"/>
  <c r="J53" i="12"/>
  <c r="H53" i="12"/>
  <c r="J52" i="12"/>
  <c r="J51" i="12"/>
  <c r="K48" i="12"/>
  <c r="K49" i="12" s="1"/>
  <c r="G48" i="12"/>
  <c r="G49" i="12" s="1"/>
  <c r="L46" i="12"/>
  <c r="H46" i="12"/>
  <c r="K45" i="12"/>
  <c r="G45" i="12"/>
  <c r="K44" i="12"/>
  <c r="G44" i="12"/>
  <c r="H44" i="12" s="1"/>
  <c r="K43" i="12"/>
  <c r="L43" i="12" s="1"/>
  <c r="G43" i="12"/>
  <c r="H43" i="12" s="1"/>
  <c r="O43" i="12" s="1"/>
  <c r="K42" i="12"/>
  <c r="L42" i="12" s="1"/>
  <c r="G42" i="12"/>
  <c r="H42" i="12" s="1"/>
  <c r="O42" i="12" s="1"/>
  <c r="K41" i="12"/>
  <c r="L41" i="12" s="1"/>
  <c r="G41" i="12"/>
  <c r="H41" i="12" s="1"/>
  <c r="O41" i="12" s="1"/>
  <c r="K40" i="12"/>
  <c r="G40" i="12"/>
  <c r="H40" i="12" s="1"/>
  <c r="K38" i="12"/>
  <c r="L38" i="12" s="1"/>
  <c r="G38" i="12"/>
  <c r="H38" i="12" s="1"/>
  <c r="O38" i="12" s="1"/>
  <c r="K37" i="12"/>
  <c r="L37" i="12" s="1"/>
  <c r="H37" i="12"/>
  <c r="O37" i="12" s="1"/>
  <c r="G37" i="12"/>
  <c r="K36" i="12"/>
  <c r="H36" i="12"/>
  <c r="O36" i="12" s="1"/>
  <c r="G36" i="12"/>
  <c r="K35" i="12"/>
  <c r="G35" i="12"/>
  <c r="H35" i="12" s="1"/>
  <c r="O35" i="12" s="1"/>
  <c r="L34" i="12"/>
  <c r="H34" i="12"/>
  <c r="O34" i="12" s="1"/>
  <c r="K33" i="12"/>
  <c r="L33" i="12" s="1"/>
  <c r="G33" i="12"/>
  <c r="H33" i="12" s="1"/>
  <c r="K32" i="12"/>
  <c r="L32" i="12" s="1"/>
  <c r="G32" i="12"/>
  <c r="H32" i="12" s="1"/>
  <c r="K31" i="12"/>
  <c r="G31" i="12"/>
  <c r="H31" i="12" s="1"/>
  <c r="K30" i="12"/>
  <c r="L30" i="12" s="1"/>
  <c r="H30" i="12"/>
  <c r="O30" i="12" s="1"/>
  <c r="K29" i="12"/>
  <c r="G29" i="12"/>
  <c r="H29" i="12" s="1"/>
  <c r="L28" i="12"/>
  <c r="H28" i="12"/>
  <c r="L27" i="12"/>
  <c r="H27" i="12"/>
  <c r="L26" i="12"/>
  <c r="H26" i="12"/>
  <c r="L25" i="12"/>
  <c r="H25" i="12"/>
  <c r="O25" i="12" s="1"/>
  <c r="L24" i="12"/>
  <c r="H24" i="12"/>
  <c r="H23" i="12"/>
  <c r="K52" i="12" l="1"/>
  <c r="K51" i="12"/>
  <c r="N34" i="12"/>
  <c r="H59" i="12"/>
  <c r="J45" i="12"/>
  <c r="L45" i="12" s="1"/>
  <c r="L51" i="12"/>
  <c r="N46" i="12"/>
  <c r="L48" i="12"/>
  <c r="N26" i="12"/>
  <c r="N27" i="12"/>
  <c r="N28" i="12"/>
  <c r="N43" i="12"/>
  <c r="H45" i="12"/>
  <c r="N53" i="12"/>
  <c r="O53" i="12" s="1"/>
  <c r="L54" i="12"/>
  <c r="N54" i="12" s="1"/>
  <c r="O54" i="12" s="1"/>
  <c r="N37" i="12"/>
  <c r="N38" i="12"/>
  <c r="N30" i="12"/>
  <c r="N33" i="12"/>
  <c r="O33" i="12" s="1"/>
  <c r="N24" i="12"/>
  <c r="O24" i="12" s="1"/>
  <c r="N25" i="12"/>
  <c r="H39" i="12"/>
  <c r="O26" i="12"/>
  <c r="O27" i="12"/>
  <c r="O28" i="12"/>
  <c r="N32" i="12"/>
  <c r="O32" i="12" s="1"/>
  <c r="N41" i="12"/>
  <c r="N42" i="12"/>
  <c r="G52" i="12"/>
  <c r="H52" i="12" s="1"/>
  <c r="G51" i="12"/>
  <c r="H51" i="12" s="1"/>
  <c r="H49" i="12"/>
  <c r="L52" i="12"/>
  <c r="K55" i="12"/>
  <c r="L55" i="12" s="1"/>
  <c r="N55" i="12" s="1"/>
  <c r="O55" i="12" s="1"/>
  <c r="K56" i="12"/>
  <c r="L56" i="12" s="1"/>
  <c r="N56" i="12" s="1"/>
  <c r="O56" i="12" s="1"/>
  <c r="K57" i="12"/>
  <c r="L57" i="12" s="1"/>
  <c r="N57" i="12" s="1"/>
  <c r="O57" i="12" s="1"/>
  <c r="K58" i="12"/>
  <c r="L58" i="12" s="1"/>
  <c r="K59" i="12"/>
  <c r="L59" i="12" s="1"/>
  <c r="N59" i="12" s="1"/>
  <c r="O59" i="12" s="1"/>
  <c r="H48" i="12"/>
  <c r="L49" i="12"/>
  <c r="N49" i="12" s="1"/>
  <c r="G59" i="11"/>
  <c r="F45" i="11" s="1"/>
  <c r="G58" i="11"/>
  <c r="H58" i="11" s="1"/>
  <c r="G57" i="11"/>
  <c r="H57" i="11" s="1"/>
  <c r="G56" i="11"/>
  <c r="H56" i="11" s="1"/>
  <c r="G55" i="11"/>
  <c r="H55" i="11" s="1"/>
  <c r="K54" i="11"/>
  <c r="J54" i="11"/>
  <c r="G54" i="11"/>
  <c r="H54" i="11" s="1"/>
  <c r="J53" i="11"/>
  <c r="L53" i="11" s="1"/>
  <c r="H53" i="11"/>
  <c r="J52" i="11"/>
  <c r="K52" i="11"/>
  <c r="J51" i="11"/>
  <c r="G51" i="11"/>
  <c r="G52" i="11" s="1"/>
  <c r="H52" i="11" s="1"/>
  <c r="K49" i="11"/>
  <c r="G48" i="11"/>
  <c r="G49" i="11" s="1"/>
  <c r="H49" i="11" s="1"/>
  <c r="L46" i="11"/>
  <c r="H46" i="11"/>
  <c r="K44" i="11"/>
  <c r="G44" i="11"/>
  <c r="H44" i="11" s="1"/>
  <c r="K43" i="11"/>
  <c r="L43" i="11" s="1"/>
  <c r="G43" i="11"/>
  <c r="H43" i="11" s="1"/>
  <c r="O43" i="11" s="1"/>
  <c r="K42" i="11"/>
  <c r="L42" i="11" s="1"/>
  <c r="G42" i="11"/>
  <c r="H42" i="11" s="1"/>
  <c r="O42" i="11" s="1"/>
  <c r="K41" i="11"/>
  <c r="L41" i="11" s="1"/>
  <c r="G41" i="11"/>
  <c r="H41" i="11" s="1"/>
  <c r="O41" i="11" s="1"/>
  <c r="K40" i="11"/>
  <c r="G40" i="11"/>
  <c r="H40" i="11" s="1"/>
  <c r="K38" i="11"/>
  <c r="L38" i="11" s="1"/>
  <c r="G38" i="11"/>
  <c r="H38" i="11" s="1"/>
  <c r="O38" i="11" s="1"/>
  <c r="K37" i="11"/>
  <c r="L37" i="11" s="1"/>
  <c r="G37" i="11"/>
  <c r="H37" i="11" s="1"/>
  <c r="O37" i="11" s="1"/>
  <c r="K36" i="11"/>
  <c r="G36" i="11"/>
  <c r="H36" i="11" s="1"/>
  <c r="O36" i="11" s="1"/>
  <c r="K35" i="11"/>
  <c r="L35" i="11" s="1"/>
  <c r="G35" i="11"/>
  <c r="H35" i="11" s="1"/>
  <c r="K34" i="11"/>
  <c r="G34" i="11"/>
  <c r="H34" i="11" s="1"/>
  <c r="O34" i="11" s="1"/>
  <c r="K33" i="11"/>
  <c r="L33" i="11" s="1"/>
  <c r="G33" i="11"/>
  <c r="H33" i="11" s="1"/>
  <c r="K32" i="11"/>
  <c r="L32" i="11" s="1"/>
  <c r="G32" i="11"/>
  <c r="H32" i="11" s="1"/>
  <c r="K31" i="11"/>
  <c r="G31" i="11"/>
  <c r="H31" i="11" s="1"/>
  <c r="L30" i="11"/>
  <c r="H30" i="11"/>
  <c r="O30" i="11" s="1"/>
  <c r="K29" i="11"/>
  <c r="G29" i="11"/>
  <c r="H29" i="11" s="1"/>
  <c r="L28" i="11"/>
  <c r="H28" i="11"/>
  <c r="L27" i="11"/>
  <c r="H27" i="11"/>
  <c r="L26" i="11"/>
  <c r="H26" i="11"/>
  <c r="L25" i="11"/>
  <c r="H25" i="11"/>
  <c r="O25" i="11" s="1"/>
  <c r="L24" i="11"/>
  <c r="H24" i="11"/>
  <c r="O24" i="11" s="1"/>
  <c r="K23" i="11"/>
  <c r="G23" i="11"/>
  <c r="H23" i="11" s="1"/>
  <c r="G23" i="10"/>
  <c r="G59" i="10"/>
  <c r="G58" i="10"/>
  <c r="H58" i="10" s="1"/>
  <c r="H57" i="10"/>
  <c r="H56" i="10"/>
  <c r="H55" i="10"/>
  <c r="K54" i="10"/>
  <c r="J54" i="10"/>
  <c r="G54" i="10"/>
  <c r="H54" i="10" s="1"/>
  <c r="J53" i="10"/>
  <c r="L53" i="10" s="1"/>
  <c r="H53" i="10"/>
  <c r="J52" i="10"/>
  <c r="K52" i="10"/>
  <c r="J51" i="10"/>
  <c r="G51" i="10"/>
  <c r="G52" i="10" s="1"/>
  <c r="H52" i="10" s="1"/>
  <c r="K48" i="10"/>
  <c r="K49" i="10" s="1"/>
  <c r="G48" i="10"/>
  <c r="G49" i="10" s="1"/>
  <c r="H49" i="10" s="1"/>
  <c r="L46" i="10"/>
  <c r="H46" i="10"/>
  <c r="H44" i="10"/>
  <c r="L43" i="10"/>
  <c r="H43" i="10"/>
  <c r="O43" i="10" s="1"/>
  <c r="L42" i="10"/>
  <c r="H42" i="10"/>
  <c r="O42" i="10" s="1"/>
  <c r="L41" i="10"/>
  <c r="H41" i="10"/>
  <c r="O41" i="10" s="1"/>
  <c r="H40" i="10"/>
  <c r="L38" i="10"/>
  <c r="H38" i="10"/>
  <c r="O38" i="10" s="1"/>
  <c r="L37" i="10"/>
  <c r="H37" i="10"/>
  <c r="O37" i="10" s="1"/>
  <c r="L36" i="10"/>
  <c r="H36" i="10"/>
  <c r="O36" i="10" s="1"/>
  <c r="H35" i="10"/>
  <c r="O35" i="10" s="1"/>
  <c r="H34" i="10"/>
  <c r="O34" i="10" s="1"/>
  <c r="L33" i="10"/>
  <c r="H33" i="10"/>
  <c r="L32" i="10"/>
  <c r="G31" i="10"/>
  <c r="H31" i="10" s="1"/>
  <c r="L30" i="10"/>
  <c r="H30" i="10"/>
  <c r="O30" i="10" s="1"/>
  <c r="L28" i="10"/>
  <c r="H28" i="10"/>
  <c r="L27" i="10"/>
  <c r="H27" i="10"/>
  <c r="L26" i="10"/>
  <c r="H26" i="10"/>
  <c r="L25" i="10"/>
  <c r="H25" i="10"/>
  <c r="L24" i="10"/>
  <c r="H24" i="10"/>
  <c r="O24" i="10" s="1"/>
  <c r="H23" i="10"/>
  <c r="N53" i="11" l="1"/>
  <c r="L52" i="10"/>
  <c r="N52" i="10" s="1"/>
  <c r="O52" i="10" s="1"/>
  <c r="H59" i="11"/>
  <c r="J45" i="11"/>
  <c r="L45" i="11" s="1"/>
  <c r="H59" i="10"/>
  <c r="F45" i="10"/>
  <c r="N25" i="10"/>
  <c r="N27" i="10"/>
  <c r="N45" i="12"/>
  <c r="O45" i="12" s="1"/>
  <c r="N52" i="12"/>
  <c r="L52" i="11"/>
  <c r="N52" i="11" s="1"/>
  <c r="O52" i="11" s="1"/>
  <c r="L54" i="11"/>
  <c r="N54" i="11" s="1"/>
  <c r="O54" i="11" s="1"/>
  <c r="N26" i="10"/>
  <c r="N28" i="10"/>
  <c r="N26" i="11"/>
  <c r="N27" i="11"/>
  <c r="N28" i="11"/>
  <c r="O53" i="11"/>
  <c r="N24" i="11"/>
  <c r="N25" i="11"/>
  <c r="N30" i="11"/>
  <c r="N46" i="11"/>
  <c r="N53" i="10"/>
  <c r="O53" i="10" s="1"/>
  <c r="L54" i="10"/>
  <c r="N54" i="10" s="1"/>
  <c r="O54" i="10" s="1"/>
  <c r="N30" i="10"/>
  <c r="N46" i="10"/>
  <c r="L51" i="10"/>
  <c r="H47" i="12"/>
  <c r="N58" i="12"/>
  <c r="O58" i="12" s="1"/>
  <c r="N51" i="12"/>
  <c r="O51" i="12" s="1"/>
  <c r="O49" i="12"/>
  <c r="O52" i="12"/>
  <c r="N48" i="12"/>
  <c r="O48" i="12" s="1"/>
  <c r="L49" i="11"/>
  <c r="N49" i="11" s="1"/>
  <c r="O49" i="11" s="1"/>
  <c r="L51" i="11"/>
  <c r="N35" i="11"/>
  <c r="O35" i="11" s="1"/>
  <c r="N37" i="11"/>
  <c r="N38" i="11"/>
  <c r="L48" i="11"/>
  <c r="H39" i="11"/>
  <c r="O26" i="11"/>
  <c r="O27" i="11"/>
  <c r="O28" i="11"/>
  <c r="N41" i="11"/>
  <c r="N42" i="11"/>
  <c r="N43" i="11"/>
  <c r="N32" i="11"/>
  <c r="O32" i="11" s="1"/>
  <c r="N33" i="11"/>
  <c r="O33" i="11" s="1"/>
  <c r="K55" i="11"/>
  <c r="L55" i="11" s="1"/>
  <c r="N55" i="11" s="1"/>
  <c r="O55" i="11" s="1"/>
  <c r="K56" i="11"/>
  <c r="L56" i="11" s="1"/>
  <c r="N56" i="11" s="1"/>
  <c r="O56" i="11" s="1"/>
  <c r="K57" i="11"/>
  <c r="L57" i="11" s="1"/>
  <c r="N57" i="11" s="1"/>
  <c r="O57" i="11" s="1"/>
  <c r="K58" i="11"/>
  <c r="L58" i="11" s="1"/>
  <c r="K59" i="11"/>
  <c r="L59" i="11" s="1"/>
  <c r="N59" i="11" s="1"/>
  <c r="O59" i="11" s="1"/>
  <c r="H48" i="11"/>
  <c r="H51" i="11"/>
  <c r="L49" i="10"/>
  <c r="N49" i="10" s="1"/>
  <c r="O49" i="10" s="1"/>
  <c r="N32" i="10"/>
  <c r="N37" i="10"/>
  <c r="N38" i="10"/>
  <c r="L48" i="10"/>
  <c r="N24" i="10"/>
  <c r="H39" i="10"/>
  <c r="O25" i="10"/>
  <c r="O26" i="10"/>
  <c r="O27" i="10"/>
  <c r="O28" i="10"/>
  <c r="O32" i="10"/>
  <c r="N41" i="10"/>
  <c r="N42" i="10"/>
  <c r="N43" i="10"/>
  <c r="N33" i="10"/>
  <c r="O33" i="10" s="1"/>
  <c r="N36" i="10"/>
  <c r="K55" i="10"/>
  <c r="L55" i="10" s="1"/>
  <c r="N55" i="10" s="1"/>
  <c r="O55" i="10" s="1"/>
  <c r="K56" i="10"/>
  <c r="L56" i="10" s="1"/>
  <c r="N56" i="10" s="1"/>
  <c r="O56" i="10" s="1"/>
  <c r="K57" i="10"/>
  <c r="L57" i="10" s="1"/>
  <c r="N57" i="10" s="1"/>
  <c r="O57" i="10" s="1"/>
  <c r="K58" i="10"/>
  <c r="L58" i="10" s="1"/>
  <c r="K59" i="10"/>
  <c r="L59" i="10" s="1"/>
  <c r="N59" i="10" s="1"/>
  <c r="O59" i="10" s="1"/>
  <c r="H48" i="10"/>
  <c r="H51" i="10"/>
  <c r="N48" i="10" l="1"/>
  <c r="O48" i="10" s="1"/>
  <c r="H45" i="11"/>
  <c r="N45" i="11" s="1"/>
  <c r="O45" i="11" s="1"/>
  <c r="J45" i="10"/>
  <c r="L45" i="10" s="1"/>
  <c r="H45" i="10"/>
  <c r="H50" i="12"/>
  <c r="N58" i="11"/>
  <c r="O58" i="11" s="1"/>
  <c r="N48" i="11"/>
  <c r="O48" i="11" s="1"/>
  <c r="N51" i="11"/>
  <c r="O51" i="11" s="1"/>
  <c r="H47" i="11"/>
  <c r="N58" i="10"/>
  <c r="O58" i="10" s="1"/>
  <c r="N51" i="10"/>
  <c r="O51" i="10" s="1"/>
  <c r="H47" i="10"/>
  <c r="N45" i="10" l="1"/>
  <c r="O45" i="10" s="1"/>
  <c r="H67" i="12"/>
  <c r="H61" i="12"/>
  <c r="H50" i="11"/>
  <c r="H50" i="10"/>
  <c r="H68" i="12" l="1"/>
  <c r="H62" i="12"/>
  <c r="H67" i="11"/>
  <c r="H61" i="11"/>
  <c r="H67" i="10"/>
  <c r="H61" i="10"/>
  <c r="H63" i="12" l="1"/>
  <c r="H69" i="12"/>
  <c r="H68" i="11"/>
  <c r="H62" i="11"/>
  <c r="H68" i="10"/>
  <c r="H69" i="10" s="1"/>
  <c r="H62" i="10"/>
  <c r="H71" i="12" l="1"/>
  <c r="H63" i="11"/>
  <c r="H69" i="11"/>
  <c r="H71" i="10"/>
  <c r="H63" i="10"/>
  <c r="H65" i="12" l="1"/>
  <c r="H71" i="11"/>
  <c r="H65" i="11"/>
  <c r="H65" i="10"/>
  <c r="K48" i="8" l="1"/>
  <c r="K54" i="6"/>
  <c r="K54" i="8"/>
  <c r="H59" i="8" l="1"/>
  <c r="H58" i="8"/>
  <c r="H57" i="8"/>
  <c r="H56" i="8"/>
  <c r="H55" i="8"/>
  <c r="J54" i="8"/>
  <c r="L54" i="8" s="1"/>
  <c r="G54" i="8"/>
  <c r="H54" i="8" s="1"/>
  <c r="L53" i="8"/>
  <c r="J53" i="8"/>
  <c r="H53" i="8"/>
  <c r="J52" i="8"/>
  <c r="K52" i="8"/>
  <c r="L52" i="8" s="1"/>
  <c r="J51" i="8"/>
  <c r="G51" i="8"/>
  <c r="G52" i="8" s="1"/>
  <c r="H52" i="8" s="1"/>
  <c r="K49" i="8"/>
  <c r="G49" i="8"/>
  <c r="H49" i="8" s="1"/>
  <c r="L46" i="8"/>
  <c r="H46" i="8"/>
  <c r="L45" i="8"/>
  <c r="H44" i="8"/>
  <c r="L43" i="8"/>
  <c r="H43" i="8"/>
  <c r="O43" i="8" s="1"/>
  <c r="L42" i="8"/>
  <c r="H42" i="8"/>
  <c r="O42" i="8" s="1"/>
  <c r="L41" i="8"/>
  <c r="H41" i="8"/>
  <c r="O41" i="8" s="1"/>
  <c r="H40" i="8"/>
  <c r="L38" i="8"/>
  <c r="H38" i="8"/>
  <c r="O38" i="8" s="1"/>
  <c r="L37" i="8"/>
  <c r="H37" i="8"/>
  <c r="O37" i="8" s="1"/>
  <c r="H36" i="8"/>
  <c r="O36" i="8" s="1"/>
  <c r="H35" i="8"/>
  <c r="O35" i="8" s="1"/>
  <c r="H34" i="8"/>
  <c r="L33" i="8"/>
  <c r="H33" i="8"/>
  <c r="L32" i="8"/>
  <c r="H32" i="8"/>
  <c r="L30" i="8"/>
  <c r="H30" i="8"/>
  <c r="O30" i="8" s="1"/>
  <c r="H29" i="8"/>
  <c r="L28" i="8"/>
  <c r="H28" i="8"/>
  <c r="L27" i="8"/>
  <c r="H27" i="8"/>
  <c r="L26" i="8"/>
  <c r="H26" i="8"/>
  <c r="L25" i="8"/>
  <c r="H25" i="8"/>
  <c r="L24" i="8"/>
  <c r="H24" i="8"/>
  <c r="H23" i="8"/>
  <c r="G59" i="6"/>
  <c r="F45" i="6" s="1"/>
  <c r="J45" i="6" s="1"/>
  <c r="G54" i="6"/>
  <c r="K52" i="6"/>
  <c r="G51" i="6"/>
  <c r="G52" i="6" s="1"/>
  <c r="H51" i="6"/>
  <c r="G48" i="6"/>
  <c r="N30" i="8" l="1"/>
  <c r="N24" i="8"/>
  <c r="N25" i="8"/>
  <c r="N26" i="8"/>
  <c r="N27" i="8"/>
  <c r="N28" i="8"/>
  <c r="O53" i="8"/>
  <c r="N53" i="8"/>
  <c r="N46" i="8"/>
  <c r="L51" i="8"/>
  <c r="L49" i="8"/>
  <c r="N49" i="8" s="1"/>
  <c r="O49" i="8" s="1"/>
  <c r="H45" i="8"/>
  <c r="N45" i="8" s="1"/>
  <c r="O45" i="8" s="1"/>
  <c r="N54" i="8"/>
  <c r="O54" i="8" s="1"/>
  <c r="N41" i="8"/>
  <c r="N42" i="8"/>
  <c r="N43" i="8"/>
  <c r="N32" i="8"/>
  <c r="O32" i="8" s="1"/>
  <c r="N33" i="8"/>
  <c r="O33" i="8" s="1"/>
  <c r="L48" i="8"/>
  <c r="H39" i="8"/>
  <c r="N37" i="8"/>
  <c r="N38" i="8"/>
  <c r="N52" i="8"/>
  <c r="O52" i="8" s="1"/>
  <c r="O24" i="8"/>
  <c r="O25" i="8"/>
  <c r="O26" i="8"/>
  <c r="O27" i="8"/>
  <c r="O28" i="8"/>
  <c r="N55" i="8"/>
  <c r="O55" i="8" s="1"/>
  <c r="L56" i="8"/>
  <c r="N56" i="8" s="1"/>
  <c r="O56" i="8" s="1"/>
  <c r="L57" i="8"/>
  <c r="N57" i="8" s="1"/>
  <c r="O57" i="8" s="1"/>
  <c r="L58" i="8"/>
  <c r="L59" i="8"/>
  <c r="N59" i="8" s="1"/>
  <c r="O59" i="8" s="1"/>
  <c r="H48" i="8"/>
  <c r="H51" i="8"/>
  <c r="G59" i="5"/>
  <c r="K59" i="5" s="1"/>
  <c r="G58" i="5"/>
  <c r="K58" i="5" s="1"/>
  <c r="H59" i="6"/>
  <c r="H58" i="6"/>
  <c r="H57" i="6"/>
  <c r="H56" i="6"/>
  <c r="H55" i="6"/>
  <c r="J54" i="6"/>
  <c r="L54" i="6" s="1"/>
  <c r="H54" i="6"/>
  <c r="J53" i="6"/>
  <c r="L53" i="6" s="1"/>
  <c r="N53" i="6" s="1"/>
  <c r="H53" i="6"/>
  <c r="J52" i="6"/>
  <c r="J51" i="6"/>
  <c r="K48" i="6"/>
  <c r="K49" i="6" s="1"/>
  <c r="L51" i="6" s="1"/>
  <c r="G49" i="6"/>
  <c r="L46" i="6"/>
  <c r="H46" i="6"/>
  <c r="H44" i="6"/>
  <c r="L43" i="6"/>
  <c r="H43" i="6"/>
  <c r="O43" i="6" s="1"/>
  <c r="L42" i="6"/>
  <c r="H42" i="6"/>
  <c r="O42" i="6" s="1"/>
  <c r="L41" i="6"/>
  <c r="H41" i="6"/>
  <c r="O41" i="6" s="1"/>
  <c r="H40" i="6"/>
  <c r="L38" i="6"/>
  <c r="H38" i="6"/>
  <c r="O38" i="6" s="1"/>
  <c r="L37" i="6"/>
  <c r="H37" i="6"/>
  <c r="O37" i="6" s="1"/>
  <c r="H36" i="6"/>
  <c r="O36" i="6" s="1"/>
  <c r="H35" i="6"/>
  <c r="O35" i="6" s="1"/>
  <c r="H34" i="6"/>
  <c r="O34" i="6" s="1"/>
  <c r="L33" i="6"/>
  <c r="H33" i="6"/>
  <c r="L32" i="6"/>
  <c r="H32" i="6"/>
  <c r="H31" i="6"/>
  <c r="L30" i="6"/>
  <c r="H30" i="6"/>
  <c r="H29" i="6"/>
  <c r="L28" i="6"/>
  <c r="H28" i="6"/>
  <c r="O28" i="6" s="1"/>
  <c r="L27" i="6"/>
  <c r="H27" i="6"/>
  <c r="L26" i="6"/>
  <c r="H26" i="6"/>
  <c r="O26" i="6" s="1"/>
  <c r="L25" i="6"/>
  <c r="H25" i="6"/>
  <c r="O25" i="6" s="1"/>
  <c r="L24" i="6"/>
  <c r="H24" i="6"/>
  <c r="H23" i="6"/>
  <c r="H57" i="5"/>
  <c r="H55" i="5"/>
  <c r="J54" i="5"/>
  <c r="J53" i="5"/>
  <c r="J52" i="5"/>
  <c r="J51" i="5"/>
  <c r="H58" i="5"/>
  <c r="H56" i="5"/>
  <c r="K54" i="5"/>
  <c r="L54" i="5" s="1"/>
  <c r="G54" i="5"/>
  <c r="H54" i="5" s="1"/>
  <c r="L53" i="5"/>
  <c r="H53" i="5"/>
  <c r="K48" i="5"/>
  <c r="L48" i="5" s="1"/>
  <c r="G48" i="5"/>
  <c r="H48" i="5" s="1"/>
  <c r="L46" i="5"/>
  <c r="H46" i="5"/>
  <c r="H44" i="5"/>
  <c r="L43" i="5"/>
  <c r="H43" i="5"/>
  <c r="O43" i="5" s="1"/>
  <c r="L42" i="5"/>
  <c r="H42" i="5"/>
  <c r="O42" i="5" s="1"/>
  <c r="L41" i="5"/>
  <c r="H41" i="5"/>
  <c r="O41" i="5" s="1"/>
  <c r="H40" i="5"/>
  <c r="L38" i="5"/>
  <c r="H38" i="5"/>
  <c r="O38" i="5" s="1"/>
  <c r="L37" i="5"/>
  <c r="H37" i="5"/>
  <c r="O37" i="5" s="1"/>
  <c r="H36" i="5"/>
  <c r="O36" i="5" s="1"/>
  <c r="H35" i="5"/>
  <c r="O35" i="5" s="1"/>
  <c r="H34" i="5"/>
  <c r="O34" i="5" s="1"/>
  <c r="L33" i="5"/>
  <c r="H33" i="5"/>
  <c r="L32" i="5"/>
  <c r="H32" i="5"/>
  <c r="H31" i="5"/>
  <c r="L30" i="5"/>
  <c r="N30" i="5" s="1"/>
  <c r="H30" i="5"/>
  <c r="H29" i="5"/>
  <c r="L28" i="5"/>
  <c r="H28" i="5"/>
  <c r="O28" i="5" s="1"/>
  <c r="L27" i="5"/>
  <c r="H27" i="5"/>
  <c r="O27" i="5" s="1"/>
  <c r="L26" i="5"/>
  <c r="H26" i="5"/>
  <c r="O26" i="5" s="1"/>
  <c r="L25" i="5"/>
  <c r="H25" i="5"/>
  <c r="O25" i="5" s="1"/>
  <c r="L24" i="5"/>
  <c r="H24" i="5"/>
  <c r="H23" i="5"/>
  <c r="G59" i="2"/>
  <c r="K59" i="2" s="1"/>
  <c r="L59" i="2" s="1"/>
  <c r="G58" i="2"/>
  <c r="K58" i="2" s="1"/>
  <c r="L58" i="2" s="1"/>
  <c r="G57" i="2"/>
  <c r="K57" i="2" s="1"/>
  <c r="L57" i="2" s="1"/>
  <c r="G56" i="2"/>
  <c r="K56" i="2" s="1"/>
  <c r="L56" i="2" s="1"/>
  <c r="G55" i="2"/>
  <c r="K55" i="2" s="1"/>
  <c r="L55" i="2" s="1"/>
  <c r="K54" i="2"/>
  <c r="L54" i="2" s="1"/>
  <c r="G54" i="2"/>
  <c r="H54" i="2" s="1"/>
  <c r="L53" i="2"/>
  <c r="H53" i="2"/>
  <c r="K49" i="2"/>
  <c r="K51" i="2" s="1"/>
  <c r="G48" i="2"/>
  <c r="G49" i="2" s="1"/>
  <c r="L46" i="2"/>
  <c r="H46" i="2"/>
  <c r="K45" i="2"/>
  <c r="G45" i="2"/>
  <c r="K44" i="2"/>
  <c r="G44" i="2"/>
  <c r="H44" i="2" s="1"/>
  <c r="K43" i="2"/>
  <c r="L43" i="2" s="1"/>
  <c r="G43" i="2"/>
  <c r="H43" i="2" s="1"/>
  <c r="O43" i="2" s="1"/>
  <c r="K42" i="2"/>
  <c r="L42" i="2" s="1"/>
  <c r="G42" i="2"/>
  <c r="H42" i="2" s="1"/>
  <c r="O42" i="2" s="1"/>
  <c r="K41" i="2"/>
  <c r="L41" i="2" s="1"/>
  <c r="G41" i="2"/>
  <c r="H41" i="2" s="1"/>
  <c r="O41" i="2" s="1"/>
  <c r="K40" i="2"/>
  <c r="G40" i="2"/>
  <c r="H40" i="2" s="1"/>
  <c r="K38" i="2"/>
  <c r="L38" i="2" s="1"/>
  <c r="G38" i="2"/>
  <c r="H38" i="2" s="1"/>
  <c r="O38" i="2" s="1"/>
  <c r="K37" i="2"/>
  <c r="L37" i="2" s="1"/>
  <c r="G37" i="2"/>
  <c r="H37" i="2" s="1"/>
  <c r="O37" i="2" s="1"/>
  <c r="K36" i="2"/>
  <c r="G36" i="2"/>
  <c r="H36" i="2" s="1"/>
  <c r="O36" i="2" s="1"/>
  <c r="K35" i="2"/>
  <c r="G35" i="2"/>
  <c r="H35" i="2" s="1"/>
  <c r="O35" i="2" s="1"/>
  <c r="H34" i="2"/>
  <c r="O34" i="2" s="1"/>
  <c r="K33" i="2"/>
  <c r="L33" i="2" s="1"/>
  <c r="G33" i="2"/>
  <c r="H33" i="2" s="1"/>
  <c r="K32" i="2"/>
  <c r="L32" i="2" s="1"/>
  <c r="G32" i="2"/>
  <c r="H32" i="2" s="1"/>
  <c r="K31" i="2"/>
  <c r="G31" i="2"/>
  <c r="H31" i="2" s="1"/>
  <c r="K30" i="2"/>
  <c r="L30" i="2" s="1"/>
  <c r="H30" i="2"/>
  <c r="K29" i="2"/>
  <c r="G29" i="2"/>
  <c r="H29" i="2" s="1"/>
  <c r="L28" i="2"/>
  <c r="H28" i="2"/>
  <c r="L27" i="2"/>
  <c r="H27" i="2"/>
  <c r="L26" i="2"/>
  <c r="H26" i="2"/>
  <c r="L25" i="2"/>
  <c r="H25" i="2"/>
  <c r="L24" i="2"/>
  <c r="H24" i="2"/>
  <c r="H23" i="2"/>
  <c r="N48" i="8" l="1"/>
  <c r="O48" i="8" s="1"/>
  <c r="H59" i="5"/>
  <c r="N26" i="6"/>
  <c r="N46" i="5"/>
  <c r="O53" i="6"/>
  <c r="N25" i="6"/>
  <c r="N38" i="6"/>
  <c r="N41" i="6"/>
  <c r="N38" i="5"/>
  <c r="N58" i="8"/>
  <c r="O58" i="8" s="1"/>
  <c r="N51" i="8"/>
  <c r="O51" i="8" s="1"/>
  <c r="H47" i="8"/>
  <c r="N46" i="6"/>
  <c r="N30" i="6"/>
  <c r="N24" i="6"/>
  <c r="O24" i="6" s="1"/>
  <c r="L48" i="6"/>
  <c r="H39" i="6"/>
  <c r="N37" i="6"/>
  <c r="N54" i="6"/>
  <c r="O54" i="6" s="1"/>
  <c r="L45" i="6"/>
  <c r="H45" i="6"/>
  <c r="O27" i="6"/>
  <c r="N27" i="6"/>
  <c r="O30" i="6"/>
  <c r="N32" i="6"/>
  <c r="O32" i="6" s="1"/>
  <c r="N33" i="6"/>
  <c r="O33" i="6" s="1"/>
  <c r="N42" i="6"/>
  <c r="N43" i="6"/>
  <c r="H52" i="6"/>
  <c r="H49" i="6"/>
  <c r="N51" i="6"/>
  <c r="N28" i="6"/>
  <c r="L52" i="6"/>
  <c r="K55" i="6"/>
  <c r="L55" i="6" s="1"/>
  <c r="N55" i="6" s="1"/>
  <c r="O55" i="6" s="1"/>
  <c r="K56" i="6"/>
  <c r="L56" i="6" s="1"/>
  <c r="N56" i="6" s="1"/>
  <c r="O56" i="6" s="1"/>
  <c r="K57" i="6"/>
  <c r="L57" i="6" s="1"/>
  <c r="N57" i="6" s="1"/>
  <c r="O57" i="6" s="1"/>
  <c r="K58" i="6"/>
  <c r="L58" i="6" s="1"/>
  <c r="K59" i="6"/>
  <c r="L59" i="6" s="1"/>
  <c r="N59" i="6" s="1"/>
  <c r="O59" i="6" s="1"/>
  <c r="H48" i="6"/>
  <c r="L49" i="6"/>
  <c r="N24" i="5"/>
  <c r="O24" i="5" s="1"/>
  <c r="N37" i="5"/>
  <c r="H45" i="5"/>
  <c r="O31" i="5"/>
  <c r="N33" i="5"/>
  <c r="O33" i="5" s="1"/>
  <c r="L45" i="5"/>
  <c r="N25" i="5"/>
  <c r="N26" i="5"/>
  <c r="N27" i="5"/>
  <c r="N28" i="5"/>
  <c r="N48" i="5"/>
  <c r="O48" i="5" s="1"/>
  <c r="N54" i="5"/>
  <c r="H39" i="5"/>
  <c r="O30" i="5"/>
  <c r="N32" i="5"/>
  <c r="O32" i="5" s="1"/>
  <c r="N41" i="5"/>
  <c r="N42" i="5"/>
  <c r="N43" i="5"/>
  <c r="O54" i="5"/>
  <c r="G49" i="5"/>
  <c r="K49" i="5"/>
  <c r="N53" i="5"/>
  <c r="O53" i="5" s="1"/>
  <c r="K55" i="5"/>
  <c r="L55" i="5" s="1"/>
  <c r="N55" i="5" s="1"/>
  <c r="O55" i="5" s="1"/>
  <c r="K56" i="5"/>
  <c r="L56" i="5" s="1"/>
  <c r="N56" i="5" s="1"/>
  <c r="O56" i="5" s="1"/>
  <c r="K57" i="5"/>
  <c r="L57" i="5" s="1"/>
  <c r="N57" i="5" s="1"/>
  <c r="O57" i="5" s="1"/>
  <c r="L58" i="5"/>
  <c r="L59" i="5"/>
  <c r="H45" i="2"/>
  <c r="N46" i="2"/>
  <c r="N54" i="2"/>
  <c r="O54" i="2" s="1"/>
  <c r="N37" i="2"/>
  <c r="N38" i="2"/>
  <c r="N32" i="2"/>
  <c r="O32" i="2" s="1"/>
  <c r="N33" i="2"/>
  <c r="O33" i="2" s="1"/>
  <c r="N24" i="2"/>
  <c r="N25" i="2"/>
  <c r="N26" i="2"/>
  <c r="N27" i="2"/>
  <c r="N28" i="2"/>
  <c r="N30" i="2"/>
  <c r="O30" i="2" s="1"/>
  <c r="L40" i="2"/>
  <c r="L45" i="2"/>
  <c r="N45" i="2" s="1"/>
  <c r="O45" i="2" s="1"/>
  <c r="N53" i="2"/>
  <c r="H39" i="2"/>
  <c r="N41" i="2"/>
  <c r="N42" i="2"/>
  <c r="N43" i="2"/>
  <c r="G52" i="2"/>
  <c r="H52" i="2" s="1"/>
  <c r="G51" i="2"/>
  <c r="H51" i="2" s="1"/>
  <c r="H49" i="2"/>
  <c r="K52" i="2"/>
  <c r="L52" i="2" s="1"/>
  <c r="L51" i="2"/>
  <c r="L49" i="2"/>
  <c r="O24" i="2"/>
  <c r="O25" i="2"/>
  <c r="O26" i="2"/>
  <c r="O27" i="2"/>
  <c r="O28" i="2"/>
  <c r="H48" i="2"/>
  <c r="L48" i="2"/>
  <c r="O53" i="2"/>
  <c r="H55" i="2"/>
  <c r="H56" i="2"/>
  <c r="H57" i="2"/>
  <c r="N57" i="2" s="1"/>
  <c r="H58" i="2"/>
  <c r="H59" i="2"/>
  <c r="N40" i="2" l="1"/>
  <c r="O40" i="2" s="1"/>
  <c r="N59" i="5"/>
  <c r="O59" i="5" s="1"/>
  <c r="N52" i="2"/>
  <c r="N45" i="6"/>
  <c r="O45" i="6" s="1"/>
  <c r="H47" i="6"/>
  <c r="H50" i="6" s="1"/>
  <c r="N49" i="6"/>
  <c r="O49" i="6" s="1"/>
  <c r="N49" i="2"/>
  <c r="O49" i="2" s="1"/>
  <c r="N48" i="2"/>
  <c r="H50" i="8"/>
  <c r="N52" i="6"/>
  <c r="O52" i="6" s="1"/>
  <c r="N58" i="6"/>
  <c r="O58" i="6" s="1"/>
  <c r="O51" i="6"/>
  <c r="N48" i="6"/>
  <c r="O48" i="6" s="1"/>
  <c r="N45" i="5"/>
  <c r="O45" i="5" s="1"/>
  <c r="L49" i="5"/>
  <c r="K52" i="5"/>
  <c r="L52" i="5" s="1"/>
  <c r="K51" i="5"/>
  <c r="L51" i="5" s="1"/>
  <c r="N58" i="5"/>
  <c r="O58" i="5" s="1"/>
  <c r="H49" i="5"/>
  <c r="G52" i="5"/>
  <c r="H52" i="5" s="1"/>
  <c r="G51" i="5"/>
  <c r="H51" i="5" s="1"/>
  <c r="H47" i="5"/>
  <c r="N56" i="2"/>
  <c r="O56" i="2" s="1"/>
  <c r="N51" i="2"/>
  <c r="O51" i="2" s="1"/>
  <c r="O57" i="2"/>
  <c r="N58" i="2"/>
  <c r="O58" i="2" s="1"/>
  <c r="N59" i="2"/>
  <c r="O59" i="2" s="1"/>
  <c r="N55" i="2"/>
  <c r="O55" i="2" s="1"/>
  <c r="O52" i="2"/>
  <c r="H47" i="2"/>
  <c r="O48" i="2" l="1"/>
  <c r="H67" i="6"/>
  <c r="H61" i="6"/>
  <c r="H67" i="8"/>
  <c r="H61" i="8"/>
  <c r="N52" i="5"/>
  <c r="O52" i="5" s="1"/>
  <c r="H50" i="5"/>
  <c r="N51" i="5"/>
  <c r="O51" i="5" s="1"/>
  <c r="N49" i="5"/>
  <c r="O49" i="5" s="1"/>
  <c r="H50" i="2"/>
  <c r="H61" i="2" s="1"/>
  <c r="H67" i="2" l="1"/>
  <c r="H68" i="8"/>
  <c r="H62" i="8"/>
  <c r="H62" i="6"/>
  <c r="H63" i="6" s="1"/>
  <c r="H68" i="6"/>
  <c r="H69" i="6" s="1"/>
  <c r="H67" i="5"/>
  <c r="H61" i="5"/>
  <c r="H63" i="8" l="1"/>
  <c r="H69" i="8"/>
  <c r="H71" i="6"/>
  <c r="H65" i="6"/>
  <c r="H62" i="5"/>
  <c r="H63" i="5" s="1"/>
  <c r="H68" i="5"/>
  <c r="H69" i="5" s="1"/>
  <c r="H62" i="2"/>
  <c r="H63" i="2" s="1"/>
  <c r="H68" i="2"/>
  <c r="H69" i="2" s="1"/>
  <c r="H71" i="8" l="1"/>
  <c r="H64" i="5"/>
  <c r="H65" i="5" s="1"/>
  <c r="H70" i="5"/>
  <c r="H71" i="5" s="1"/>
  <c r="H70" i="2"/>
  <c r="H71" i="2" s="1"/>
  <c r="H64" i="2"/>
  <c r="H65" i="8" l="1"/>
  <c r="H65" i="2"/>
  <c r="L34" i="6" l="1"/>
  <c r="N34" i="6" l="1"/>
  <c r="N70" i="11" l="1"/>
  <c r="O70" i="11" s="1"/>
  <c r="N70" i="8"/>
  <c r="O70" i="8" s="1"/>
  <c r="N64" i="10"/>
  <c r="O64" i="10" s="1"/>
  <c r="N64" i="8"/>
  <c r="O64" i="8" s="1"/>
  <c r="N70" i="12"/>
  <c r="O70" i="12" s="1"/>
  <c r="N64" i="6" l="1"/>
  <c r="O64" i="6" s="1"/>
  <c r="N64" i="11"/>
  <c r="O64" i="11" s="1"/>
  <c r="N70" i="6"/>
  <c r="O70" i="6" s="1"/>
  <c r="N70" i="10"/>
  <c r="O70" i="10" s="1"/>
  <c r="O31" i="10" l="1"/>
  <c r="L31" i="14" l="1"/>
  <c r="N31" i="14" s="1"/>
  <c r="O31" i="14" s="1"/>
  <c r="L31" i="11"/>
  <c r="N31" i="11" s="1"/>
  <c r="O31" i="11" s="1"/>
  <c r="L31" i="12" l="1"/>
  <c r="N31" i="12" s="1"/>
  <c r="O31" i="12" s="1"/>
  <c r="L106" i="12"/>
  <c r="N106" i="12" s="1"/>
  <c r="O106" i="12" s="1"/>
  <c r="L106" i="10"/>
  <c r="N106" i="10" s="1"/>
  <c r="L31" i="10"/>
  <c r="N31" i="10" s="1"/>
  <c r="L36" i="11" l="1"/>
  <c r="N36" i="11" s="1"/>
  <c r="L261" i="13" l="1"/>
  <c r="N261" i="13" s="1"/>
  <c r="L111" i="13"/>
  <c r="N111" i="13" s="1"/>
  <c r="L261" i="6"/>
  <c r="N261" i="6" s="1"/>
  <c r="L111" i="6"/>
  <c r="N111" i="6" s="1"/>
  <c r="L186" i="13"/>
  <c r="N186" i="13" s="1"/>
  <c r="L36" i="13"/>
  <c r="N36" i="13" s="1"/>
  <c r="L186" i="6"/>
  <c r="N186" i="6" s="1"/>
  <c r="L36" i="6"/>
  <c r="N36" i="6" s="1"/>
  <c r="L260" i="5"/>
  <c r="N260" i="5" s="1"/>
  <c r="L335" i="5"/>
  <c r="N335" i="5" s="1"/>
  <c r="L36" i="5"/>
  <c r="N36" i="5" s="1"/>
  <c r="L110" i="5"/>
  <c r="N110" i="5" s="1"/>
  <c r="L184" i="5"/>
  <c r="N184" i="5" s="1"/>
  <c r="L36" i="12"/>
  <c r="N36" i="12" s="1"/>
  <c r="L111" i="12"/>
  <c r="N111" i="12" s="1"/>
  <c r="L35" i="10"/>
  <c r="N35" i="10" s="1"/>
  <c r="L110" i="10"/>
  <c r="N110" i="10" s="1"/>
  <c r="L481" i="2"/>
  <c r="N481" i="2" s="1"/>
  <c r="L333" i="2"/>
  <c r="N333" i="2" s="1"/>
  <c r="L185" i="2"/>
  <c r="N185" i="2" s="1"/>
  <c r="L36" i="2"/>
  <c r="N36" i="2" s="1"/>
  <c r="L407" i="2"/>
  <c r="N407" i="2" s="1"/>
  <c r="L259" i="2"/>
  <c r="N259" i="2" s="1"/>
  <c r="L111" i="2"/>
  <c r="N111" i="2" s="1"/>
  <c r="L36" i="8"/>
  <c r="N36" i="8" s="1"/>
  <c r="L189" i="8"/>
  <c r="N189" i="8" s="1"/>
  <c r="L113" i="8"/>
  <c r="N113" i="8" s="1"/>
  <c r="L34" i="11" l="1"/>
  <c r="N34" i="11" s="1"/>
  <c r="L34" i="10" l="1"/>
  <c r="N34" i="10" s="1"/>
  <c r="L109" i="10"/>
  <c r="N109" i="10" s="1"/>
  <c r="L110" i="12"/>
  <c r="N110" i="12" s="1"/>
  <c r="L35" i="12"/>
  <c r="N35" i="12" s="1"/>
  <c r="L185" i="13"/>
  <c r="N185" i="13" s="1"/>
  <c r="L185" i="6"/>
  <c r="N185" i="6" s="1"/>
  <c r="L260" i="13"/>
  <c r="N260" i="13" s="1"/>
  <c r="L260" i="6"/>
  <c r="N260" i="6" s="1"/>
  <c r="L35" i="13"/>
  <c r="N35" i="13" s="1"/>
  <c r="L35" i="6"/>
  <c r="N35" i="6" s="1"/>
  <c r="L110" i="13"/>
  <c r="N110" i="13" s="1"/>
  <c r="L110" i="6"/>
  <c r="N110" i="6" s="1"/>
  <c r="L112" i="8"/>
  <c r="N112" i="8" s="1"/>
  <c r="L188" i="8"/>
  <c r="N188" i="8" s="1"/>
  <c r="L35" i="8"/>
  <c r="N35" i="8" s="1"/>
  <c r="L334" i="5"/>
  <c r="N334" i="5" s="1"/>
  <c r="L183" i="5"/>
  <c r="N183" i="5" s="1"/>
  <c r="L35" i="5"/>
  <c r="N35" i="5" s="1"/>
  <c r="L259" i="5"/>
  <c r="N259" i="5" s="1"/>
  <c r="L109" i="5"/>
  <c r="N109" i="5" s="1"/>
  <c r="L480" i="2" l="1"/>
  <c r="N480" i="2" s="1"/>
  <c r="L184" i="2"/>
  <c r="N184" i="2" s="1"/>
  <c r="L406" i="2"/>
  <c r="N406" i="2" s="1"/>
  <c r="L110" i="2"/>
  <c r="N110" i="2" s="1"/>
  <c r="L332" i="2"/>
  <c r="N332" i="2" s="1"/>
  <c r="L35" i="2"/>
  <c r="N35" i="2" s="1"/>
  <c r="L258" i="2"/>
  <c r="N258" i="2" s="1"/>
  <c r="L330" i="5" l="1"/>
  <c r="N330" i="5" s="1"/>
  <c r="L31" i="5"/>
  <c r="N31" i="5" s="1"/>
  <c r="L105" i="5"/>
  <c r="N105" i="5" s="1"/>
  <c r="L179" i="5"/>
  <c r="N179" i="5" s="1"/>
  <c r="L255" i="5"/>
  <c r="N255" i="5" s="1"/>
  <c r="L108" i="8" l="1"/>
  <c r="N108" i="8" s="1"/>
  <c r="O108" i="8" s="1"/>
  <c r="L31" i="8"/>
  <c r="N31" i="8" s="1"/>
  <c r="O31" i="8" s="1"/>
  <c r="L184" i="8"/>
  <c r="N184" i="8" s="1"/>
  <c r="O184" i="8" s="1"/>
  <c r="L256" i="13" l="1"/>
  <c r="N256" i="13" s="1"/>
  <c r="O256" i="13" s="1"/>
  <c r="L256" i="6"/>
  <c r="N256" i="6" s="1"/>
  <c r="O256" i="6" s="1"/>
  <c r="L181" i="13"/>
  <c r="N181" i="13" s="1"/>
  <c r="O181" i="13" s="1"/>
  <c r="L181" i="6"/>
  <c r="N181" i="6" s="1"/>
  <c r="O181" i="6" s="1"/>
  <c r="L106" i="13"/>
  <c r="N106" i="13" s="1"/>
  <c r="O106" i="13" s="1"/>
  <c r="L106" i="6"/>
  <c r="N106" i="6" s="1"/>
  <c r="O106" i="6" s="1"/>
  <c r="L31" i="13"/>
  <c r="N31" i="13" s="1"/>
  <c r="O31" i="13" s="1"/>
  <c r="L31" i="6"/>
  <c r="N31" i="6" s="1"/>
  <c r="O31" i="6" s="1"/>
  <c r="L476" i="2"/>
  <c r="N476" i="2" s="1"/>
  <c r="O476" i="2" s="1"/>
  <c r="L180" i="2"/>
  <c r="N180" i="2" s="1"/>
  <c r="O180" i="2" s="1"/>
  <c r="L402" i="2"/>
  <c r="N402" i="2" s="1"/>
  <c r="O402" i="2" s="1"/>
  <c r="L106" i="2"/>
  <c r="N106" i="2" s="1"/>
  <c r="O106" i="2" s="1"/>
  <c r="L328" i="2"/>
  <c r="N328" i="2" s="1"/>
  <c r="O328" i="2" s="1"/>
  <c r="L31" i="2"/>
  <c r="N31" i="2" s="1"/>
  <c r="O31" i="2" s="1"/>
  <c r="L254" i="2"/>
  <c r="N254" i="2" s="1"/>
  <c r="O254" i="2" s="1"/>
  <c r="L197" i="8" l="1"/>
  <c r="N197" i="8" s="1"/>
  <c r="O197" i="8" s="1"/>
  <c r="L44" i="8"/>
  <c r="N44" i="8" s="1"/>
  <c r="O44" i="8" s="1"/>
  <c r="L121" i="8"/>
  <c r="N121" i="8" s="1"/>
  <c r="O121" i="8" s="1"/>
  <c r="L44" i="14"/>
  <c r="L44" i="11"/>
  <c r="N44" i="11" s="1"/>
  <c r="O44" i="11" s="1"/>
  <c r="L118" i="5" l="1"/>
  <c r="N118" i="5" s="1"/>
  <c r="O118" i="5" s="1"/>
  <c r="L192" i="5"/>
  <c r="N192" i="5" s="1"/>
  <c r="O192" i="5" s="1"/>
  <c r="L268" i="5"/>
  <c r="N268" i="5" s="1"/>
  <c r="O268" i="5" s="1"/>
  <c r="L343" i="5"/>
  <c r="N343" i="5" s="1"/>
  <c r="O343" i="5" s="1"/>
  <c r="L44" i="5"/>
  <c r="N44" i="5" s="1"/>
  <c r="O44" i="5" s="1"/>
  <c r="N44" i="14"/>
  <c r="O44" i="14" s="1"/>
  <c r="L489" i="2"/>
  <c r="L341" i="2"/>
  <c r="L193" i="2"/>
  <c r="L44" i="2"/>
  <c r="L415" i="2"/>
  <c r="L267" i="2"/>
  <c r="L119" i="2"/>
  <c r="L44" i="12"/>
  <c r="N44" i="12" s="1"/>
  <c r="O44" i="12" s="1"/>
  <c r="L119" i="12"/>
  <c r="N119" i="12" s="1"/>
  <c r="O119" i="12" s="1"/>
  <c r="L194" i="13"/>
  <c r="N194" i="13" s="1"/>
  <c r="O194" i="13" s="1"/>
  <c r="L44" i="13"/>
  <c r="N44" i="13" s="1"/>
  <c r="O44" i="13" s="1"/>
  <c r="L194" i="6"/>
  <c r="N194" i="6" s="1"/>
  <c r="O194" i="6" s="1"/>
  <c r="L44" i="6"/>
  <c r="N44" i="6" s="1"/>
  <c r="O44" i="6" s="1"/>
  <c r="L269" i="13"/>
  <c r="N269" i="13" s="1"/>
  <c r="O269" i="13" s="1"/>
  <c r="L119" i="13"/>
  <c r="N119" i="13" s="1"/>
  <c r="O119" i="13" s="1"/>
  <c r="L269" i="6"/>
  <c r="N269" i="6" s="1"/>
  <c r="O269" i="6" s="1"/>
  <c r="L119" i="6"/>
  <c r="N119" i="6" s="1"/>
  <c r="O119" i="6" s="1"/>
  <c r="L44" i="10"/>
  <c r="N44" i="10" s="1"/>
  <c r="O44" i="10" s="1"/>
  <c r="L119" i="10"/>
  <c r="N119" i="10" s="1"/>
  <c r="O119" i="10" s="1"/>
  <c r="N119" i="2" l="1"/>
  <c r="O119" i="2" s="1"/>
  <c r="N415" i="2"/>
  <c r="O415" i="2" s="1"/>
  <c r="N193" i="2"/>
  <c r="O193" i="2" s="1"/>
  <c r="N489" i="2"/>
  <c r="O489" i="2" s="1"/>
  <c r="N267" i="2"/>
  <c r="O267" i="2" s="1"/>
  <c r="N44" i="2"/>
  <c r="O44" i="2" s="1"/>
  <c r="N341" i="2"/>
  <c r="O341" i="2" s="1"/>
  <c r="L23" i="11" l="1"/>
  <c r="L98" i="12" l="1"/>
  <c r="L23" i="12"/>
  <c r="N23" i="11"/>
  <c r="O23" i="11" s="1"/>
  <c r="L29" i="11"/>
  <c r="N29" i="11" s="1"/>
  <c r="O29" i="11" s="1"/>
  <c r="L23" i="14"/>
  <c r="L104" i="12" l="1"/>
  <c r="N104" i="12" s="1"/>
  <c r="O104" i="12" s="1"/>
  <c r="L29" i="12"/>
  <c r="N29" i="12" s="1"/>
  <c r="O29" i="12" s="1"/>
  <c r="L39" i="11"/>
  <c r="N39" i="11" s="1"/>
  <c r="O39" i="11" s="1"/>
  <c r="N23" i="12"/>
  <c r="O23" i="12" s="1"/>
  <c r="L39" i="12"/>
  <c r="N39" i="12" s="1"/>
  <c r="O39" i="12" s="1"/>
  <c r="N23" i="14"/>
  <c r="O23" i="14" s="1"/>
  <c r="L177" i="5"/>
  <c r="N177" i="5" s="1"/>
  <c r="O177" i="5" s="1"/>
  <c r="L253" i="5"/>
  <c r="N253" i="5" s="1"/>
  <c r="O253" i="5" s="1"/>
  <c r="L328" i="5"/>
  <c r="N328" i="5" s="1"/>
  <c r="O328" i="5" s="1"/>
  <c r="L29" i="5"/>
  <c r="N29" i="5" s="1"/>
  <c r="O29" i="5" s="1"/>
  <c r="L103" i="5"/>
  <c r="N103" i="5" s="1"/>
  <c r="O103" i="5" s="1"/>
  <c r="L97" i="5"/>
  <c r="L171" i="5"/>
  <c r="L247" i="5"/>
  <c r="L322" i="5"/>
  <c r="L23" i="5"/>
  <c r="L114" i="12"/>
  <c r="N114" i="12" s="1"/>
  <c r="O114" i="12" s="1"/>
  <c r="N98" i="12"/>
  <c r="O98" i="12" s="1"/>
  <c r="L29" i="14"/>
  <c r="N29" i="14" s="1"/>
  <c r="O29" i="14" s="1"/>
  <c r="N322" i="5" l="1"/>
  <c r="O322" i="5" s="1"/>
  <c r="N171" i="5"/>
  <c r="O171" i="5" s="1"/>
  <c r="N23" i="5"/>
  <c r="O23" i="5" s="1"/>
  <c r="N247" i="5"/>
  <c r="O247" i="5" s="1"/>
  <c r="N97" i="5"/>
  <c r="O97" i="5" s="1"/>
  <c r="L39" i="14"/>
  <c r="N39" i="14" l="1"/>
  <c r="O39" i="14" s="1"/>
  <c r="L47" i="14"/>
  <c r="N47" i="14" l="1"/>
  <c r="O47" i="14" s="1"/>
  <c r="L50" i="14"/>
  <c r="L61" i="14" l="1"/>
  <c r="N50" i="14"/>
  <c r="O50" i="14" s="1"/>
  <c r="L67" i="14"/>
  <c r="N67" i="14" l="1"/>
  <c r="O67" i="14" s="1"/>
  <c r="L68" i="14"/>
  <c r="N68" i="14" s="1"/>
  <c r="O68" i="14" s="1"/>
  <c r="L69" i="14"/>
  <c r="L62" i="14"/>
  <c r="N62" i="14" s="1"/>
  <c r="O62" i="14" s="1"/>
  <c r="N61" i="14"/>
  <c r="O61" i="14" s="1"/>
  <c r="L63" i="14"/>
  <c r="L65" i="14" l="1"/>
  <c r="N65" i="14" s="1"/>
  <c r="O65" i="14" s="1"/>
  <c r="N63" i="14"/>
  <c r="O63" i="14" s="1"/>
  <c r="N69" i="14"/>
  <c r="O69" i="14" s="1"/>
  <c r="L71" i="14"/>
  <c r="N71" i="14" s="1"/>
  <c r="O71" i="14" s="1"/>
  <c r="L40" i="11" l="1"/>
  <c r="N40" i="11" l="1"/>
  <c r="O40" i="11" s="1"/>
  <c r="L47" i="11"/>
  <c r="L190" i="13" l="1"/>
  <c r="L40" i="13"/>
  <c r="L190" i="6"/>
  <c r="L40" i="6"/>
  <c r="L265" i="13"/>
  <c r="L115" i="13"/>
  <c r="L265" i="6"/>
  <c r="L115" i="6"/>
  <c r="L264" i="5"/>
  <c r="L114" i="5"/>
  <c r="L339" i="5"/>
  <c r="L188" i="5"/>
  <c r="L40" i="5"/>
  <c r="L193" i="8"/>
  <c r="L117" i="8"/>
  <c r="L40" i="8"/>
  <c r="L115" i="12"/>
  <c r="L40" i="12"/>
  <c r="L40" i="10"/>
  <c r="L115" i="10"/>
  <c r="N47" i="11"/>
  <c r="O47" i="11" s="1"/>
  <c r="L50" i="11"/>
  <c r="L67" i="11" l="1"/>
  <c r="N50" i="11"/>
  <c r="O50" i="11" s="1"/>
  <c r="L61" i="11"/>
  <c r="N115" i="10"/>
  <c r="O115" i="10" s="1"/>
  <c r="N40" i="12"/>
  <c r="O40" i="12" s="1"/>
  <c r="L47" i="12"/>
  <c r="N40" i="8"/>
  <c r="O40" i="8" s="1"/>
  <c r="N193" i="8"/>
  <c r="O193" i="8" s="1"/>
  <c r="N188" i="5"/>
  <c r="O188" i="5" s="1"/>
  <c r="N114" i="5"/>
  <c r="O114" i="5" s="1"/>
  <c r="N115" i="6"/>
  <c r="O115" i="6" s="1"/>
  <c r="N115" i="13"/>
  <c r="O115" i="13" s="1"/>
  <c r="N40" i="6"/>
  <c r="O40" i="6" s="1"/>
  <c r="N40" i="13"/>
  <c r="O40" i="13" s="1"/>
  <c r="N40" i="10"/>
  <c r="O40" i="10" s="1"/>
  <c r="N115" i="12"/>
  <c r="O115" i="12" s="1"/>
  <c r="L122" i="12"/>
  <c r="N117" i="8"/>
  <c r="O117" i="8" s="1"/>
  <c r="N40" i="5"/>
  <c r="O40" i="5" s="1"/>
  <c r="N339" i="5"/>
  <c r="O339" i="5" s="1"/>
  <c r="N264" i="5"/>
  <c r="O264" i="5" s="1"/>
  <c r="N265" i="6"/>
  <c r="O265" i="6" s="1"/>
  <c r="N265" i="13"/>
  <c r="O265" i="13" s="1"/>
  <c r="N190" i="6"/>
  <c r="O190" i="6" s="1"/>
  <c r="N190" i="13"/>
  <c r="O190" i="13" s="1"/>
  <c r="N122" i="12" l="1"/>
  <c r="O122" i="12" s="1"/>
  <c r="L125" i="12"/>
  <c r="N47" i="12"/>
  <c r="O47" i="12" s="1"/>
  <c r="L50" i="12"/>
  <c r="N61" i="11"/>
  <c r="O61" i="11" s="1"/>
  <c r="L62" i="11"/>
  <c r="N62" i="11" s="1"/>
  <c r="O62" i="11" s="1"/>
  <c r="L63" i="11"/>
  <c r="L68" i="11"/>
  <c r="N68" i="11" s="1"/>
  <c r="O68" i="11" s="1"/>
  <c r="N67" i="11"/>
  <c r="O67" i="11" s="1"/>
  <c r="L69" i="11"/>
  <c r="L71" i="11" l="1"/>
  <c r="N71" i="11" s="1"/>
  <c r="O71" i="11" s="1"/>
  <c r="N69" i="11"/>
  <c r="O69" i="11" s="1"/>
  <c r="L61" i="12"/>
  <c r="L67" i="12"/>
  <c r="N50" i="12"/>
  <c r="O50" i="12" s="1"/>
  <c r="L142" i="12"/>
  <c r="N125" i="12"/>
  <c r="O125" i="12" s="1"/>
  <c r="L136" i="12"/>
  <c r="L65" i="11"/>
  <c r="N65" i="11" s="1"/>
  <c r="O65" i="11" s="1"/>
  <c r="N63" i="11"/>
  <c r="O63" i="11" s="1"/>
  <c r="L137" i="12" l="1"/>
  <c r="N137" i="12" s="1"/>
  <c r="O137" i="12" s="1"/>
  <c r="N136" i="12"/>
  <c r="O136" i="12" s="1"/>
  <c r="L138" i="12"/>
  <c r="L143" i="12"/>
  <c r="N143" i="12" s="1"/>
  <c r="O143" i="12" s="1"/>
  <c r="N142" i="12"/>
  <c r="O142" i="12" s="1"/>
  <c r="L144" i="12"/>
  <c r="L68" i="12"/>
  <c r="N68" i="12" s="1"/>
  <c r="O68" i="12" s="1"/>
  <c r="N67" i="12"/>
  <c r="O67" i="12" s="1"/>
  <c r="L69" i="12"/>
  <c r="L62" i="12"/>
  <c r="N62" i="12" s="1"/>
  <c r="O62" i="12" s="1"/>
  <c r="N61" i="12"/>
  <c r="O61" i="12" s="1"/>
  <c r="L63" i="12"/>
  <c r="N63" i="12" l="1"/>
  <c r="O63" i="12" s="1"/>
  <c r="L64" i="12"/>
  <c r="N64" i="12" s="1"/>
  <c r="O64" i="12" s="1"/>
  <c r="L65" i="12"/>
  <c r="N65" i="12" s="1"/>
  <c r="O65" i="12" s="1"/>
  <c r="N144" i="12"/>
  <c r="O144" i="12" s="1"/>
  <c r="L146" i="12"/>
  <c r="N146" i="12" s="1"/>
  <c r="O146" i="12" s="1"/>
  <c r="N69" i="12"/>
  <c r="O69" i="12" s="1"/>
  <c r="L71" i="12"/>
  <c r="N71" i="12" s="1"/>
  <c r="O71" i="12" s="1"/>
  <c r="L139" i="12"/>
  <c r="N139" i="12" s="1"/>
  <c r="O139" i="12" s="1"/>
  <c r="N138" i="12"/>
  <c r="O138" i="12" s="1"/>
  <c r="L140" i="12"/>
  <c r="N140" i="12" s="1"/>
  <c r="O140" i="12" s="1"/>
  <c r="L187" i="8" l="1"/>
  <c r="N187" i="8" s="1"/>
  <c r="O187" i="8" s="1"/>
  <c r="L111" i="8"/>
  <c r="N111" i="8" s="1"/>
  <c r="O111" i="8" s="1"/>
  <c r="L34" i="8"/>
  <c r="N34" i="8" s="1"/>
  <c r="O34" i="8" s="1"/>
  <c r="L333" i="5" l="1"/>
  <c r="L34" i="5"/>
  <c r="L108" i="5"/>
  <c r="L182" i="5"/>
  <c r="L258" i="5"/>
  <c r="L405" i="2"/>
  <c r="N405" i="2" s="1"/>
  <c r="L257" i="2"/>
  <c r="N257" i="2" s="1"/>
  <c r="L109" i="2"/>
  <c r="N109" i="2" s="1"/>
  <c r="L479" i="2"/>
  <c r="N479" i="2" s="1"/>
  <c r="L331" i="2"/>
  <c r="N331" i="2" s="1"/>
  <c r="L183" i="2"/>
  <c r="N183" i="2" s="1"/>
  <c r="L34" i="2"/>
  <c r="N34" i="2" s="1"/>
  <c r="N182" i="5" l="1"/>
  <c r="L187" i="5"/>
  <c r="N34" i="5"/>
  <c r="L39" i="5"/>
  <c r="N258" i="5"/>
  <c r="L263" i="5"/>
  <c r="N108" i="5"/>
  <c r="L113" i="5"/>
  <c r="N333" i="5"/>
  <c r="L338" i="5"/>
  <c r="N338" i="5" l="1"/>
  <c r="O338" i="5" s="1"/>
  <c r="L346" i="5"/>
  <c r="N113" i="5"/>
  <c r="O113" i="5" s="1"/>
  <c r="L121" i="5"/>
  <c r="N263" i="5"/>
  <c r="O263" i="5" s="1"/>
  <c r="L271" i="5"/>
  <c r="N39" i="5"/>
  <c r="O39" i="5" s="1"/>
  <c r="L47" i="5"/>
  <c r="N187" i="5"/>
  <c r="O187" i="5" s="1"/>
  <c r="L195" i="5"/>
  <c r="L198" i="5" l="1"/>
  <c r="N195" i="5"/>
  <c r="O195" i="5" s="1"/>
  <c r="N47" i="5"/>
  <c r="O47" i="5" s="1"/>
  <c r="L50" i="5"/>
  <c r="L274" i="5"/>
  <c r="N271" i="5"/>
  <c r="O271" i="5" s="1"/>
  <c r="L124" i="5"/>
  <c r="N121" i="5"/>
  <c r="O121" i="5" s="1"/>
  <c r="N346" i="5"/>
  <c r="O346" i="5" s="1"/>
  <c r="L349" i="5"/>
  <c r="L360" i="5" l="1"/>
  <c r="L366" i="5"/>
  <c r="N349" i="5"/>
  <c r="O349" i="5" s="1"/>
  <c r="N50" i="5"/>
  <c r="O50" i="5" s="1"/>
  <c r="L61" i="5"/>
  <c r="L67" i="5"/>
  <c r="N124" i="5"/>
  <c r="O124" i="5" s="1"/>
  <c r="L135" i="5"/>
  <c r="L141" i="5"/>
  <c r="N274" i="5"/>
  <c r="O274" i="5" s="1"/>
  <c r="L291" i="5"/>
  <c r="L285" i="5"/>
  <c r="L215" i="5"/>
  <c r="N198" i="5"/>
  <c r="O198" i="5" s="1"/>
  <c r="L209" i="5"/>
  <c r="N285" i="5" l="1"/>
  <c r="O285" i="5" s="1"/>
  <c r="L286" i="5"/>
  <c r="N286" i="5" s="1"/>
  <c r="O286" i="5" s="1"/>
  <c r="L136" i="5"/>
  <c r="N136" i="5" s="1"/>
  <c r="O136" i="5" s="1"/>
  <c r="N135" i="5"/>
  <c r="O135" i="5" s="1"/>
  <c r="L137" i="5"/>
  <c r="N67" i="5"/>
  <c r="O67" i="5" s="1"/>
  <c r="L68" i="5"/>
  <c r="N68" i="5" s="1"/>
  <c r="O68" i="5" s="1"/>
  <c r="N366" i="5"/>
  <c r="O366" i="5" s="1"/>
  <c r="L367" i="5"/>
  <c r="N367" i="5" s="1"/>
  <c r="O367" i="5" s="1"/>
  <c r="L368" i="5"/>
  <c r="L210" i="5"/>
  <c r="N210" i="5" s="1"/>
  <c r="O210" i="5" s="1"/>
  <c r="N209" i="5"/>
  <c r="O209" i="5" s="1"/>
  <c r="L211" i="5"/>
  <c r="L216" i="5"/>
  <c r="N216" i="5" s="1"/>
  <c r="O216" i="5" s="1"/>
  <c r="N215" i="5"/>
  <c r="O215" i="5" s="1"/>
  <c r="L217" i="5"/>
  <c r="L292" i="5"/>
  <c r="N292" i="5" s="1"/>
  <c r="O292" i="5" s="1"/>
  <c r="L293" i="5"/>
  <c r="N291" i="5"/>
  <c r="O291" i="5" s="1"/>
  <c r="N141" i="5"/>
  <c r="O141" i="5" s="1"/>
  <c r="L142" i="5"/>
  <c r="N142" i="5" s="1"/>
  <c r="O142" i="5" s="1"/>
  <c r="N61" i="5"/>
  <c r="O61" i="5" s="1"/>
  <c r="L62" i="5"/>
  <c r="N62" i="5" s="1"/>
  <c r="O62" i="5" s="1"/>
  <c r="L63" i="5"/>
  <c r="N360" i="5"/>
  <c r="O360" i="5" s="1"/>
  <c r="L361" i="5"/>
  <c r="N361" i="5" s="1"/>
  <c r="O361" i="5" s="1"/>
  <c r="L362" i="5"/>
  <c r="L294" i="5" l="1"/>
  <c r="N294" i="5" s="1"/>
  <c r="O294" i="5" s="1"/>
  <c r="N293" i="5"/>
  <c r="O293" i="5" s="1"/>
  <c r="L218" i="5"/>
  <c r="N218" i="5" s="1"/>
  <c r="O218" i="5" s="1"/>
  <c r="N217" i="5"/>
  <c r="O217" i="5" s="1"/>
  <c r="L219" i="5"/>
  <c r="N219" i="5" s="1"/>
  <c r="O219" i="5" s="1"/>
  <c r="L369" i="5"/>
  <c r="N369" i="5" s="1"/>
  <c r="O369" i="5" s="1"/>
  <c r="N368" i="5"/>
  <c r="O368" i="5" s="1"/>
  <c r="L370" i="5"/>
  <c r="N370" i="5" s="1"/>
  <c r="O370" i="5" s="1"/>
  <c r="N137" i="5"/>
  <c r="O137" i="5" s="1"/>
  <c r="L138" i="5"/>
  <c r="N138" i="5" s="1"/>
  <c r="O138" i="5" s="1"/>
  <c r="L287" i="5"/>
  <c r="L363" i="5"/>
  <c r="N363" i="5" s="1"/>
  <c r="O363" i="5" s="1"/>
  <c r="N362" i="5"/>
  <c r="O362" i="5" s="1"/>
  <c r="L364" i="5"/>
  <c r="N364" i="5" s="1"/>
  <c r="O364" i="5" s="1"/>
  <c r="N63" i="5"/>
  <c r="O63" i="5" s="1"/>
  <c r="L64" i="5"/>
  <c r="N64" i="5" s="1"/>
  <c r="O64" i="5" s="1"/>
  <c r="L65" i="5"/>
  <c r="N65" i="5" s="1"/>
  <c r="O65" i="5" s="1"/>
  <c r="L143" i="5"/>
  <c r="L212" i="5"/>
  <c r="N212" i="5" s="1"/>
  <c r="O212" i="5" s="1"/>
  <c r="N211" i="5"/>
  <c r="O211" i="5" s="1"/>
  <c r="L213" i="5"/>
  <c r="N213" i="5" s="1"/>
  <c r="O213" i="5" s="1"/>
  <c r="L69" i="5"/>
  <c r="L70" i="5" l="1"/>
  <c r="N70" i="5" s="1"/>
  <c r="O70" i="5" s="1"/>
  <c r="N69" i="5"/>
  <c r="O69" i="5" s="1"/>
  <c r="L71" i="5"/>
  <c r="N71" i="5" s="1"/>
  <c r="O71" i="5" s="1"/>
  <c r="N143" i="5"/>
  <c r="O143" i="5" s="1"/>
  <c r="L144" i="5"/>
  <c r="N144" i="5" s="1"/>
  <c r="O144" i="5" s="1"/>
  <c r="L139" i="5"/>
  <c r="N139" i="5" s="1"/>
  <c r="O139" i="5" s="1"/>
  <c r="L295" i="5"/>
  <c r="N295" i="5" s="1"/>
  <c r="O295" i="5" s="1"/>
  <c r="N287" i="5"/>
  <c r="O287" i="5" s="1"/>
  <c r="L288" i="5"/>
  <c r="N288" i="5" s="1"/>
  <c r="O288" i="5" s="1"/>
  <c r="L289" i="5"/>
  <c r="N289" i="5" s="1"/>
  <c r="O289" i="5" s="1"/>
  <c r="L145" i="5" l="1"/>
  <c r="N145" i="5" s="1"/>
  <c r="O145" i="5" s="1"/>
  <c r="L254" i="13" l="1"/>
  <c r="N254" i="13" s="1"/>
  <c r="O254" i="13" s="1"/>
  <c r="L254" i="6"/>
  <c r="N254" i="6" s="1"/>
  <c r="O254" i="6" s="1"/>
  <c r="L179" i="13"/>
  <c r="N179" i="13" s="1"/>
  <c r="O179" i="13" s="1"/>
  <c r="L179" i="6"/>
  <c r="N179" i="6" s="1"/>
  <c r="O179" i="6" s="1"/>
  <c r="L104" i="13"/>
  <c r="N104" i="13" s="1"/>
  <c r="O104" i="13" s="1"/>
  <c r="L104" i="6"/>
  <c r="N104" i="6" s="1"/>
  <c r="O104" i="6" s="1"/>
  <c r="L29" i="13"/>
  <c r="N29" i="13" s="1"/>
  <c r="O29" i="13" s="1"/>
  <c r="L29" i="6"/>
  <c r="N29" i="6" s="1"/>
  <c r="O29" i="6" s="1"/>
  <c r="L104" i="10"/>
  <c r="N104" i="10" s="1"/>
  <c r="O104" i="10" s="1"/>
  <c r="L29" i="10"/>
  <c r="N29" i="10" s="1"/>
  <c r="O29" i="10" s="1"/>
  <c r="L173" i="13"/>
  <c r="L173" i="6"/>
  <c r="L248" i="13"/>
  <c r="L248" i="6"/>
  <c r="L23" i="13"/>
  <c r="L23" i="6"/>
  <c r="L98" i="13"/>
  <c r="L98" i="6"/>
  <c r="L23" i="10"/>
  <c r="L98" i="10"/>
  <c r="L106" i="8" l="1"/>
  <c r="N106" i="8" s="1"/>
  <c r="O106" i="8" s="1"/>
  <c r="L29" i="8"/>
  <c r="N29" i="8" s="1"/>
  <c r="O29" i="8" s="1"/>
  <c r="L182" i="8"/>
  <c r="N182" i="8" s="1"/>
  <c r="O182" i="8" s="1"/>
  <c r="L23" i="8"/>
  <c r="L176" i="8"/>
  <c r="L100" i="8"/>
  <c r="L114" i="10"/>
  <c r="N98" i="10"/>
  <c r="O98" i="10" s="1"/>
  <c r="L114" i="6"/>
  <c r="N98" i="6"/>
  <c r="O98" i="6" s="1"/>
  <c r="L39" i="6"/>
  <c r="N23" i="6"/>
  <c r="O23" i="6" s="1"/>
  <c r="N248" i="6"/>
  <c r="O248" i="6" s="1"/>
  <c r="L264" i="6"/>
  <c r="N173" i="6"/>
  <c r="O173" i="6" s="1"/>
  <c r="L189" i="6"/>
  <c r="N23" i="10"/>
  <c r="O23" i="10" s="1"/>
  <c r="L39" i="10"/>
  <c r="L114" i="13"/>
  <c r="N98" i="13"/>
  <c r="O98" i="13" s="1"/>
  <c r="L39" i="13"/>
  <c r="N23" i="13"/>
  <c r="O23" i="13" s="1"/>
  <c r="N248" i="13"/>
  <c r="O248" i="13" s="1"/>
  <c r="L264" i="13"/>
  <c r="N173" i="13"/>
  <c r="O173" i="13" s="1"/>
  <c r="L189" i="13"/>
  <c r="N189" i="13" l="1"/>
  <c r="O189" i="13" s="1"/>
  <c r="L197" i="13"/>
  <c r="N264" i="13"/>
  <c r="O264" i="13" s="1"/>
  <c r="L272" i="13"/>
  <c r="N39" i="10"/>
  <c r="O39" i="10" s="1"/>
  <c r="L47" i="10"/>
  <c r="N189" i="6"/>
  <c r="O189" i="6" s="1"/>
  <c r="L197" i="6"/>
  <c r="N264" i="6"/>
  <c r="O264" i="6" s="1"/>
  <c r="L272" i="6"/>
  <c r="N100" i="8"/>
  <c r="O100" i="8" s="1"/>
  <c r="L116" i="8"/>
  <c r="N23" i="8"/>
  <c r="O23" i="8" s="1"/>
  <c r="L39" i="8"/>
  <c r="N39" i="13"/>
  <c r="O39" i="13" s="1"/>
  <c r="L47" i="13"/>
  <c r="N114" i="13"/>
  <c r="O114" i="13" s="1"/>
  <c r="L122" i="13"/>
  <c r="N39" i="6"/>
  <c r="O39" i="6" s="1"/>
  <c r="L47" i="6"/>
  <c r="N114" i="6"/>
  <c r="O114" i="6" s="1"/>
  <c r="L122" i="6"/>
  <c r="N114" i="10"/>
  <c r="O114" i="10" s="1"/>
  <c r="L122" i="10"/>
  <c r="N176" i="8"/>
  <c r="O176" i="8" s="1"/>
  <c r="L192" i="8"/>
  <c r="N192" i="8" l="1"/>
  <c r="O192" i="8" s="1"/>
  <c r="L200" i="8"/>
  <c r="L125" i="10"/>
  <c r="N122" i="10"/>
  <c r="O122" i="10" s="1"/>
  <c r="L125" i="6"/>
  <c r="N122" i="6"/>
  <c r="O122" i="6" s="1"/>
  <c r="N47" i="6"/>
  <c r="O47" i="6" s="1"/>
  <c r="L50" i="6"/>
  <c r="N122" i="13"/>
  <c r="O122" i="13" s="1"/>
  <c r="L125" i="13"/>
  <c r="L50" i="13"/>
  <c r="N47" i="13"/>
  <c r="O47" i="13" s="1"/>
  <c r="N39" i="8"/>
  <c r="O39" i="8" s="1"/>
  <c r="L47" i="8"/>
  <c r="N116" i="8"/>
  <c r="O116" i="8" s="1"/>
  <c r="L124" i="8"/>
  <c r="L275" i="6"/>
  <c r="N272" i="6"/>
  <c r="O272" i="6" s="1"/>
  <c r="L200" i="6"/>
  <c r="N197" i="6"/>
  <c r="O197" i="6" s="1"/>
  <c r="L50" i="10"/>
  <c r="N47" i="10"/>
  <c r="O47" i="10" s="1"/>
  <c r="N272" i="13"/>
  <c r="O272" i="13" s="1"/>
  <c r="L275" i="13"/>
  <c r="N197" i="13"/>
  <c r="O197" i="13" s="1"/>
  <c r="L200" i="13"/>
  <c r="L468" i="2" l="1"/>
  <c r="L172" i="2"/>
  <c r="L394" i="2"/>
  <c r="L98" i="2"/>
  <c r="L320" i="2"/>
  <c r="L23" i="2"/>
  <c r="L246" i="2"/>
  <c r="L211" i="13"/>
  <c r="L217" i="13"/>
  <c r="N200" i="13"/>
  <c r="O200" i="13" s="1"/>
  <c r="L292" i="13"/>
  <c r="N275" i="13"/>
  <c r="O275" i="13" s="1"/>
  <c r="L286" i="13"/>
  <c r="N124" i="8"/>
  <c r="O124" i="8" s="1"/>
  <c r="L127" i="8"/>
  <c r="N47" i="8"/>
  <c r="O47" i="8" s="1"/>
  <c r="L50" i="8"/>
  <c r="N125" i="13"/>
  <c r="O125" i="13" s="1"/>
  <c r="L142" i="13"/>
  <c r="L136" i="13"/>
  <c r="L61" i="6"/>
  <c r="N50" i="6"/>
  <c r="O50" i="6" s="1"/>
  <c r="L67" i="6"/>
  <c r="N200" i="8"/>
  <c r="O200" i="8" s="1"/>
  <c r="L203" i="8"/>
  <c r="L67" i="10"/>
  <c r="N50" i="10"/>
  <c r="O50" i="10" s="1"/>
  <c r="L61" i="10"/>
  <c r="N200" i="6"/>
  <c r="O200" i="6" s="1"/>
  <c r="L217" i="6"/>
  <c r="L211" i="6"/>
  <c r="N275" i="6"/>
  <c r="O275" i="6" s="1"/>
  <c r="L292" i="6"/>
  <c r="L286" i="6"/>
  <c r="N50" i="13"/>
  <c r="O50" i="13" s="1"/>
  <c r="L61" i="13"/>
  <c r="L67" i="13"/>
  <c r="L136" i="6"/>
  <c r="N125" i="6"/>
  <c r="O125" i="6" s="1"/>
  <c r="L142" i="6"/>
  <c r="N125" i="10"/>
  <c r="O125" i="10" s="1"/>
  <c r="L142" i="10"/>
  <c r="L136" i="10"/>
  <c r="L143" i="10" l="1"/>
  <c r="N143" i="10" s="1"/>
  <c r="O143" i="10" s="1"/>
  <c r="N142" i="10"/>
  <c r="O142" i="10" s="1"/>
  <c r="L143" i="6"/>
  <c r="N143" i="6" s="1"/>
  <c r="O143" i="6" s="1"/>
  <c r="L144" i="6"/>
  <c r="N142" i="6"/>
  <c r="O142" i="6" s="1"/>
  <c r="N136" i="6"/>
  <c r="O136" i="6" s="1"/>
  <c r="L137" i="6"/>
  <c r="N137" i="6" s="1"/>
  <c r="O137" i="6" s="1"/>
  <c r="L138" i="6"/>
  <c r="N61" i="13"/>
  <c r="O61" i="13" s="1"/>
  <c r="L62" i="13"/>
  <c r="N62" i="13" s="1"/>
  <c r="O62" i="13" s="1"/>
  <c r="L63" i="13"/>
  <c r="L287" i="6"/>
  <c r="N287" i="6" s="1"/>
  <c r="O287" i="6" s="1"/>
  <c r="N286" i="6"/>
  <c r="O286" i="6" s="1"/>
  <c r="L288" i="6"/>
  <c r="L218" i="6"/>
  <c r="N218" i="6" s="1"/>
  <c r="O218" i="6" s="1"/>
  <c r="L219" i="6"/>
  <c r="N217" i="6"/>
  <c r="O217" i="6" s="1"/>
  <c r="L62" i="10"/>
  <c r="N62" i="10" s="1"/>
  <c r="O62" i="10" s="1"/>
  <c r="N61" i="10"/>
  <c r="O61" i="10" s="1"/>
  <c r="L63" i="10"/>
  <c r="N67" i="10"/>
  <c r="O67" i="10" s="1"/>
  <c r="L68" i="10"/>
  <c r="N68" i="10" s="1"/>
  <c r="O68" i="10" s="1"/>
  <c r="L137" i="13"/>
  <c r="N137" i="13" s="1"/>
  <c r="O137" i="13" s="1"/>
  <c r="N136" i="13"/>
  <c r="O136" i="13" s="1"/>
  <c r="L212" i="13"/>
  <c r="N212" i="13" s="1"/>
  <c r="O212" i="13" s="1"/>
  <c r="L213" i="13"/>
  <c r="N211" i="13"/>
  <c r="O211" i="13" s="1"/>
  <c r="N23" i="2"/>
  <c r="O23" i="2" s="1"/>
  <c r="N98" i="2"/>
  <c r="O98" i="2" s="1"/>
  <c r="N172" i="2"/>
  <c r="O172" i="2" s="1"/>
  <c r="N136" i="10"/>
  <c r="O136" i="10" s="1"/>
  <c r="L137" i="10"/>
  <c r="N137" i="10" s="1"/>
  <c r="O137" i="10" s="1"/>
  <c r="L138" i="10"/>
  <c r="N67" i="13"/>
  <c r="O67" i="13" s="1"/>
  <c r="L68" i="13"/>
  <c r="N68" i="13" s="1"/>
  <c r="O68" i="13" s="1"/>
  <c r="L69" i="13"/>
  <c r="N292" i="6"/>
  <c r="O292" i="6" s="1"/>
  <c r="L293" i="6"/>
  <c r="N293" i="6" s="1"/>
  <c r="O293" i="6" s="1"/>
  <c r="L294" i="6"/>
  <c r="N211" i="6"/>
  <c r="O211" i="6" s="1"/>
  <c r="L212" i="6"/>
  <c r="N212" i="6" s="1"/>
  <c r="O212" i="6" s="1"/>
  <c r="L213" i="6"/>
  <c r="N203" i="8"/>
  <c r="O203" i="8" s="1"/>
  <c r="L214" i="8"/>
  <c r="L220" i="8"/>
  <c r="N67" i="6"/>
  <c r="O67" i="6" s="1"/>
  <c r="L68" i="6"/>
  <c r="N68" i="6" s="1"/>
  <c r="O68" i="6" s="1"/>
  <c r="N61" i="6"/>
  <c r="O61" i="6" s="1"/>
  <c r="L62" i="6"/>
  <c r="N62" i="6" s="1"/>
  <c r="O62" i="6" s="1"/>
  <c r="L63" i="6"/>
  <c r="L143" i="13"/>
  <c r="N143" i="13" s="1"/>
  <c r="O143" i="13" s="1"/>
  <c r="N142" i="13"/>
  <c r="O142" i="13" s="1"/>
  <c r="L144" i="13"/>
  <c r="N50" i="8"/>
  <c r="O50" i="8" s="1"/>
  <c r="L67" i="8"/>
  <c r="L61" i="8"/>
  <c r="L144" i="8"/>
  <c r="L138" i="8"/>
  <c r="N127" i="8"/>
  <c r="O127" i="8" s="1"/>
  <c r="N286" i="13"/>
  <c r="O286" i="13" s="1"/>
  <c r="L287" i="13"/>
  <c r="N287" i="13" s="1"/>
  <c r="O287" i="13" s="1"/>
  <c r="L288" i="13"/>
  <c r="N292" i="13"/>
  <c r="O292" i="13" s="1"/>
  <c r="L293" i="13"/>
  <c r="N293" i="13" s="1"/>
  <c r="O293" i="13" s="1"/>
  <c r="L294" i="13"/>
  <c r="N217" i="13"/>
  <c r="O217" i="13" s="1"/>
  <c r="L218" i="13"/>
  <c r="N218" i="13" s="1"/>
  <c r="O218" i="13" s="1"/>
  <c r="L219" i="13"/>
  <c r="N246" i="2"/>
  <c r="O246" i="2" s="1"/>
  <c r="N320" i="2"/>
  <c r="O320" i="2" s="1"/>
  <c r="N394" i="2"/>
  <c r="O394" i="2" s="1"/>
  <c r="N468" i="2"/>
  <c r="O468" i="2" s="1"/>
  <c r="N294" i="13" l="1"/>
  <c r="O294" i="13" s="1"/>
  <c r="L296" i="13"/>
  <c r="N296" i="13" s="1"/>
  <c r="O296" i="13" s="1"/>
  <c r="L145" i="8"/>
  <c r="N145" i="8" s="1"/>
  <c r="O145" i="8" s="1"/>
  <c r="N144" i="8"/>
  <c r="O144" i="8" s="1"/>
  <c r="L146" i="8"/>
  <c r="N67" i="8"/>
  <c r="O67" i="8" s="1"/>
  <c r="L68" i="8"/>
  <c r="N68" i="8" s="1"/>
  <c r="O68" i="8" s="1"/>
  <c r="N144" i="13"/>
  <c r="O144" i="13" s="1"/>
  <c r="L146" i="13"/>
  <c r="N146" i="13" s="1"/>
  <c r="O146" i="13" s="1"/>
  <c r="L69" i="6"/>
  <c r="N214" i="8"/>
  <c r="O214" i="8" s="1"/>
  <c r="L215" i="8"/>
  <c r="N215" i="8" s="1"/>
  <c r="O215" i="8" s="1"/>
  <c r="N213" i="6"/>
  <c r="O213" i="6" s="1"/>
  <c r="L215" i="6"/>
  <c r="N215" i="6" s="1"/>
  <c r="O215" i="6" s="1"/>
  <c r="L71" i="13"/>
  <c r="N71" i="13" s="1"/>
  <c r="O71" i="13" s="1"/>
  <c r="N69" i="13"/>
  <c r="O69" i="13" s="1"/>
  <c r="L138" i="13"/>
  <c r="L69" i="10"/>
  <c r="L65" i="13"/>
  <c r="N65" i="13" s="1"/>
  <c r="O65" i="13" s="1"/>
  <c r="N63" i="13"/>
  <c r="O63" i="13" s="1"/>
  <c r="L144" i="10"/>
  <c r="L252" i="2"/>
  <c r="L474" i="2"/>
  <c r="L178" i="2"/>
  <c r="L400" i="2"/>
  <c r="L104" i="2"/>
  <c r="L326" i="2"/>
  <c r="L29" i="2"/>
  <c r="L221" i="13"/>
  <c r="N221" i="13" s="1"/>
  <c r="O221" i="13" s="1"/>
  <c r="N219" i="13"/>
  <c r="O219" i="13" s="1"/>
  <c r="N288" i="13"/>
  <c r="O288" i="13" s="1"/>
  <c r="L290" i="13"/>
  <c r="N290" i="13" s="1"/>
  <c r="O290" i="13" s="1"/>
  <c r="N138" i="8"/>
  <c r="O138" i="8" s="1"/>
  <c r="L139" i="8"/>
  <c r="N139" i="8" s="1"/>
  <c r="O139" i="8" s="1"/>
  <c r="L140" i="8"/>
  <c r="N61" i="8"/>
  <c r="O61" i="8" s="1"/>
  <c r="L62" i="8"/>
  <c r="N62" i="8" s="1"/>
  <c r="O62" i="8" s="1"/>
  <c r="L63" i="8"/>
  <c r="N63" i="6"/>
  <c r="O63" i="6" s="1"/>
  <c r="L65" i="6"/>
  <c r="N65" i="6" s="1"/>
  <c r="O65" i="6" s="1"/>
  <c r="L221" i="8"/>
  <c r="N221" i="8" s="1"/>
  <c r="O221" i="8" s="1"/>
  <c r="N220" i="8"/>
  <c r="O220" i="8" s="1"/>
  <c r="L222" i="8"/>
  <c r="N294" i="6"/>
  <c r="O294" i="6" s="1"/>
  <c r="L296" i="6"/>
  <c r="N296" i="6" s="1"/>
  <c r="O296" i="6" s="1"/>
  <c r="L140" i="10"/>
  <c r="N140" i="10" s="1"/>
  <c r="O140" i="10" s="1"/>
  <c r="N138" i="10"/>
  <c r="O138" i="10" s="1"/>
  <c r="L215" i="13"/>
  <c r="N215" i="13" s="1"/>
  <c r="O215" i="13" s="1"/>
  <c r="N213" i="13"/>
  <c r="O213" i="13" s="1"/>
  <c r="L65" i="10"/>
  <c r="N65" i="10" s="1"/>
  <c r="O65" i="10" s="1"/>
  <c r="N63" i="10"/>
  <c r="O63" i="10" s="1"/>
  <c r="N219" i="6"/>
  <c r="O219" i="6" s="1"/>
  <c r="L221" i="6"/>
  <c r="N221" i="6" s="1"/>
  <c r="O221" i="6" s="1"/>
  <c r="N288" i="6"/>
  <c r="O288" i="6" s="1"/>
  <c r="L290" i="6"/>
  <c r="N290" i="6" s="1"/>
  <c r="O290" i="6" s="1"/>
  <c r="N138" i="6"/>
  <c r="O138" i="6" s="1"/>
  <c r="L140" i="6"/>
  <c r="N140" i="6" s="1"/>
  <c r="O140" i="6" s="1"/>
  <c r="N144" i="6"/>
  <c r="O144" i="6" s="1"/>
  <c r="L146" i="6"/>
  <c r="N146" i="6" s="1"/>
  <c r="O146" i="6" s="1"/>
  <c r="N63" i="8" l="1"/>
  <c r="O63" i="8" s="1"/>
  <c r="L65" i="8"/>
  <c r="N65" i="8" s="1"/>
  <c r="O65" i="8" s="1"/>
  <c r="N29" i="2"/>
  <c r="O29" i="2" s="1"/>
  <c r="L39" i="2"/>
  <c r="N104" i="2"/>
  <c r="O104" i="2" s="1"/>
  <c r="L114" i="2"/>
  <c r="N178" i="2"/>
  <c r="O178" i="2" s="1"/>
  <c r="L188" i="2"/>
  <c r="N252" i="2"/>
  <c r="O252" i="2" s="1"/>
  <c r="L262" i="2"/>
  <c r="L71" i="10"/>
  <c r="N71" i="10" s="1"/>
  <c r="O71" i="10" s="1"/>
  <c r="N69" i="10"/>
  <c r="O69" i="10" s="1"/>
  <c r="L216" i="8"/>
  <c r="L69" i="8"/>
  <c r="N222" i="8"/>
  <c r="O222" i="8" s="1"/>
  <c r="L224" i="8"/>
  <c r="N224" i="8" s="1"/>
  <c r="O224" i="8" s="1"/>
  <c r="L142" i="8"/>
  <c r="N142" i="8" s="1"/>
  <c r="O142" i="8" s="1"/>
  <c r="N140" i="8"/>
  <c r="O140" i="8" s="1"/>
  <c r="N326" i="2"/>
  <c r="O326" i="2" s="1"/>
  <c r="L336" i="2"/>
  <c r="N400" i="2"/>
  <c r="O400" i="2" s="1"/>
  <c r="L410" i="2"/>
  <c r="N474" i="2"/>
  <c r="O474" i="2" s="1"/>
  <c r="L484" i="2"/>
  <c r="N144" i="10"/>
  <c r="O144" i="10" s="1"/>
  <c r="L146" i="10"/>
  <c r="N146" i="10" s="1"/>
  <c r="O146" i="10" s="1"/>
  <c r="L140" i="13"/>
  <c r="N140" i="13" s="1"/>
  <c r="O140" i="13" s="1"/>
  <c r="N138" i="13"/>
  <c r="O138" i="13" s="1"/>
  <c r="N69" i="6"/>
  <c r="O69" i="6" s="1"/>
  <c r="L71" i="6"/>
  <c r="N71" i="6" s="1"/>
  <c r="O71" i="6" s="1"/>
  <c r="L148" i="8"/>
  <c r="N148" i="8" s="1"/>
  <c r="O148" i="8" s="1"/>
  <c r="N146" i="8"/>
  <c r="O146" i="8" s="1"/>
  <c r="N484" i="2" l="1"/>
  <c r="O484" i="2" s="1"/>
  <c r="L492" i="2"/>
  <c r="N410" i="2"/>
  <c r="O410" i="2" s="1"/>
  <c r="L418" i="2"/>
  <c r="N336" i="2"/>
  <c r="O336" i="2" s="1"/>
  <c r="L344" i="2"/>
  <c r="L71" i="8"/>
  <c r="N71" i="8" s="1"/>
  <c r="O71" i="8" s="1"/>
  <c r="N69" i="8"/>
  <c r="O69" i="8" s="1"/>
  <c r="N262" i="2"/>
  <c r="O262" i="2" s="1"/>
  <c r="L270" i="2"/>
  <c r="N188" i="2"/>
  <c r="O188" i="2" s="1"/>
  <c r="L196" i="2"/>
  <c r="N114" i="2"/>
  <c r="O114" i="2" s="1"/>
  <c r="L122" i="2"/>
  <c r="N39" i="2"/>
  <c r="O39" i="2" s="1"/>
  <c r="L47" i="2"/>
  <c r="L218" i="8"/>
  <c r="N218" i="8" s="1"/>
  <c r="O218" i="8" s="1"/>
  <c r="N216" i="8"/>
  <c r="O216" i="8" s="1"/>
  <c r="L50" i="2" l="1"/>
  <c r="N47" i="2"/>
  <c r="O47" i="2" s="1"/>
  <c r="N122" i="2"/>
  <c r="O122" i="2" s="1"/>
  <c r="L125" i="2"/>
  <c r="N196" i="2"/>
  <c r="O196" i="2" s="1"/>
  <c r="L199" i="2"/>
  <c r="N270" i="2"/>
  <c r="O270" i="2" s="1"/>
  <c r="L273" i="2"/>
  <c r="L347" i="2"/>
  <c r="N344" i="2"/>
  <c r="O344" i="2" s="1"/>
  <c r="N418" i="2"/>
  <c r="O418" i="2" s="1"/>
  <c r="L421" i="2"/>
  <c r="L495" i="2"/>
  <c r="N492" i="2"/>
  <c r="O492" i="2" s="1"/>
  <c r="N421" i="2" l="1"/>
  <c r="O421" i="2" s="1"/>
  <c r="L432" i="2"/>
  <c r="L438" i="2"/>
  <c r="N273" i="2"/>
  <c r="O273" i="2" s="1"/>
  <c r="L284" i="2"/>
  <c r="L290" i="2"/>
  <c r="N199" i="2"/>
  <c r="O199" i="2" s="1"/>
  <c r="L210" i="2"/>
  <c r="L216" i="2"/>
  <c r="N125" i="2"/>
  <c r="O125" i="2" s="1"/>
  <c r="L142" i="2"/>
  <c r="L136" i="2"/>
  <c r="N495" i="2"/>
  <c r="O495" i="2" s="1"/>
  <c r="L506" i="2"/>
  <c r="L512" i="2"/>
  <c r="L364" i="2"/>
  <c r="L358" i="2"/>
  <c r="N347" i="2"/>
  <c r="O347" i="2" s="1"/>
  <c r="L67" i="2"/>
  <c r="L61" i="2"/>
  <c r="N50" i="2"/>
  <c r="O50" i="2" s="1"/>
  <c r="N61" i="2" l="1"/>
  <c r="O61" i="2" s="1"/>
  <c r="L62" i="2"/>
  <c r="N62" i="2" s="1"/>
  <c r="O62" i="2" s="1"/>
  <c r="L63" i="2"/>
  <c r="L365" i="2"/>
  <c r="N365" i="2" s="1"/>
  <c r="O365" i="2" s="1"/>
  <c r="N364" i="2"/>
  <c r="O364" i="2" s="1"/>
  <c r="L366" i="2"/>
  <c r="L507" i="2"/>
  <c r="N507" i="2" s="1"/>
  <c r="O507" i="2" s="1"/>
  <c r="N506" i="2"/>
  <c r="O506" i="2" s="1"/>
  <c r="L508" i="2"/>
  <c r="N136" i="2"/>
  <c r="O136" i="2" s="1"/>
  <c r="L137" i="2"/>
  <c r="N137" i="2" s="1"/>
  <c r="O137" i="2" s="1"/>
  <c r="L211" i="2"/>
  <c r="N211" i="2" s="1"/>
  <c r="O211" i="2" s="1"/>
  <c r="N210" i="2"/>
  <c r="O210" i="2" s="1"/>
  <c r="L212" i="2"/>
  <c r="L291" i="2"/>
  <c r="N291" i="2" s="1"/>
  <c r="O291" i="2" s="1"/>
  <c r="N290" i="2"/>
  <c r="O290" i="2" s="1"/>
  <c r="L292" i="2"/>
  <c r="N432" i="2"/>
  <c r="O432" i="2" s="1"/>
  <c r="L433" i="2"/>
  <c r="N433" i="2" s="1"/>
  <c r="O433" i="2" s="1"/>
  <c r="L434" i="2"/>
  <c r="L68" i="2"/>
  <c r="N68" i="2" s="1"/>
  <c r="O68" i="2" s="1"/>
  <c r="N67" i="2"/>
  <c r="O67" i="2" s="1"/>
  <c r="L69" i="2"/>
  <c r="L359" i="2"/>
  <c r="N359" i="2" s="1"/>
  <c r="O359" i="2" s="1"/>
  <c r="N358" i="2"/>
  <c r="O358" i="2" s="1"/>
  <c r="L360" i="2"/>
  <c r="N512" i="2"/>
  <c r="O512" i="2" s="1"/>
  <c r="L513" i="2"/>
  <c r="N513" i="2" s="1"/>
  <c r="O513" i="2" s="1"/>
  <c r="L514" i="2"/>
  <c r="N142" i="2"/>
  <c r="O142" i="2" s="1"/>
  <c r="L143" i="2"/>
  <c r="N143" i="2" s="1"/>
  <c r="O143" i="2" s="1"/>
  <c r="L144" i="2"/>
  <c r="L217" i="2"/>
  <c r="N217" i="2" s="1"/>
  <c r="O217" i="2" s="1"/>
  <c r="N216" i="2"/>
  <c r="O216" i="2" s="1"/>
  <c r="L218" i="2"/>
  <c r="L285" i="2"/>
  <c r="N285" i="2" s="1"/>
  <c r="O285" i="2" s="1"/>
  <c r="N284" i="2"/>
  <c r="O284" i="2" s="1"/>
  <c r="L286" i="2"/>
  <c r="L439" i="2"/>
  <c r="N439" i="2" s="1"/>
  <c r="O439" i="2" s="1"/>
  <c r="L440" i="2"/>
  <c r="N438" i="2"/>
  <c r="O438" i="2" s="1"/>
  <c r="N218" i="2" l="1"/>
  <c r="O218" i="2" s="1"/>
  <c r="L219" i="2"/>
  <c r="N219" i="2" s="1"/>
  <c r="O219" i="2" s="1"/>
  <c r="L515" i="2"/>
  <c r="N515" i="2" s="1"/>
  <c r="O515" i="2" s="1"/>
  <c r="N514" i="2"/>
  <c r="O514" i="2" s="1"/>
  <c r="L70" i="2"/>
  <c r="N70" i="2" s="1"/>
  <c r="O70" i="2" s="1"/>
  <c r="N69" i="2"/>
  <c r="O69" i="2" s="1"/>
  <c r="L71" i="2"/>
  <c r="N71" i="2" s="1"/>
  <c r="O71" i="2" s="1"/>
  <c r="N292" i="2"/>
  <c r="O292" i="2" s="1"/>
  <c r="L293" i="2"/>
  <c r="N293" i="2" s="1"/>
  <c r="O293" i="2" s="1"/>
  <c r="L294" i="2"/>
  <c r="N294" i="2" s="1"/>
  <c r="O294" i="2" s="1"/>
  <c r="L138" i="2"/>
  <c r="N366" i="2"/>
  <c r="O366" i="2" s="1"/>
  <c r="L367" i="2"/>
  <c r="N367" i="2" s="1"/>
  <c r="O367" i="2" s="1"/>
  <c r="N440" i="2"/>
  <c r="O440" i="2" s="1"/>
  <c r="L441" i="2"/>
  <c r="N441" i="2" s="1"/>
  <c r="O441" i="2" s="1"/>
  <c r="L442" i="2"/>
  <c r="N442" i="2" s="1"/>
  <c r="O442" i="2" s="1"/>
  <c r="N286" i="2"/>
  <c r="O286" i="2" s="1"/>
  <c r="L287" i="2"/>
  <c r="N287" i="2" s="1"/>
  <c r="O287" i="2" s="1"/>
  <c r="N144" i="2"/>
  <c r="O144" i="2" s="1"/>
  <c r="L145" i="2"/>
  <c r="N145" i="2" s="1"/>
  <c r="O145" i="2" s="1"/>
  <c r="L146" i="2"/>
  <c r="N146" i="2" s="1"/>
  <c r="O146" i="2" s="1"/>
  <c r="L361" i="2"/>
  <c r="N361" i="2" s="1"/>
  <c r="O361" i="2" s="1"/>
  <c r="N360" i="2"/>
  <c r="O360" i="2" s="1"/>
  <c r="L362" i="2"/>
  <c r="N362" i="2" s="1"/>
  <c r="O362" i="2" s="1"/>
  <c r="L435" i="2"/>
  <c r="N435" i="2" s="1"/>
  <c r="O435" i="2" s="1"/>
  <c r="N434" i="2"/>
  <c r="O434" i="2" s="1"/>
  <c r="L436" i="2"/>
  <c r="N436" i="2" s="1"/>
  <c r="O436" i="2" s="1"/>
  <c r="N212" i="2"/>
  <c r="O212" i="2" s="1"/>
  <c r="L213" i="2"/>
  <c r="N213" i="2" s="1"/>
  <c r="O213" i="2" s="1"/>
  <c r="N508" i="2"/>
  <c r="O508" i="2" s="1"/>
  <c r="L509" i="2"/>
  <c r="N509" i="2" s="1"/>
  <c r="O509" i="2" s="1"/>
  <c r="L510" i="2"/>
  <c r="N510" i="2" s="1"/>
  <c r="O510" i="2" s="1"/>
  <c r="L64" i="2"/>
  <c r="N64" i="2" s="1"/>
  <c r="O64" i="2" s="1"/>
  <c r="L65" i="2"/>
  <c r="N65" i="2" s="1"/>
  <c r="O65" i="2" s="1"/>
  <c r="N63" i="2"/>
  <c r="O63" i="2" s="1"/>
  <c r="L214" i="2" l="1"/>
  <c r="N214" i="2" s="1"/>
  <c r="O214" i="2" s="1"/>
  <c r="L288" i="2"/>
  <c r="N288" i="2" s="1"/>
  <c r="O288" i="2" s="1"/>
  <c r="L368" i="2"/>
  <c r="N368" i="2" s="1"/>
  <c r="O368" i="2" s="1"/>
  <c r="L139" i="2"/>
  <c r="N139" i="2" s="1"/>
  <c r="O139" i="2" s="1"/>
  <c r="N138" i="2"/>
  <c r="O138" i="2" s="1"/>
  <c r="L140" i="2"/>
  <c r="N140" i="2" s="1"/>
  <c r="O140" i="2" s="1"/>
  <c r="L516" i="2"/>
  <c r="N516" i="2" s="1"/>
  <c r="O516" i="2" s="1"/>
  <c r="L220" i="2"/>
  <c r="N220" i="2" s="1"/>
  <c r="O220" i="2" s="1"/>
</calcChain>
</file>

<file path=xl/comments1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8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2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32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96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39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9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9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7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47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7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7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7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7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7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8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8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9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9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3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2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8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<sst xmlns="http://schemas.openxmlformats.org/spreadsheetml/2006/main" count="2729" uniqueCount="79">
  <si>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</si>
  <si>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</si>
  <si>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</si>
  <si>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</si>
  <si>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</si>
  <si>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</si>
  <si>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</si>
  <si>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</si>
  <si>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</si>
  <si>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</si>
  <si>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</si>
  <si>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</si>
  <si>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</si>
  <si>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</si>
  <si>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</si>
  <si>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</si>
  <si>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</si>
  <si>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</si>
  <si>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</si>
  <si>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</si>
  <si>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</si>
  <si>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</si>
  <si>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</si>
  <si>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</si>
  <si>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</si>
  <si>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</si>
  <si>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Distribution Volumetric Rate</t>
  </si>
  <si>
    <t>per kWh</t>
  </si>
  <si>
    <t>Smart Meter Disposition Rider</t>
  </si>
  <si>
    <t>LRAM &amp; SSM Rate Rider</t>
  </si>
  <si>
    <t>Rate Rider for recovery of Incremental Capital Costs</t>
  </si>
  <si>
    <t>Rate Rider for Application of Tax Change (2013)</t>
  </si>
  <si>
    <t>Rate Rider for disposition Stranded Meter</t>
  </si>
  <si>
    <t xml:space="preserve">Rate Rider for PP &amp; E 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</si>
  <si>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</si>
  <si>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</si>
  <si>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</si>
  <si>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</si>
  <si>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</si>
  <si>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</si>
  <si>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</si>
  <si>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</si>
  <si>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</si>
  <si>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</si>
  <si>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</si>
  <si>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</si>
  <si>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</si>
  <si>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</si>
  <si>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</si>
  <si>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</si>
  <si>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</si>
  <si>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</si>
  <si>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</si>
  <si>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</si>
  <si>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</si>
  <si>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</si>
  <si>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</si>
  <si>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</si>
  <si>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</si>
  <si>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</si>
  <si>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</si>
  <si>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</si>
  <si>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</si>
  <si>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Note that cells with the highlighted color shown to the left indicate quantities that are loss adjusted.</t>
  </si>
  <si>
    <t>non-TOU</t>
  </si>
  <si>
    <t xml:space="preserve"> kW</t>
  </si>
  <si>
    <t>GS  &lt; 50 KW</t>
  </si>
  <si>
    <t xml:space="preserve">Residential </t>
  </si>
  <si>
    <t>per kW</t>
  </si>
  <si>
    <t>GS  &gt; 50 KW - RPP  Non-Interval Metered</t>
  </si>
  <si>
    <t xml:space="preserve">GS  &gt; 1000 KW - Non-RPP  </t>
  </si>
  <si>
    <t>Rate Rider for Recovery of GA for Non-RPP Customers</t>
  </si>
  <si>
    <t xml:space="preserve">Embedded Distributor - Non-RPP  </t>
  </si>
  <si>
    <t>Street Lighting</t>
  </si>
  <si>
    <t>Connections</t>
  </si>
  <si>
    <t>Sentinel Light</t>
  </si>
  <si>
    <t xml:space="preserve">Unmetered and Scattered Loads </t>
  </si>
  <si>
    <t>ICM Rate Rider</t>
  </si>
  <si>
    <t>EB-2013-0159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</si>
</sst>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[$-409]mmmm\ d\,\ yyyy;@"/>
    <numFmt numFmtId="167" formatCode="0.00_ ;\-0.00\ "/>
    <numFmt numFmtId="168" formatCode="0.0000_ ;\-0.0000\ "/>
    <numFmt numFmtId="169" formatCode="#,##0.00_ ;\-#,##0.00\ "/>
    <numFmt numFmtId="170" formatCode="#,##0.0000_ ;\-#,##0.0000\ "/>
    <numFmt numFmtId="171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9" fillId="0" borderId="0"/>
  </cellStyleXfs>
  <cellXfs count="187">
    <xf numFmtId="0" fontId="0" fillId="0" borderId="0" xfId="0"/>
    <xf numFmtId="0" fontId="5" fillId="0" borderId="0" xfId="0" applyFont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0" fillId="0" borderId="0" xfId="0" applyProtection="1"/>
    <xf numFmtId="0" fontId="10" fillId="3" borderId="0" xfId="0" applyFont="1" applyFill="1" applyAlignment="1" applyProtection="1">
      <alignment horizontal="center"/>
    </xf>
    <xf numFmtId="164" fontId="4" fillId="2" borderId="2" xfId="1" applyNumberFormat="1" applyFont="1" applyFill="1" applyBorder="1" applyProtection="1">
      <protection locked="0"/>
    </xf>
    <xf numFmtId="0" fontId="0" fillId="3" borderId="0" xfId="0" applyFill="1" applyAlignment="1" applyProtection="1">
      <alignment vertical="top"/>
      <protection locked="0"/>
    </xf>
    <xf numFmtId="165" fontId="0" fillId="2" borderId="9" xfId="2" applyNumberFormat="1" applyFont="1" applyFill="1" applyBorder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9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4" borderId="0" xfId="0" applyFill="1" applyAlignment="1" applyProtection="1">
      <alignment vertical="center"/>
    </xf>
    <xf numFmtId="165" fontId="0" fillId="4" borderId="2" xfId="2" applyNumberFormat="1" applyFont="1" applyFill="1" applyBorder="1" applyAlignment="1" applyProtection="1">
      <alignment vertical="center"/>
      <protection locked="0"/>
    </xf>
    <xf numFmtId="44" fontId="4" fillId="4" borderId="2" xfId="0" applyNumberFormat="1" applyFont="1" applyFill="1" applyBorder="1" applyAlignment="1" applyProtection="1">
      <alignment vertical="center"/>
    </xf>
    <xf numFmtId="10" fontId="4" fillId="4" borderId="5" xfId="3" applyNumberFormat="1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top" wrapText="1"/>
    </xf>
    <xf numFmtId="43" fontId="0" fillId="6" borderId="9" xfId="1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top" wrapText="1"/>
    </xf>
    <xf numFmtId="0" fontId="0" fillId="4" borderId="4" xfId="0" applyFill="1" applyBorder="1" applyProtection="1"/>
    <xf numFmtId="0" fontId="0" fillId="4" borderId="2" xfId="0" applyFill="1" applyBorder="1" applyProtection="1"/>
    <xf numFmtId="0" fontId="0" fillId="4" borderId="2" xfId="0" applyFill="1" applyBorder="1" applyAlignment="1" applyProtection="1">
      <alignment vertical="center"/>
    </xf>
    <xf numFmtId="44" fontId="4" fillId="4" borderId="5" xfId="0" applyNumberFormat="1" applyFont="1" applyFill="1" applyBorder="1" applyAlignment="1" applyProtection="1">
      <alignment vertical="center"/>
    </xf>
    <xf numFmtId="0" fontId="0" fillId="4" borderId="5" xfId="0" applyNumberFormat="1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vertical="center"/>
    </xf>
    <xf numFmtId="1" fontId="9" fillId="5" borderId="9" xfId="0" applyNumberFormat="1" applyFont="1" applyFill="1" applyBorder="1" applyAlignment="1" applyProtection="1">
      <alignment vertical="center"/>
    </xf>
    <xf numFmtId="0" fontId="9" fillId="5" borderId="9" xfId="0" applyNumberFormat="1" applyFont="1" applyFill="1" applyBorder="1" applyAlignment="1" applyProtection="1">
      <alignment vertical="center"/>
    </xf>
    <xf numFmtId="166" fontId="9" fillId="3" borderId="0" xfId="4" applyFill="1" applyAlignment="1" applyProtection="1">
      <alignment vertical="top"/>
      <protection locked="0"/>
    </xf>
    <xf numFmtId="1" fontId="9" fillId="5" borderId="9" xfId="4" applyNumberFormat="1" applyFill="1" applyBorder="1" applyAlignment="1" applyProtection="1">
      <alignment vertical="center"/>
    </xf>
    <xf numFmtId="0" fontId="9" fillId="5" borderId="9" xfId="4" applyNumberFormat="1" applyFill="1" applyBorder="1" applyAlignment="1" applyProtection="1">
      <alignment vertical="center"/>
    </xf>
    <xf numFmtId="0" fontId="9" fillId="7" borderId="13" xfId="0" applyFont="1" applyFill="1" applyBorder="1" applyProtection="1"/>
    <xf numFmtId="0" fontId="0" fillId="7" borderId="14" xfId="0" applyFill="1" applyBorder="1" applyAlignment="1" applyProtection="1">
      <alignment vertical="top"/>
    </xf>
    <xf numFmtId="0" fontId="0" fillId="7" borderId="14" xfId="0" applyFill="1" applyBorder="1" applyAlignment="1" applyProtection="1">
      <alignment vertical="top"/>
      <protection locked="0"/>
    </xf>
    <xf numFmtId="165" fontId="1" fillId="7" borderId="15" xfId="2" applyNumberFormat="1" applyFill="1" applyBorder="1" applyAlignment="1" applyProtection="1">
      <alignment vertical="top"/>
      <protection locked="0"/>
    </xf>
    <xf numFmtId="0" fontId="0" fillId="7" borderId="16" xfId="0" applyFill="1" applyBorder="1" applyAlignment="1" applyProtection="1">
      <alignment vertical="center"/>
      <protection locked="0"/>
    </xf>
    <xf numFmtId="44" fontId="1" fillId="7" borderId="14" xfId="2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</xf>
    <xf numFmtId="0" fontId="0" fillId="7" borderId="15" xfId="0" applyFill="1" applyBorder="1" applyAlignment="1" applyProtection="1">
      <alignment vertical="center"/>
      <protection locked="0"/>
    </xf>
    <xf numFmtId="44" fontId="0" fillId="7" borderId="15" xfId="0" applyNumberFormat="1" applyFill="1" applyBorder="1" applyAlignment="1" applyProtection="1">
      <alignment vertical="center"/>
    </xf>
    <xf numFmtId="10" fontId="1" fillId="7" borderId="17" xfId="3" applyNumberFormat="1" applyFill="1" applyBorder="1" applyAlignment="1" applyProtection="1">
      <alignment vertical="center"/>
    </xf>
    <xf numFmtId="0" fontId="0" fillId="8" borderId="0" xfId="0" applyFill="1" applyAlignment="1" applyProtection="1">
      <alignment vertical="top"/>
    </xf>
    <xf numFmtId="0" fontId="0" fillId="8" borderId="10" xfId="0" applyFill="1" applyBorder="1" applyAlignment="1" applyProtection="1">
      <alignment vertical="top"/>
    </xf>
    <xf numFmtId="0" fontId="0" fillId="8" borderId="18" xfId="0" applyFill="1" applyBorder="1" applyAlignment="1" applyProtection="1">
      <alignment vertical="center"/>
    </xf>
    <xf numFmtId="44" fontId="4" fillId="8" borderId="19" xfId="0" applyNumberFormat="1" applyFont="1" applyFill="1" applyBorder="1" applyAlignment="1" applyProtection="1">
      <alignment vertical="center"/>
    </xf>
    <xf numFmtId="0" fontId="4" fillId="8" borderId="10" xfId="0" applyFont="1" applyFill="1" applyBorder="1" applyAlignment="1" applyProtection="1">
      <alignment vertical="center"/>
    </xf>
    <xf numFmtId="44" fontId="4" fillId="8" borderId="11" xfId="0" applyNumberFormat="1" applyFont="1" applyFill="1" applyBorder="1" applyAlignment="1" applyProtection="1">
      <alignment vertical="center"/>
    </xf>
    <xf numFmtId="0" fontId="4" fillId="8" borderId="18" xfId="0" applyFont="1" applyFill="1" applyBorder="1" applyAlignment="1" applyProtection="1">
      <alignment vertical="center"/>
    </xf>
    <xf numFmtId="44" fontId="4" fillId="8" borderId="10" xfId="0" applyNumberFormat="1" applyFont="1" applyFill="1" applyBorder="1" applyAlignment="1" applyProtection="1">
      <alignment vertical="center"/>
    </xf>
    <xf numFmtId="10" fontId="4" fillId="8" borderId="11" xfId="3" applyNumberFormat="1" applyFont="1" applyFill="1" applyBorder="1" applyAlignment="1" applyProtection="1">
      <alignment vertical="center"/>
    </xf>
    <xf numFmtId="10" fontId="1" fillId="2" borderId="2" xfId="3" applyNumberFormat="1" applyFill="1" applyBorder="1" applyProtection="1">
      <protection locked="0"/>
    </xf>
    <xf numFmtId="0" fontId="3" fillId="5" borderId="0" xfId="0" applyFont="1" applyFill="1" applyAlignment="1" applyProtection="1">
      <alignment vertical="top" wrapText="1"/>
    </xf>
    <xf numFmtId="0" fontId="0" fillId="5" borderId="0" xfId="0" applyFill="1" applyBorder="1" applyProtection="1"/>
    <xf numFmtId="0" fontId="4" fillId="5" borderId="0" xfId="0" applyFont="1" applyFill="1"/>
    <xf numFmtId="0" fontId="5" fillId="5" borderId="0" xfId="0" applyFont="1" applyFill="1" applyAlignment="1">
      <alignment horizontal="right" vertical="top"/>
    </xf>
    <xf numFmtId="0" fontId="0" fillId="5" borderId="0" xfId="0" applyFill="1"/>
    <xf numFmtId="0" fontId="6" fillId="5" borderId="0" xfId="0" applyFont="1" applyFill="1" applyBorder="1" applyAlignment="1" applyProtection="1"/>
    <xf numFmtId="0" fontId="0" fillId="5" borderId="0" xfId="0" applyFill="1" applyBorder="1" applyAlignment="1" applyProtection="1">
      <alignment horizontal="left" indent="1"/>
    </xf>
    <xf numFmtId="0" fontId="7" fillId="5" borderId="0" xfId="0" applyFont="1" applyFill="1" applyBorder="1" applyAlignment="1" applyProtection="1"/>
    <xf numFmtId="0" fontId="0" fillId="5" borderId="0" xfId="0" applyFill="1" applyProtection="1"/>
    <xf numFmtId="0" fontId="4" fillId="5" borderId="0" xfId="0" applyFont="1" applyFill="1" applyAlignment="1" applyProtection="1">
      <alignment horizontal="right"/>
    </xf>
    <xf numFmtId="0" fontId="9" fillId="5" borderId="0" xfId="0" applyFont="1" applyFill="1" applyAlignment="1" applyProtection="1">
      <alignment horizontal="right"/>
    </xf>
    <xf numFmtId="0" fontId="7" fillId="5" borderId="0" xfId="0" applyFont="1" applyFill="1" applyAlignment="1" applyProtection="1">
      <alignment horizontal="center"/>
    </xf>
    <xf numFmtId="0" fontId="9" fillId="5" borderId="0" xfId="0" applyFont="1" applyFill="1" applyProtection="1"/>
    <xf numFmtId="0" fontId="4" fillId="5" borderId="0" xfId="0" applyFont="1" applyFill="1" applyProtection="1"/>
    <xf numFmtId="0" fontId="4" fillId="5" borderId="0" xfId="0" applyFont="1" applyFill="1" applyAlignment="1" applyProtection="1"/>
    <xf numFmtId="0" fontId="4" fillId="5" borderId="0" xfId="0" applyFont="1" applyFill="1" applyAlignment="1" applyProtection="1">
      <alignment horizontal="center"/>
    </xf>
    <xf numFmtId="0" fontId="4" fillId="5" borderId="6" xfId="0" applyFont="1" applyFill="1" applyBorder="1" applyAlignment="1" applyProtection="1">
      <alignment horizontal="center"/>
    </xf>
    <xf numFmtId="0" fontId="4" fillId="5" borderId="7" xfId="0" applyFont="1" applyFill="1" applyBorder="1" applyAlignment="1" applyProtection="1">
      <alignment horizontal="center"/>
    </xf>
    <xf numFmtId="0" fontId="4" fillId="5" borderId="8" xfId="0" applyFont="1" applyFill="1" applyBorder="1" applyAlignment="1" applyProtection="1">
      <alignment horizontal="center"/>
    </xf>
    <xf numFmtId="0" fontId="4" fillId="5" borderId="10" xfId="0" quotePrefix="1" applyFont="1" applyFill="1" applyBorder="1" applyAlignment="1" applyProtection="1">
      <alignment horizontal="center"/>
    </xf>
    <xf numFmtId="0" fontId="4" fillId="5" borderId="11" xfId="0" quotePrefix="1" applyFont="1" applyFill="1" applyBorder="1" applyAlignment="1" applyProtection="1">
      <alignment horizontal="center"/>
    </xf>
    <xf numFmtId="0" fontId="0" fillId="5" borderId="0" xfId="0" applyFill="1" applyAlignment="1" applyProtection="1">
      <alignment vertical="top"/>
    </xf>
    <xf numFmtId="43" fontId="0" fillId="5" borderId="9" xfId="1" applyFont="1" applyFill="1" applyBorder="1" applyAlignment="1" applyProtection="1">
      <alignment vertical="center"/>
    </xf>
    <xf numFmtId="44" fontId="0" fillId="5" borderId="7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0" fillId="5" borderId="7" xfId="0" applyNumberFormat="1" applyFill="1" applyBorder="1" applyAlignment="1" applyProtection="1">
      <alignment vertical="center"/>
    </xf>
    <xf numFmtId="44" fontId="0" fillId="5" borderId="9" xfId="0" applyNumberFormat="1" applyFill="1" applyBorder="1" applyAlignment="1" applyProtection="1">
      <alignment vertical="center"/>
    </xf>
    <xf numFmtId="10" fontId="0" fillId="5" borderId="7" xfId="3" applyNumberFormat="1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vertical="top"/>
    </xf>
    <xf numFmtId="0" fontId="0" fillId="5" borderId="9" xfId="0" applyNumberFormat="1" applyFill="1" applyBorder="1" applyAlignment="1" applyProtection="1">
      <alignment vertical="center"/>
    </xf>
    <xf numFmtId="0" fontId="0" fillId="5" borderId="12" xfId="0" applyFill="1" applyBorder="1" applyAlignment="1" applyProtection="1">
      <alignment vertical="center"/>
    </xf>
    <xf numFmtId="0" fontId="0" fillId="5" borderId="9" xfId="0" applyFill="1" applyBorder="1" applyAlignment="1" applyProtection="1">
      <alignment vertical="center"/>
    </xf>
    <xf numFmtId="1" fontId="0" fillId="5" borderId="9" xfId="0" applyNumberFormat="1" applyFill="1" applyBorder="1" applyAlignment="1" applyProtection="1">
      <alignment vertical="center"/>
    </xf>
    <xf numFmtId="0" fontId="0" fillId="5" borderId="0" xfId="0" applyFill="1" applyAlignment="1" applyProtection="1">
      <alignment vertical="center" wrapText="1"/>
    </xf>
    <xf numFmtId="0" fontId="0" fillId="5" borderId="0" xfId="0" applyFill="1" applyAlignment="1" applyProtection="1">
      <alignment vertical="top" wrapText="1"/>
    </xf>
    <xf numFmtId="10" fontId="1" fillId="5" borderId="7" xfId="3" applyNumberFormat="1" applyFill="1" applyBorder="1" applyAlignment="1" applyProtection="1">
      <alignment vertical="center"/>
    </xf>
    <xf numFmtId="44" fontId="0" fillId="5" borderId="0" xfId="0" applyNumberFormat="1" applyFill="1" applyProtection="1"/>
    <xf numFmtId="166" fontId="9" fillId="5" borderId="0" xfId="4" applyFont="1" applyFill="1" applyAlignment="1" applyProtection="1">
      <alignment vertical="top"/>
    </xf>
    <xf numFmtId="166" fontId="9" fillId="5" borderId="0" xfId="4" applyFill="1" applyAlignment="1" applyProtection="1">
      <alignment vertical="top"/>
    </xf>
    <xf numFmtId="166" fontId="9" fillId="5" borderId="0" xfId="4" applyFill="1" applyAlignment="1" applyProtection="1">
      <alignment vertical="center"/>
    </xf>
    <xf numFmtId="166" fontId="9" fillId="5" borderId="0" xfId="4" applyFill="1" applyProtection="1"/>
    <xf numFmtId="0" fontId="4" fillId="5" borderId="0" xfId="0" applyFont="1" applyFill="1" applyAlignment="1" applyProtection="1">
      <alignment vertical="top"/>
    </xf>
    <xf numFmtId="9" fontId="0" fillId="5" borderId="9" xfId="0" applyNumberFormat="1" applyFill="1" applyBorder="1" applyAlignment="1" applyProtection="1">
      <alignment vertical="top"/>
    </xf>
    <xf numFmtId="9" fontId="0" fillId="5" borderId="0" xfId="0" applyNumberFormat="1" applyFill="1" applyBorder="1" applyAlignment="1" applyProtection="1">
      <alignment vertical="center"/>
    </xf>
    <xf numFmtId="0" fontId="4" fillId="5" borderId="9" xfId="0" applyFont="1" applyFill="1" applyBorder="1" applyAlignment="1" applyProtection="1">
      <alignment vertical="center"/>
    </xf>
    <xf numFmtId="9" fontId="4" fillId="5" borderId="9" xfId="0" applyNumberFormat="1" applyFont="1" applyFill="1" applyBorder="1" applyAlignment="1" applyProtection="1">
      <alignment vertical="center"/>
    </xf>
    <xf numFmtId="10" fontId="4" fillId="5" borderId="7" xfId="3" applyNumberFormat="1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horizontal="left" vertical="top" indent="1"/>
    </xf>
    <xf numFmtId="9" fontId="0" fillId="5" borderId="9" xfId="0" applyNumberFormat="1" applyFill="1" applyBorder="1" applyAlignment="1" applyProtection="1">
      <alignment vertical="top"/>
      <protection locked="0"/>
    </xf>
    <xf numFmtId="0" fontId="0" fillId="5" borderId="0" xfId="0" applyFill="1" applyBorder="1" applyAlignment="1" applyProtection="1">
      <alignment vertical="center"/>
    </xf>
    <xf numFmtId="0" fontId="9" fillId="5" borderId="9" xfId="0" applyFont="1" applyFill="1" applyBorder="1" applyAlignment="1" applyProtection="1">
      <alignment vertical="center"/>
    </xf>
    <xf numFmtId="9" fontId="9" fillId="5" borderId="9" xfId="0" applyNumberFormat="1" applyFont="1" applyFill="1" applyBorder="1" applyAlignment="1" applyProtection="1">
      <alignment vertical="center"/>
      <protection locked="0"/>
    </xf>
    <xf numFmtId="10" fontId="9" fillId="5" borderId="7" xfId="3" applyNumberFormat="1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horizontal="left" vertical="top" wrapText="1" indent="1"/>
    </xf>
    <xf numFmtId="0" fontId="0" fillId="5" borderId="9" xfId="0" applyFill="1" applyBorder="1" applyAlignment="1" applyProtection="1">
      <alignment vertical="top"/>
    </xf>
    <xf numFmtId="10" fontId="13" fillId="5" borderId="7" xfId="3" applyNumberFormat="1" applyFont="1" applyFill="1" applyBorder="1" applyAlignment="1" applyProtection="1">
      <alignment vertical="center"/>
    </xf>
    <xf numFmtId="166" fontId="4" fillId="5" borderId="0" xfId="4" applyFont="1" applyFill="1" applyAlignment="1" applyProtection="1">
      <alignment vertical="top"/>
    </xf>
    <xf numFmtId="9" fontId="9" fillId="5" borderId="9" xfId="4" applyNumberFormat="1" applyFill="1" applyBorder="1" applyAlignment="1" applyProtection="1">
      <alignment vertical="top"/>
    </xf>
    <xf numFmtId="9" fontId="9" fillId="5" borderId="0" xfId="4" applyNumberFormat="1" applyFill="1" applyBorder="1" applyAlignment="1" applyProtection="1">
      <alignment vertical="center"/>
    </xf>
    <xf numFmtId="166" fontId="4" fillId="5" borderId="9" xfId="4" applyFont="1" applyFill="1" applyBorder="1" applyAlignment="1" applyProtection="1">
      <alignment vertical="center"/>
    </xf>
    <xf numFmtId="9" fontId="4" fillId="5" borderId="9" xfId="4" applyNumberFormat="1" applyFont="1" applyFill="1" applyBorder="1" applyAlignment="1" applyProtection="1">
      <alignment vertical="center"/>
    </xf>
    <xf numFmtId="166" fontId="9" fillId="5" borderId="0" xfId="4" applyFont="1" applyFill="1" applyAlignment="1" applyProtection="1">
      <alignment horizontal="left" vertical="top" indent="1"/>
    </xf>
    <xf numFmtId="9" fontId="9" fillId="5" borderId="9" xfId="4" applyNumberFormat="1" applyFill="1" applyBorder="1" applyAlignment="1" applyProtection="1">
      <alignment vertical="top"/>
      <protection locked="0"/>
    </xf>
    <xf numFmtId="166" fontId="9" fillId="5" borderId="9" xfId="4" applyFont="1" applyFill="1" applyBorder="1" applyAlignment="1" applyProtection="1">
      <alignment vertical="center"/>
    </xf>
    <xf numFmtId="9" fontId="9" fillId="5" borderId="9" xfId="4" applyNumberFormat="1" applyFont="1" applyFill="1" applyBorder="1" applyAlignment="1" applyProtection="1">
      <alignment vertical="top"/>
      <protection locked="0"/>
    </xf>
    <xf numFmtId="9" fontId="9" fillId="5" borderId="9" xfId="4" applyNumberFormat="1" applyFont="1" applyFill="1" applyBorder="1" applyAlignment="1" applyProtection="1">
      <alignment vertical="center"/>
    </xf>
    <xf numFmtId="166" fontId="4" fillId="5" borderId="0" xfId="4" applyFont="1" applyFill="1" applyAlignment="1" applyProtection="1">
      <alignment horizontal="left" vertical="top" wrapText="1" indent="1"/>
    </xf>
    <xf numFmtId="166" fontId="9" fillId="5" borderId="9" xfId="4" applyFill="1" applyBorder="1" applyAlignment="1" applyProtection="1">
      <alignment vertical="top"/>
    </xf>
    <xf numFmtId="166" fontId="9" fillId="5" borderId="0" xfId="4" applyFill="1" applyBorder="1" applyAlignment="1" applyProtection="1">
      <alignment vertical="center"/>
    </xf>
    <xf numFmtId="0" fontId="14" fillId="5" borderId="0" xfId="0" applyFont="1" applyFill="1" applyProtection="1"/>
    <xf numFmtId="44" fontId="1" fillId="7" borderId="16" xfId="2" applyFill="1" applyBorder="1" applyAlignment="1" applyProtection="1">
      <alignment vertical="center"/>
    </xf>
    <xf numFmtId="0" fontId="0" fillId="7" borderId="16" xfId="0" applyFill="1" applyBorder="1" applyAlignment="1" applyProtection="1">
      <alignment vertical="center"/>
    </xf>
    <xf numFmtId="0" fontId="0" fillId="7" borderId="15" xfId="0" applyFill="1" applyBorder="1" applyAlignment="1" applyProtection="1">
      <alignment vertical="top"/>
      <protection locked="0"/>
    </xf>
    <xf numFmtId="0" fontId="18" fillId="5" borderId="0" xfId="0" applyFont="1" applyFill="1" applyBorder="1" applyProtection="1"/>
    <xf numFmtId="0" fontId="18" fillId="5" borderId="0" xfId="0" applyFont="1" applyFill="1" applyProtection="1"/>
    <xf numFmtId="44" fontId="18" fillId="5" borderId="0" xfId="0" applyNumberFormat="1" applyFont="1" applyFill="1" applyProtection="1"/>
    <xf numFmtId="166" fontId="9" fillId="5" borderId="0" xfId="4" applyFont="1" applyFill="1" applyProtection="1"/>
    <xf numFmtId="44" fontId="0" fillId="2" borderId="9" xfId="2" applyNumberFormat="1" applyFont="1" applyFill="1" applyBorder="1" applyAlignment="1" applyProtection="1">
      <alignment vertical="top"/>
      <protection locked="0"/>
    </xf>
    <xf numFmtId="167" fontId="9" fillId="2" borderId="9" xfId="2" applyNumberFormat="1" applyFont="1" applyFill="1" applyBorder="1" applyAlignment="1" applyProtection="1">
      <alignment vertical="top"/>
      <protection locked="0"/>
    </xf>
    <xf numFmtId="167" fontId="0" fillId="2" borderId="9" xfId="2" applyNumberFormat="1" applyFont="1" applyFill="1" applyBorder="1" applyAlignment="1" applyProtection="1">
      <alignment vertical="top"/>
      <protection locked="0"/>
    </xf>
    <xf numFmtId="168" fontId="0" fillId="2" borderId="9" xfId="2" applyNumberFormat="1" applyFont="1" applyFill="1" applyBorder="1" applyAlignment="1" applyProtection="1">
      <alignment vertical="top"/>
      <protection locked="0"/>
    </xf>
    <xf numFmtId="169" fontId="9" fillId="2" borderId="9" xfId="2" applyNumberFormat="1" applyFont="1" applyFill="1" applyBorder="1" applyAlignment="1" applyProtection="1">
      <alignment vertical="top"/>
      <protection locked="0"/>
    </xf>
    <xf numFmtId="169" fontId="0" fillId="2" borderId="9" xfId="2" applyNumberFormat="1" applyFont="1" applyFill="1" applyBorder="1" applyAlignment="1" applyProtection="1">
      <alignment vertical="top"/>
      <protection locked="0"/>
    </xf>
    <xf numFmtId="170" fontId="0" fillId="2" borderId="9" xfId="2" applyNumberFormat="1" applyFont="1" applyFill="1" applyBorder="1" applyAlignment="1" applyProtection="1">
      <alignment vertical="top"/>
      <protection locked="0"/>
    </xf>
    <xf numFmtId="2" fontId="0" fillId="5" borderId="7" xfId="2" applyNumberFormat="1" applyFont="1" applyFill="1" applyBorder="1" applyAlignment="1" applyProtection="1">
      <alignment vertical="center"/>
    </xf>
    <xf numFmtId="2" fontId="0" fillId="5" borderId="9" xfId="0" applyNumberFormat="1" applyFill="1" applyBorder="1" applyAlignment="1" applyProtection="1">
      <alignment vertical="center"/>
    </xf>
    <xf numFmtId="171" fontId="0" fillId="5" borderId="9" xfId="2" applyNumberFormat="1" applyFont="1" applyFill="1" applyBorder="1" applyAlignment="1" applyProtection="1">
      <alignment vertical="top"/>
      <protection locked="0"/>
    </xf>
    <xf numFmtId="2" fontId="1" fillId="5" borderId="7" xfId="2" applyNumberFormat="1" applyFill="1" applyBorder="1" applyAlignment="1" applyProtection="1">
      <alignment vertical="center"/>
    </xf>
    <xf numFmtId="2" fontId="9" fillId="5" borderId="9" xfId="4" applyNumberFormat="1" applyFill="1" applyBorder="1" applyAlignment="1" applyProtection="1">
      <alignment vertical="center"/>
    </xf>
    <xf numFmtId="2" fontId="4" fillId="5" borderId="12" xfId="0" applyNumberFormat="1" applyFont="1" applyFill="1" applyBorder="1" applyAlignment="1" applyProtection="1">
      <alignment vertical="center"/>
    </xf>
    <xf numFmtId="2" fontId="9" fillId="5" borderId="12" xfId="0" applyNumberFormat="1" applyFont="1" applyFill="1" applyBorder="1" applyAlignment="1" applyProtection="1">
      <alignment vertical="center"/>
    </xf>
    <xf numFmtId="2" fontId="13" fillId="5" borderId="12" xfId="0" applyNumberFormat="1" applyFont="1" applyFill="1" applyBorder="1" applyAlignment="1" applyProtection="1">
      <alignment vertical="center"/>
    </xf>
    <xf numFmtId="2" fontId="4" fillId="5" borderId="20" xfId="0" applyNumberFormat="1" applyFont="1" applyFill="1" applyBorder="1" applyAlignment="1" applyProtection="1">
      <alignment vertical="center"/>
    </xf>
    <xf numFmtId="2" fontId="4" fillId="5" borderId="0" xfId="0" applyNumberFormat="1" applyFont="1" applyFill="1" applyBorder="1" applyAlignment="1" applyProtection="1">
      <alignment vertical="center"/>
    </xf>
    <xf numFmtId="2" fontId="4" fillId="5" borderId="9" xfId="0" applyNumberFormat="1" applyFont="1" applyFill="1" applyBorder="1" applyAlignment="1" applyProtection="1">
      <alignment vertical="center"/>
    </xf>
    <xf numFmtId="2" fontId="9" fillId="5" borderId="7" xfId="0" applyNumberFormat="1" applyFont="1" applyFill="1" applyBorder="1" applyAlignment="1" applyProtection="1">
      <alignment vertical="center"/>
    </xf>
    <xf numFmtId="2" fontId="9" fillId="5" borderId="0" xfId="0" applyNumberFormat="1" applyFont="1" applyFill="1" applyBorder="1" applyAlignment="1" applyProtection="1">
      <alignment vertical="center"/>
    </xf>
    <xf numFmtId="2" fontId="9" fillId="5" borderId="9" xfId="0" applyNumberFormat="1" applyFont="1" applyFill="1" applyBorder="1" applyAlignment="1" applyProtection="1">
      <alignment vertical="center"/>
    </xf>
    <xf numFmtId="2" fontId="13" fillId="5" borderId="7" xfId="0" applyNumberFormat="1" applyFont="1" applyFill="1" applyBorder="1" applyAlignment="1" applyProtection="1">
      <alignment vertical="center"/>
    </xf>
    <xf numFmtId="2" fontId="13" fillId="5" borderId="9" xfId="0" applyNumberFormat="1" applyFont="1" applyFill="1" applyBorder="1" applyAlignment="1" applyProtection="1">
      <alignment vertical="center"/>
    </xf>
    <xf numFmtId="2" fontId="4" fillId="5" borderId="12" xfId="4" applyNumberFormat="1" applyFont="1" applyFill="1" applyBorder="1" applyAlignment="1" applyProtection="1">
      <alignment vertical="center"/>
    </xf>
    <xf numFmtId="2" fontId="9" fillId="5" borderId="12" xfId="4" applyNumberFormat="1" applyFont="1" applyFill="1" applyBorder="1" applyAlignment="1" applyProtection="1">
      <alignment vertical="center"/>
    </xf>
    <xf numFmtId="2" fontId="13" fillId="5" borderId="12" xfId="4" applyNumberFormat="1" applyFont="1" applyFill="1" applyBorder="1" applyAlignment="1" applyProtection="1">
      <alignment vertical="center"/>
    </xf>
    <xf numFmtId="2" fontId="4" fillId="5" borderId="20" xfId="4" applyNumberFormat="1" applyFont="1" applyFill="1" applyBorder="1" applyAlignment="1" applyProtection="1">
      <alignment vertical="center"/>
    </xf>
    <xf numFmtId="2" fontId="4" fillId="5" borderId="0" xfId="4" applyNumberFormat="1" applyFont="1" applyFill="1" applyBorder="1" applyAlignment="1" applyProtection="1">
      <alignment vertical="center"/>
    </xf>
    <xf numFmtId="2" fontId="4" fillId="5" borderId="9" xfId="4" applyNumberFormat="1" applyFont="1" applyFill="1" applyBorder="1" applyAlignment="1" applyProtection="1">
      <alignment vertical="center"/>
    </xf>
    <xf numFmtId="2" fontId="9" fillId="5" borderId="7" xfId="4" applyNumberFormat="1" applyFont="1" applyFill="1" applyBorder="1" applyAlignment="1" applyProtection="1">
      <alignment vertical="center"/>
    </xf>
    <xf numFmtId="2" fontId="9" fillId="5" borderId="0" xfId="4" applyNumberFormat="1" applyFont="1" applyFill="1" applyBorder="1" applyAlignment="1" applyProtection="1">
      <alignment vertical="center"/>
    </xf>
    <xf numFmtId="2" fontId="9" fillId="5" borderId="9" xfId="4" applyNumberFormat="1" applyFont="1" applyFill="1" applyBorder="1" applyAlignment="1" applyProtection="1">
      <alignment vertical="center"/>
    </xf>
    <xf numFmtId="2" fontId="13" fillId="5" borderId="7" xfId="4" applyNumberFormat="1" applyFont="1" applyFill="1" applyBorder="1" applyAlignment="1" applyProtection="1">
      <alignment vertical="center"/>
    </xf>
    <xf numFmtId="2" fontId="13" fillId="5" borderId="9" xfId="4" applyNumberFormat="1" applyFont="1" applyFill="1" applyBorder="1" applyAlignment="1" applyProtection="1">
      <alignment vertical="center"/>
    </xf>
    <xf numFmtId="164" fontId="0" fillId="5" borderId="9" xfId="1" applyNumberFormat="1" applyFont="1" applyFill="1" applyBorder="1" applyAlignment="1" applyProtection="1">
      <alignment vertical="center"/>
    </xf>
    <xf numFmtId="164" fontId="0" fillId="4" borderId="2" xfId="0" applyNumberFormat="1" applyFill="1" applyBorder="1" applyAlignment="1" applyProtection="1">
      <alignment vertical="center"/>
    </xf>
    <xf numFmtId="164" fontId="0" fillId="6" borderId="9" xfId="1" applyNumberFormat="1" applyFont="1" applyFill="1" applyBorder="1" applyAlignment="1" applyProtection="1">
      <alignment vertical="center"/>
    </xf>
    <xf numFmtId="164" fontId="0" fillId="4" borderId="5" xfId="0" applyNumberFormat="1" applyFill="1" applyBorder="1" applyAlignment="1" applyProtection="1">
      <alignment vertical="center"/>
    </xf>
    <xf numFmtId="164" fontId="0" fillId="5" borderId="9" xfId="0" applyNumberFormat="1" applyFill="1" applyBorder="1" applyAlignment="1" applyProtection="1">
      <alignment vertical="center"/>
    </xf>
    <xf numFmtId="2" fontId="0" fillId="5" borderId="6" xfId="2" applyNumberFormat="1" applyFont="1" applyFill="1" applyBorder="1" applyAlignment="1" applyProtection="1">
      <alignment vertical="center"/>
    </xf>
    <xf numFmtId="2" fontId="0" fillId="5" borderId="10" xfId="2" applyNumberFormat="1" applyFont="1" applyFill="1" applyBorder="1" applyAlignment="1" applyProtection="1">
      <alignment vertical="center"/>
    </xf>
    <xf numFmtId="43" fontId="0" fillId="5" borderId="7" xfId="1" applyFont="1" applyFill="1" applyBorder="1" applyAlignment="1" applyProtection="1">
      <alignment vertical="center"/>
    </xf>
    <xf numFmtId="8" fontId="0" fillId="2" borderId="9" xfId="2" applyNumberFormat="1" applyFont="1" applyFill="1" applyBorder="1" applyAlignment="1" applyProtection="1">
      <alignment vertical="top"/>
      <protection locked="0"/>
    </xf>
    <xf numFmtId="0" fontId="11" fillId="5" borderId="0" xfId="0" applyFont="1" applyFill="1" applyAlignment="1" applyProtection="1">
      <alignment horizontal="left" vertical="top" wrapText="1" indent="1"/>
    </xf>
    <xf numFmtId="0" fontId="4" fillId="8" borderId="0" xfId="0" applyFont="1" applyFill="1" applyAlignment="1" applyProtection="1">
      <alignment horizontal="left" vertical="top" wrapText="1"/>
    </xf>
    <xf numFmtId="166" fontId="11" fillId="5" borderId="0" xfId="4" applyFont="1" applyFill="1" applyAlignment="1" applyProtection="1">
      <alignment horizontal="left" vertical="top" wrapText="1" indent="1"/>
    </xf>
    <xf numFmtId="0" fontId="8" fillId="5" borderId="0" xfId="0" applyFont="1" applyFill="1" applyAlignment="1" applyProtection="1">
      <alignment horizontal="center"/>
    </xf>
    <xf numFmtId="0" fontId="4" fillId="5" borderId="3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0" fontId="4" fillId="5" borderId="5" xfId="0" applyFont="1" applyFill="1" applyBorder="1" applyAlignment="1" applyProtection="1">
      <alignment horizontal="center"/>
    </xf>
    <xf numFmtId="0" fontId="4" fillId="5" borderId="0" xfId="0" applyFont="1" applyFill="1" applyAlignment="1" applyProtection="1">
      <alignment horizontal="center" wrapText="1"/>
    </xf>
    <xf numFmtId="0" fontId="0" fillId="5" borderId="0" xfId="0" applyFill="1" applyAlignment="1">
      <alignment horizontal="center" wrapText="1"/>
    </xf>
    <xf numFmtId="0" fontId="4" fillId="5" borderId="9" xfId="0" applyFont="1" applyFill="1" applyBorder="1" applyAlignment="1" applyProtection="1">
      <alignment horizontal="center" wrapText="1"/>
    </xf>
    <xf numFmtId="0" fontId="0" fillId="5" borderId="10" xfId="0" applyFill="1" applyBorder="1" applyAlignment="1">
      <alignment wrapText="1"/>
    </xf>
    <xf numFmtId="0" fontId="4" fillId="5" borderId="7" xfId="0" applyFont="1" applyFill="1" applyBorder="1" applyAlignment="1" applyProtection="1">
      <alignment horizontal="center" wrapText="1"/>
    </xf>
    <xf numFmtId="0" fontId="0" fillId="5" borderId="11" xfId="0" applyFill="1" applyBorder="1" applyAlignment="1">
      <alignment wrapText="1"/>
    </xf>
    <xf numFmtId="0" fontId="7" fillId="2" borderId="0" xfId="0" applyFont="1" applyFill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left" indent="7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$T$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checked="Checked" firstButton="1" fmlaLink="$T$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16</xdr:row>
          <xdr:rowOff>175260</xdr:rowOff>
        </xdr:from>
        <xdr:to>
          <xdr:col>8</xdr:col>
          <xdr:colOff>182880</xdr:colOff>
          <xdr:row>18</xdr:row>
          <xdr:rowOff>22860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14</xdr:col>
          <xdr:colOff>838200</xdr:colOff>
          <xdr:row>18</xdr:row>
          <xdr:rowOff>121920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91</xdr:row>
          <xdr:rowOff>175260</xdr:rowOff>
        </xdr:from>
        <xdr:to>
          <xdr:col>8</xdr:col>
          <xdr:colOff>182880</xdr:colOff>
          <xdr:row>93</xdr:row>
          <xdr:rowOff>22860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91</xdr:row>
          <xdr:rowOff>114300</xdr:rowOff>
        </xdr:from>
        <xdr:to>
          <xdr:col>14</xdr:col>
          <xdr:colOff>838200</xdr:colOff>
          <xdr:row>93</xdr:row>
          <xdr:rowOff>114300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165</xdr:row>
          <xdr:rowOff>175260</xdr:rowOff>
        </xdr:from>
        <xdr:to>
          <xdr:col>8</xdr:col>
          <xdr:colOff>182880</xdr:colOff>
          <xdr:row>167</xdr:row>
          <xdr:rowOff>22860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165</xdr:row>
          <xdr:rowOff>114300</xdr:rowOff>
        </xdr:from>
        <xdr:to>
          <xdr:col>14</xdr:col>
          <xdr:colOff>838200</xdr:colOff>
          <xdr:row>167</xdr:row>
          <xdr:rowOff>121920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239</xdr:row>
          <xdr:rowOff>175260</xdr:rowOff>
        </xdr:from>
        <xdr:to>
          <xdr:col>8</xdr:col>
          <xdr:colOff>182880</xdr:colOff>
          <xdr:row>241</xdr:row>
          <xdr:rowOff>22860</xdr:rowOff>
        </xdr:to>
        <xdr:sp macro="" textlink="">
          <xdr:nvSpPr>
            <xdr:cNvPr id="2101" name="Option Button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239</xdr:row>
          <xdr:rowOff>114300</xdr:rowOff>
        </xdr:from>
        <xdr:to>
          <xdr:col>14</xdr:col>
          <xdr:colOff>838200</xdr:colOff>
          <xdr:row>241</xdr:row>
          <xdr:rowOff>121920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313</xdr:row>
          <xdr:rowOff>175260</xdr:rowOff>
        </xdr:from>
        <xdr:to>
          <xdr:col>8</xdr:col>
          <xdr:colOff>182880</xdr:colOff>
          <xdr:row>315</xdr:row>
          <xdr:rowOff>22860</xdr:rowOff>
        </xdr:to>
        <xdr:sp macro="" textlink="">
          <xdr:nvSpPr>
            <xdr:cNvPr id="2117" name="Option Button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313</xdr:row>
          <xdr:rowOff>114300</xdr:rowOff>
        </xdr:from>
        <xdr:to>
          <xdr:col>14</xdr:col>
          <xdr:colOff>838200</xdr:colOff>
          <xdr:row>315</xdr:row>
          <xdr:rowOff>121920</xdr:rowOff>
        </xdr:to>
        <xdr:sp macro="" textlink="">
          <xdr:nvSpPr>
            <xdr:cNvPr id="2118" name="Option Button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387</xdr:row>
          <xdr:rowOff>175260</xdr:rowOff>
        </xdr:from>
        <xdr:to>
          <xdr:col>8</xdr:col>
          <xdr:colOff>182880</xdr:colOff>
          <xdr:row>389</xdr:row>
          <xdr:rowOff>22860</xdr:rowOff>
        </xdr:to>
        <xdr:sp macro="" textlink="">
          <xdr:nvSpPr>
            <xdr:cNvPr id="2133" name="Option Button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387</xdr:row>
          <xdr:rowOff>114300</xdr:rowOff>
        </xdr:from>
        <xdr:to>
          <xdr:col>14</xdr:col>
          <xdr:colOff>838200</xdr:colOff>
          <xdr:row>389</xdr:row>
          <xdr:rowOff>121920</xdr:rowOff>
        </xdr:to>
        <xdr:sp macro="" textlink="">
          <xdr:nvSpPr>
            <xdr:cNvPr id="2134" name="Option Button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461</xdr:row>
          <xdr:rowOff>175260</xdr:rowOff>
        </xdr:from>
        <xdr:to>
          <xdr:col>8</xdr:col>
          <xdr:colOff>182880</xdr:colOff>
          <xdr:row>463</xdr:row>
          <xdr:rowOff>22860</xdr:rowOff>
        </xdr:to>
        <xdr:sp macro="" textlink="">
          <xdr:nvSpPr>
            <xdr:cNvPr id="2149" name="Option Button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461</xdr:row>
          <xdr:rowOff>114300</xdr:rowOff>
        </xdr:from>
        <xdr:to>
          <xdr:col>14</xdr:col>
          <xdr:colOff>838200</xdr:colOff>
          <xdr:row>463</xdr:row>
          <xdr:rowOff>121920</xdr:rowOff>
        </xdr:to>
        <xdr:sp macro="" textlink="">
          <xdr:nvSpPr>
            <xdr:cNvPr id="2150" name="Option Button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861060</xdr:colOff>
          <xdr:row>16</xdr:row>
          <xdr:rowOff>190500</xdr:rowOff>
        </xdr:from>
        <xdr:to>
          <xdr:col>7</xdr:col>
          <xdr:colOff>815340</xdr:colOff>
          <xdr:row>17</xdr:row>
          <xdr:rowOff>99060</xdr:rowOff>
        </xdr:to>
        <xdr:sp macro="" textlink="">
          <xdr:nvSpPr>
            <xdr:cNvPr id="5287" name="Option Button 167" hidden="1">
              <a:extLst>
                <a:ext uri="{63B3BB69-23CF-44E3-9099-C40C66FF867C}">
                  <a14:compatExt spid="_x0000_s5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16</xdr:row>
          <xdr:rowOff>152400</xdr:rowOff>
        </xdr:from>
        <xdr:to>
          <xdr:col>14</xdr:col>
          <xdr:colOff>441960</xdr:colOff>
          <xdr:row>17</xdr:row>
          <xdr:rowOff>137160</xdr:rowOff>
        </xdr:to>
        <xdr:sp macro="" textlink="">
          <xdr:nvSpPr>
            <xdr:cNvPr id="5288" name="Option Button 168" hidden="1">
              <a:extLst>
                <a:ext uri="{63B3BB69-23CF-44E3-9099-C40C66FF867C}">
                  <a14:compatExt spid="_x0000_s5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632460</xdr:colOff>
          <xdr:row>13</xdr:row>
          <xdr:rowOff>182880</xdr:rowOff>
        </xdr:from>
        <xdr:to>
          <xdr:col>8</xdr:col>
          <xdr:colOff>22860</xdr:colOff>
          <xdr:row>16</xdr:row>
          <xdr:rowOff>38100</xdr:rowOff>
        </xdr:to>
        <xdr:sp macro="" textlink="">
          <xdr:nvSpPr>
            <xdr:cNvPr id="6268" name="Option Button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556260</xdr:colOff>
          <xdr:row>14</xdr:row>
          <xdr:rowOff>30480</xdr:rowOff>
        </xdr:from>
        <xdr:to>
          <xdr:col>13</xdr:col>
          <xdr:colOff>419100</xdr:colOff>
          <xdr:row>16</xdr:row>
          <xdr:rowOff>0</xdr:rowOff>
        </xdr:to>
        <xdr:sp macro="" textlink="">
          <xdr:nvSpPr>
            <xdr:cNvPr id="6272" name="Option Button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2880360</xdr:colOff>
          <xdr:row>46</xdr:row>
          <xdr:rowOff>38100</xdr:rowOff>
        </xdr:from>
        <xdr:to>
          <xdr:col>4</xdr:col>
          <xdr:colOff>76200</xdr:colOff>
          <xdr:row>46</xdr:row>
          <xdr:rowOff>114300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2270760</xdr:colOff>
          <xdr:row>46</xdr:row>
          <xdr:rowOff>30480</xdr:rowOff>
        </xdr:from>
        <xdr:to>
          <xdr:col>1</xdr:col>
          <xdr:colOff>2743200</xdr:colOff>
          <xdr:row>46</xdr:row>
          <xdr:rowOff>144780</xdr:rowOff>
        </xdr:to>
        <xdr:sp macro="" textlink="">
          <xdr:nvSpPr>
            <xdr:cNvPr id="13387" name="Option Button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601980</xdr:colOff>
          <xdr:row>15</xdr:row>
          <xdr:rowOff>0</xdr:rowOff>
        </xdr:from>
        <xdr:to>
          <xdr:col>7</xdr:col>
          <xdr:colOff>289560</xdr:colOff>
          <xdr:row>16</xdr:row>
          <xdr:rowOff>106680</xdr:rowOff>
        </xdr:to>
        <xdr:sp macro="" textlink="">
          <xdr:nvSpPr>
            <xdr:cNvPr id="13388" name="Option Button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15</xdr:row>
          <xdr:rowOff>0</xdr:rowOff>
        </xdr:from>
        <xdr:to>
          <xdr:col>14</xdr:col>
          <xdr:colOff>632460</xdr:colOff>
          <xdr:row>16</xdr:row>
          <xdr:rowOff>129540</xdr:rowOff>
        </xdr:to>
        <xdr:sp macro="" textlink="">
          <xdr:nvSpPr>
            <xdr:cNvPr id="13389" name="Option Button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701040</xdr:colOff>
          <xdr:row>15</xdr:row>
          <xdr:rowOff>7620</xdr:rowOff>
        </xdr:from>
        <xdr:to>
          <xdr:col>7</xdr:col>
          <xdr:colOff>358140</xdr:colOff>
          <xdr:row>16</xdr:row>
          <xdr:rowOff>0</xdr:rowOff>
        </xdr:to>
        <xdr:sp macro="" textlink="">
          <xdr:nvSpPr>
            <xdr:cNvPr id="8287" name="Option Button 95" hidden="1">
              <a:extLst>
                <a:ext uri="{63B3BB69-23CF-44E3-9099-C40C66FF867C}">
                  <a14:compatExt spid="_x0000_s8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487680</xdr:colOff>
          <xdr:row>15</xdr:row>
          <xdr:rowOff>0</xdr:rowOff>
        </xdr:from>
        <xdr:to>
          <xdr:col>14</xdr:col>
          <xdr:colOff>914400</xdr:colOff>
          <xdr:row>16</xdr:row>
          <xdr:rowOff>0</xdr:rowOff>
        </xdr:to>
        <xdr:sp macro="" textlink="">
          <xdr:nvSpPr>
            <xdr:cNvPr id="8288" name="Option Button 96" hidden="1">
              <a:extLst>
                <a:ext uri="{63B3BB69-23CF-44E3-9099-C40C66FF867C}">
                  <a14:compatExt spid="_x0000_s8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563880</xdr:colOff>
          <xdr:row>15</xdr:row>
          <xdr:rowOff>7620</xdr:rowOff>
        </xdr:from>
        <xdr:to>
          <xdr:col>7</xdr:col>
          <xdr:colOff>388620</xdr:colOff>
          <xdr:row>16</xdr:row>
          <xdr:rowOff>7620</xdr:rowOff>
        </xdr:to>
        <xdr:sp macro="" textlink="">
          <xdr:nvSpPr>
            <xdr:cNvPr id="19473" name="Option Button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15</xdr:row>
          <xdr:rowOff>0</xdr:rowOff>
        </xdr:from>
        <xdr:to>
          <xdr:col>14</xdr:col>
          <xdr:colOff>670560</xdr:colOff>
          <xdr:row>16</xdr:row>
          <xdr:rowOff>68580</xdr:rowOff>
        </xdr:to>
        <xdr:sp macro="" textlink="">
          <xdr:nvSpPr>
            <xdr:cNvPr id="19474" name="Option Button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24</xdr:row>
          <xdr:rowOff>137160</xdr:rowOff>
        </xdr:from>
        <xdr:to>
          <xdr:col>1</xdr:col>
          <xdr:colOff>1470660</xdr:colOff>
          <xdr:row>24</xdr:row>
          <xdr:rowOff>160020</xdr:rowOff>
        </xdr:to>
        <xdr:sp macro="" textlink="">
          <xdr:nvSpPr>
            <xdr:cNvPr id="10263" name="Option Button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46</xdr:row>
          <xdr:rowOff>99060</xdr:rowOff>
        </xdr:from>
        <xdr:to>
          <xdr:col>6</xdr:col>
          <xdr:colOff>807720</xdr:colOff>
          <xdr:row>47</xdr:row>
          <xdr:rowOff>60960</xdr:rowOff>
        </xdr:to>
        <xdr:sp macro="" textlink="">
          <xdr:nvSpPr>
            <xdr:cNvPr id="10283" name="Option Button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2461260</xdr:colOff>
          <xdr:row>46</xdr:row>
          <xdr:rowOff>76200</xdr:rowOff>
        </xdr:from>
        <xdr:to>
          <xdr:col>3</xdr:col>
          <xdr:colOff>7620</xdr:colOff>
          <xdr:row>47</xdr:row>
          <xdr:rowOff>22860</xdr:rowOff>
        </xdr:to>
        <xdr:sp macro="" textlink="">
          <xdr:nvSpPr>
            <xdr:cNvPr id="10284" name="Option Button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14</xdr:row>
          <xdr:rowOff>38100</xdr:rowOff>
        </xdr:from>
        <xdr:to>
          <xdr:col>7</xdr:col>
          <xdr:colOff>594360</xdr:colOff>
          <xdr:row>15</xdr:row>
          <xdr:rowOff>152400</xdr:rowOff>
        </xdr:to>
        <xdr:sp macro="" textlink="">
          <xdr:nvSpPr>
            <xdr:cNvPr id="10285" name="Option Button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14</xdr:row>
          <xdr:rowOff>22860</xdr:rowOff>
        </xdr:from>
        <xdr:to>
          <xdr:col>14</xdr:col>
          <xdr:colOff>457200</xdr:colOff>
          <xdr:row>15</xdr:row>
          <xdr:rowOff>160020</xdr:rowOff>
        </xdr:to>
        <xdr:sp macro="" textlink="">
          <xdr:nvSpPr>
            <xdr:cNvPr id="10286" name="Option Button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15</xdr:row>
          <xdr:rowOff>144780</xdr:rowOff>
        </xdr:from>
        <xdr:to>
          <xdr:col>9</xdr:col>
          <xdr:colOff>609600</xdr:colOff>
          <xdr:row>16</xdr:row>
          <xdr:rowOff>137160</xdr:rowOff>
        </xdr:to>
        <xdr:sp macro="" textlink="">
          <xdr:nvSpPr>
            <xdr:cNvPr id="11290" name="Option Button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426720</xdr:colOff>
          <xdr:row>15</xdr:row>
          <xdr:rowOff>137160</xdr:rowOff>
        </xdr:from>
        <xdr:to>
          <xdr:col>14</xdr:col>
          <xdr:colOff>678180</xdr:colOff>
          <xdr:row>16</xdr:row>
          <xdr:rowOff>114300</xdr:rowOff>
        </xdr:to>
        <xdr:sp macro="" textlink="">
          <xdr:nvSpPr>
            <xdr:cNvPr id="11291" name="Option Button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426720</xdr:colOff>
          <xdr:row>15</xdr:row>
          <xdr:rowOff>15240</xdr:rowOff>
        </xdr:from>
        <xdr:to>
          <xdr:col>7</xdr:col>
          <xdr:colOff>579120</xdr:colOff>
          <xdr:row>16</xdr:row>
          <xdr:rowOff>45720</xdr:rowOff>
        </xdr:to>
        <xdr:sp macro="" textlink="">
          <xdr:nvSpPr>
            <xdr:cNvPr id="12328" name="Option Button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</xdr:row>
          <xdr:rowOff>53340</xdr:rowOff>
        </xdr:from>
        <xdr:to>
          <xdr:col>14</xdr:col>
          <xdr:colOff>312420</xdr:colOff>
          <xdr:row>16</xdr:row>
          <xdr:rowOff>129540</xdr:rowOff>
        </xdr:to>
        <xdr:sp macro="" textlink="">
          <xdr:nvSpPr>
            <xdr:cNvPr id="12330" name="Option Button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6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Relationship Id="rId9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8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9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527"/>
  <sheetViews>
    <sheetView tabSelected="1" view="pageBreakPreview" topLeftCell="A9" zoomScale="70" zoomScaleNormal="80" zoomScaleSheetLayoutView="70" workbookViewId="0">
      <selection activeCell="K351" sqref="K351"/>
    </sheetView>
  </sheetViews>
  <sheetFormatPr defaultColWidth="9.109375" defaultRowHeight="14.4" x14ac:dyDescent="0.3"/>
  <cols>
    <col min="1" max="1" width="4.44140625" style="60" customWidth="1"/>
    <col min="2" max="2" width="45.3320312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4.109375" style="60" customWidth="1"/>
    <col min="9" max="9" width="2.88671875" style="60" customWidth="1"/>
    <col min="10" max="10" width="12.109375" style="60" customWidth="1"/>
    <col min="11" max="11" width="12" style="60" customWidth="1"/>
    <col min="12" max="12" width="11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126"/>
    <col min="20" max="20" width="9.109375" style="126" customWidth="1"/>
    <col min="21" max="29" width="9.109375" style="126"/>
    <col min="30" max="16384" width="9.109375" style="60"/>
  </cols>
  <sheetData>
    <row r="1" spans="1:29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78</v>
      </c>
      <c r="P1" s="56"/>
      <c r="Q1" s="125"/>
      <c r="R1" s="125"/>
      <c r="S1" s="125"/>
      <c r="T1" s="125">
        <v>1</v>
      </c>
      <c r="U1" s="125"/>
      <c r="V1" s="125"/>
      <c r="W1" s="125"/>
      <c r="X1" s="125"/>
      <c r="Y1" s="125"/>
      <c r="Z1" s="125"/>
      <c r="AA1" s="125"/>
      <c r="AB1" s="125"/>
      <c r="AC1" s="125"/>
    </row>
    <row r="2" spans="1:29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3" spans="1:29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</row>
    <row r="4" spans="1:29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</row>
    <row r="5" spans="1:29" s="53" customFormat="1" ht="9.6" hidden="1" customHeight="1" x14ac:dyDescent="0.3">
      <c r="C5" s="59"/>
      <c r="D5" s="59"/>
      <c r="E5" s="59"/>
      <c r="N5" s="54" t="s">
        <v>4</v>
      </c>
      <c r="O5" s="3"/>
      <c r="P5" s="56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</row>
    <row r="6" spans="1:29" s="53" customFormat="1" ht="9.6" hidden="1" customHeight="1" x14ac:dyDescent="0.3">
      <c r="N6" s="54"/>
      <c r="O6" s="1"/>
      <c r="P6" s="56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</row>
    <row r="7" spans="1:29" s="53" customFormat="1" hidden="1" x14ac:dyDescent="0.3">
      <c r="N7" s="54" t="s">
        <v>5</v>
      </c>
      <c r="O7" s="3"/>
      <c r="P7" s="56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</row>
    <row r="8" spans="1:29" s="53" customFormat="1" ht="15" hidden="1" customHeight="1" x14ac:dyDescent="0.3">
      <c r="N8" s="60"/>
      <c r="O8" s="56"/>
      <c r="P8" s="56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</row>
    <row r="9" spans="1:29" ht="7.5" customHeight="1" x14ac:dyDescent="0.3">
      <c r="L9" s="56"/>
      <c r="M9" s="56"/>
      <c r="N9" s="56"/>
      <c r="O9" s="56"/>
      <c r="P9" s="56"/>
    </row>
    <row r="10" spans="1:29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9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9" ht="7.5" customHeight="1" x14ac:dyDescent="0.3">
      <c r="L12" s="56"/>
      <c r="M12" s="56"/>
      <c r="N12" s="56"/>
      <c r="O12" s="56"/>
      <c r="P12" s="56"/>
    </row>
    <row r="13" spans="1:29" ht="7.5" customHeight="1" x14ac:dyDescent="0.3">
      <c r="L13" s="56"/>
      <c r="M13" s="56"/>
      <c r="N13" s="56"/>
      <c r="O13" s="56"/>
      <c r="P13" s="56"/>
    </row>
    <row r="14" spans="1:29" ht="15.6" x14ac:dyDescent="0.3">
      <c r="B14" s="61" t="s">
        <v>8</v>
      </c>
      <c r="D14" s="185" t="s">
        <v>67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9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9" ht="15.6" x14ac:dyDescent="0.3">
      <c r="B16" s="61" t="s">
        <v>9</v>
      </c>
      <c r="D16" s="5" t="s">
        <v>10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15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15" x14ac:dyDescent="0.3">
      <c r="B18" s="64"/>
      <c r="D18" s="65" t="s">
        <v>11</v>
      </c>
      <c r="E18" s="65"/>
      <c r="F18" s="6">
        <v>800</v>
      </c>
      <c r="G18" s="65" t="s">
        <v>12</v>
      </c>
    </row>
    <row r="19" spans="2:15" x14ac:dyDescent="0.3">
      <c r="B19" s="64"/>
      <c r="G19" s="65"/>
    </row>
    <row r="20" spans="2:15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</row>
    <row r="21" spans="2:15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</row>
    <row r="22" spans="2:15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</row>
    <row r="23" spans="2:15" x14ac:dyDescent="0.3">
      <c r="B23" s="73" t="s">
        <v>23</v>
      </c>
      <c r="C23" s="73"/>
      <c r="D23" s="7" t="s">
        <v>24</v>
      </c>
      <c r="E23" s="73"/>
      <c r="F23" s="129">
        <v>13.11</v>
      </c>
      <c r="G23" s="74">
        <v>1</v>
      </c>
      <c r="H23" s="75">
        <f t="shared" ref="H23:H38" si="0">G23*F23</f>
        <v>13.11</v>
      </c>
      <c r="I23" s="76"/>
      <c r="J23" s="171">
        <v>16.43</v>
      </c>
      <c r="K23" s="77">
        <v>1</v>
      </c>
      <c r="L23" s="75">
        <f t="shared" ref="L23:L38" si="1">K23*J23</f>
        <v>16.43</v>
      </c>
      <c r="M23" s="76"/>
      <c r="N23" s="78">
        <f t="shared" ref="N23:N59" si="2">L23-H23</f>
        <v>3.3200000000000003</v>
      </c>
      <c r="O23" s="79">
        <f t="shared" ref="O23:O45" si="3">IF((H23)=0,"",(N23/H23))</f>
        <v>0.25324180015255532</v>
      </c>
    </row>
    <row r="24" spans="2:15" x14ac:dyDescent="0.3">
      <c r="B24" s="73" t="s">
        <v>25</v>
      </c>
      <c r="C24" s="73"/>
      <c r="D24" s="7" t="s">
        <v>24</v>
      </c>
      <c r="E24" s="73"/>
      <c r="F24" s="133">
        <v>2.4900000000000002</v>
      </c>
      <c r="G24" s="74">
        <v>1</v>
      </c>
      <c r="H24" s="136">
        <f t="shared" si="0"/>
        <v>2.4900000000000002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-2.4900000000000002</v>
      </c>
      <c r="O24" s="79">
        <f t="shared" si="3"/>
        <v>-1</v>
      </c>
    </row>
    <row r="25" spans="2:15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</row>
    <row r="26" spans="2:15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</row>
    <row r="27" spans="2:15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</row>
    <row r="28" spans="2:15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</row>
    <row r="29" spans="2:15" x14ac:dyDescent="0.3">
      <c r="B29" s="73" t="s">
        <v>26</v>
      </c>
      <c r="C29" s="73"/>
      <c r="D29" s="7" t="s">
        <v>27</v>
      </c>
      <c r="E29" s="73"/>
      <c r="F29" s="135">
        <v>1.43E-2</v>
      </c>
      <c r="G29" s="74">
        <f>$F$18</f>
        <v>800</v>
      </c>
      <c r="H29" s="136">
        <f t="shared" si="0"/>
        <v>11.44</v>
      </c>
      <c r="I29" s="76"/>
      <c r="J29" s="132">
        <v>1.7899999999999999E-2</v>
      </c>
      <c r="K29" s="74">
        <f>$F$18</f>
        <v>800</v>
      </c>
      <c r="L29" s="136">
        <f t="shared" si="1"/>
        <v>14.32</v>
      </c>
      <c r="M29" s="76"/>
      <c r="N29" s="137">
        <f t="shared" si="2"/>
        <v>2.8800000000000008</v>
      </c>
      <c r="O29" s="79">
        <f t="shared" si="3"/>
        <v>0.25174825174825183</v>
      </c>
    </row>
    <row r="30" spans="2:15" x14ac:dyDescent="0.3">
      <c r="B30" s="73" t="s">
        <v>28</v>
      </c>
      <c r="C30" s="73"/>
      <c r="D30" s="7" t="s">
        <v>24</v>
      </c>
      <c r="E30" s="73"/>
      <c r="F30" s="135">
        <v>-0.03</v>
      </c>
      <c r="G30" s="74">
        <v>1</v>
      </c>
      <c r="H30" s="136">
        <f t="shared" si="0"/>
        <v>-0.03</v>
      </c>
      <c r="I30" s="76"/>
      <c r="J30" s="132"/>
      <c r="K30" s="74">
        <f>$F$18</f>
        <v>800</v>
      </c>
      <c r="L30" s="136">
        <f t="shared" si="1"/>
        <v>0</v>
      </c>
      <c r="M30" s="76"/>
      <c r="N30" s="137">
        <f t="shared" si="2"/>
        <v>0.03</v>
      </c>
      <c r="O30" s="79">
        <f t="shared" si="3"/>
        <v>-1</v>
      </c>
    </row>
    <row r="31" spans="2:15" x14ac:dyDescent="0.3">
      <c r="B31" s="73" t="s">
        <v>29</v>
      </c>
      <c r="C31" s="73"/>
      <c r="D31" s="7" t="s">
        <v>27</v>
      </c>
      <c r="E31" s="73"/>
      <c r="F31" s="135">
        <v>2.9999999999999997E-4</v>
      </c>
      <c r="G31" s="74">
        <f>$F$18</f>
        <v>800</v>
      </c>
      <c r="H31" s="136">
        <f t="shared" si="0"/>
        <v>0.24</v>
      </c>
      <c r="I31" s="76"/>
      <c r="J31" s="132">
        <v>2.0000000000000001E-4</v>
      </c>
      <c r="K31" s="74">
        <f>$F$18</f>
        <v>800</v>
      </c>
      <c r="L31" s="136">
        <f t="shared" si="1"/>
        <v>0.16</v>
      </c>
      <c r="M31" s="76"/>
      <c r="N31" s="137">
        <f t="shared" si="2"/>
        <v>-7.9999999999999988E-2</v>
      </c>
      <c r="O31" s="79">
        <f t="shared" si="3"/>
        <v>-0.33333333333333331</v>
      </c>
    </row>
    <row r="32" spans="2:15" x14ac:dyDescent="0.3">
      <c r="B32" s="11" t="s">
        <v>30</v>
      </c>
      <c r="C32" s="73"/>
      <c r="D32" s="7" t="s">
        <v>27</v>
      </c>
      <c r="E32" s="73"/>
      <c r="F32" s="135">
        <v>1.8E-3</v>
      </c>
      <c r="G32" s="74">
        <f>$F$18</f>
        <v>800</v>
      </c>
      <c r="H32" s="136">
        <f t="shared" si="0"/>
        <v>1.44</v>
      </c>
      <c r="I32" s="76"/>
      <c r="J32" s="132"/>
      <c r="K32" s="74">
        <f>$F$18</f>
        <v>800</v>
      </c>
      <c r="L32" s="136">
        <f t="shared" si="1"/>
        <v>0</v>
      </c>
      <c r="M32" s="76"/>
      <c r="N32" s="137">
        <f t="shared" si="2"/>
        <v>-1.44</v>
      </c>
      <c r="O32" s="79">
        <f t="shared" si="3"/>
        <v>-1</v>
      </c>
    </row>
    <row r="33" spans="1:63" x14ac:dyDescent="0.3">
      <c r="B33" s="11" t="s">
        <v>31</v>
      </c>
      <c r="C33" s="73"/>
      <c r="D33" s="7" t="s">
        <v>27</v>
      </c>
      <c r="E33" s="73"/>
      <c r="F33" s="135">
        <v>-2.9999999999999997E-4</v>
      </c>
      <c r="G33" s="74">
        <f>$F$18</f>
        <v>800</v>
      </c>
      <c r="H33" s="136">
        <f t="shared" si="0"/>
        <v>-0.24</v>
      </c>
      <c r="I33" s="76"/>
      <c r="J33" s="132"/>
      <c r="K33" s="74">
        <f>$F$18</f>
        <v>800</v>
      </c>
      <c r="L33" s="136">
        <f t="shared" si="1"/>
        <v>0</v>
      </c>
      <c r="M33" s="76"/>
      <c r="N33" s="137">
        <f t="shared" si="2"/>
        <v>0.24</v>
      </c>
      <c r="O33" s="79">
        <f t="shared" si="3"/>
        <v>-1</v>
      </c>
    </row>
    <row r="34" spans="1:63" x14ac:dyDescent="0.3">
      <c r="B34" s="11" t="s">
        <v>32</v>
      </c>
      <c r="C34" s="73"/>
      <c r="D34" s="7" t="s">
        <v>24</v>
      </c>
      <c r="E34" s="73"/>
      <c r="F34" s="135">
        <v>0</v>
      </c>
      <c r="G34" s="74">
        <v>1</v>
      </c>
      <c r="H34" s="136">
        <f t="shared" si="0"/>
        <v>0</v>
      </c>
      <c r="I34" s="76"/>
      <c r="J34" s="132">
        <v>0.76</v>
      </c>
      <c r="K34" s="74">
        <v>1</v>
      </c>
      <c r="L34" s="136">
        <f t="shared" si="1"/>
        <v>0.76</v>
      </c>
      <c r="M34" s="76"/>
      <c r="N34" s="137">
        <f t="shared" si="2"/>
        <v>0.76</v>
      </c>
      <c r="O34" s="79" t="str">
        <f t="shared" si="3"/>
        <v/>
      </c>
    </row>
    <row r="35" spans="1:63" x14ac:dyDescent="0.3">
      <c r="B35" s="12" t="s">
        <v>33</v>
      </c>
      <c r="C35" s="73"/>
      <c r="D35" s="7" t="s">
        <v>27</v>
      </c>
      <c r="E35" s="73"/>
      <c r="F35" s="134"/>
      <c r="G35" s="74">
        <f>$F$18</f>
        <v>800</v>
      </c>
      <c r="H35" s="136">
        <f t="shared" si="0"/>
        <v>0</v>
      </c>
      <c r="I35" s="76"/>
      <c r="J35" s="132">
        <v>-1E-4</v>
      </c>
      <c r="K35" s="74">
        <f>$F$18</f>
        <v>800</v>
      </c>
      <c r="L35" s="136">
        <f t="shared" si="1"/>
        <v>-0.08</v>
      </c>
      <c r="M35" s="76"/>
      <c r="N35" s="137">
        <f t="shared" si="2"/>
        <v>-0.08</v>
      </c>
      <c r="O35" s="79" t="str">
        <f t="shared" si="3"/>
        <v/>
      </c>
    </row>
    <row r="36" spans="1:63" x14ac:dyDescent="0.3">
      <c r="B36" s="12" t="s">
        <v>77</v>
      </c>
      <c r="C36" s="73"/>
      <c r="D36" s="7" t="s">
        <v>27</v>
      </c>
      <c r="E36" s="73"/>
      <c r="F36" s="134"/>
      <c r="G36" s="74">
        <f>$F$18</f>
        <v>800</v>
      </c>
      <c r="H36" s="136">
        <f t="shared" si="0"/>
        <v>0</v>
      </c>
      <c r="I36" s="76"/>
      <c r="J36" s="132">
        <v>2.0000000000000001E-4</v>
      </c>
      <c r="K36" s="74">
        <f>$F$18</f>
        <v>800</v>
      </c>
      <c r="L36" s="136">
        <f t="shared" si="1"/>
        <v>0.16</v>
      </c>
      <c r="M36" s="76"/>
      <c r="N36" s="137">
        <f t="shared" si="2"/>
        <v>0.16</v>
      </c>
      <c r="O36" s="79" t="str">
        <f t="shared" si="3"/>
        <v/>
      </c>
    </row>
    <row r="37" spans="1:63" x14ac:dyDescent="0.3">
      <c r="B37" s="12"/>
      <c r="C37" s="73"/>
      <c r="D37" s="7"/>
      <c r="E37" s="73"/>
      <c r="F37" s="131"/>
      <c r="G37" s="74">
        <f>$F$18</f>
        <v>800</v>
      </c>
      <c r="H37" s="136">
        <f t="shared" si="0"/>
        <v>0</v>
      </c>
      <c r="I37" s="76"/>
      <c r="J37" s="131"/>
      <c r="K37" s="74">
        <f>$F$18</f>
        <v>800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</row>
    <row r="38" spans="1:63" x14ac:dyDescent="0.3">
      <c r="B38" s="12"/>
      <c r="C38" s="73"/>
      <c r="D38" s="7"/>
      <c r="E38" s="73"/>
      <c r="F38" s="131"/>
      <c r="G38" s="74">
        <f>$F$18</f>
        <v>800</v>
      </c>
      <c r="H38" s="136">
        <f t="shared" si="0"/>
        <v>0</v>
      </c>
      <c r="I38" s="76"/>
      <c r="J38" s="131"/>
      <c r="K38" s="74">
        <f>$F$18</f>
        <v>800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</row>
    <row r="39" spans="1:63" s="4" customFormat="1" x14ac:dyDescent="0.3">
      <c r="A39" s="60"/>
      <c r="B39" s="19" t="s">
        <v>34</v>
      </c>
      <c r="C39" s="20"/>
      <c r="D39" s="20"/>
      <c r="E39" s="20"/>
      <c r="F39" s="21"/>
      <c r="G39" s="22"/>
      <c r="H39" s="23">
        <f>SUM(H23:H38)</f>
        <v>28.45</v>
      </c>
      <c r="I39" s="13"/>
      <c r="J39" s="14"/>
      <c r="K39" s="24"/>
      <c r="L39" s="23">
        <f>SUM(L23:L38)</f>
        <v>31.750000000000004</v>
      </c>
      <c r="M39" s="13"/>
      <c r="N39" s="15">
        <f t="shared" si="2"/>
        <v>3.3000000000000043</v>
      </c>
      <c r="O39" s="16">
        <f t="shared" si="3"/>
        <v>0.115992970123023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35</v>
      </c>
      <c r="C40" s="73"/>
      <c r="D40" s="7" t="s">
        <v>27</v>
      </c>
      <c r="E40" s="73"/>
      <c r="F40" s="135">
        <v>2.9999999999999997E-4</v>
      </c>
      <c r="G40" s="74">
        <f>$F$18</f>
        <v>800</v>
      </c>
      <c r="H40" s="136">
        <f t="shared" ref="H40:H46" si="4">G40*F40</f>
        <v>0.24</v>
      </c>
      <c r="I40" s="76"/>
      <c r="J40" s="135">
        <v>-6.9999999999999999E-4</v>
      </c>
      <c r="K40" s="74">
        <f>$F$18</f>
        <v>800</v>
      </c>
      <c r="L40" s="136">
        <f t="shared" ref="L40:L46" si="5">K40*J40</f>
        <v>-0.55999999999999994</v>
      </c>
      <c r="M40" s="76"/>
      <c r="N40" s="137">
        <f t="shared" si="2"/>
        <v>-0.79999999999999993</v>
      </c>
      <c r="O40" s="79">
        <f t="shared" si="3"/>
        <v>-3.333333333333333</v>
      </c>
    </row>
    <row r="41" spans="1:63" x14ac:dyDescent="0.3">
      <c r="B41" s="17"/>
      <c r="C41" s="73"/>
      <c r="D41" s="7"/>
      <c r="E41" s="73"/>
      <c r="F41" s="8"/>
      <c r="G41" s="74">
        <f>$F$18</f>
        <v>800</v>
      </c>
      <c r="H41" s="136">
        <f t="shared" si="4"/>
        <v>0</v>
      </c>
      <c r="I41" s="82"/>
      <c r="J41" s="8"/>
      <c r="K41" s="74">
        <f>$F$18</f>
        <v>800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</row>
    <row r="42" spans="1:63" x14ac:dyDescent="0.3">
      <c r="B42" s="17"/>
      <c r="C42" s="73"/>
      <c r="D42" s="7"/>
      <c r="E42" s="73"/>
      <c r="F42" s="8"/>
      <c r="G42" s="74">
        <f>$F$18</f>
        <v>800</v>
      </c>
      <c r="H42" s="136">
        <f t="shared" si="4"/>
        <v>0</v>
      </c>
      <c r="I42" s="82"/>
      <c r="J42" s="8"/>
      <c r="K42" s="74">
        <f>$F$18</f>
        <v>800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</row>
    <row r="43" spans="1:63" x14ac:dyDescent="0.3">
      <c r="B43" s="17"/>
      <c r="C43" s="73"/>
      <c r="D43" s="7"/>
      <c r="E43" s="73"/>
      <c r="F43" s="8"/>
      <c r="G43" s="74">
        <f>$F$18</f>
        <v>800</v>
      </c>
      <c r="H43" s="136">
        <f t="shared" si="4"/>
        <v>0</v>
      </c>
      <c r="I43" s="82"/>
      <c r="J43" s="8"/>
      <c r="K43" s="74">
        <f>$F$18</f>
        <v>800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</row>
    <row r="44" spans="1:63" x14ac:dyDescent="0.3">
      <c r="B44" s="80" t="s">
        <v>36</v>
      </c>
      <c r="C44" s="73"/>
      <c r="D44" s="7" t="s">
        <v>27</v>
      </c>
      <c r="E44" s="73"/>
      <c r="F44" s="135">
        <v>2.0000000000000001E-4</v>
      </c>
      <c r="G44" s="74">
        <f>$F$18</f>
        <v>800</v>
      </c>
      <c r="H44" s="136">
        <f t="shared" si="4"/>
        <v>0.16</v>
      </c>
      <c r="I44" s="76"/>
      <c r="J44" s="135">
        <v>4.0000000000000002E-4</v>
      </c>
      <c r="K44" s="74">
        <f>$F$18</f>
        <v>800</v>
      </c>
      <c r="L44" s="136">
        <f t="shared" si="5"/>
        <v>0.32</v>
      </c>
      <c r="M44" s="76"/>
      <c r="N44" s="137">
        <f t="shared" si="2"/>
        <v>0.16</v>
      </c>
      <c r="O44" s="79">
        <f t="shared" si="3"/>
        <v>1</v>
      </c>
    </row>
    <row r="45" spans="1:63" x14ac:dyDescent="0.3">
      <c r="B45" s="80" t="s">
        <v>37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8.3919999999999995E-2</v>
      </c>
      <c r="G45" s="18">
        <f>$F$18*(1+$F$74)-$F$18</f>
        <v>30.160000000000082</v>
      </c>
      <c r="H45" s="136">
        <f t="shared" si="4"/>
        <v>2.5310272000000067</v>
      </c>
      <c r="I45" s="76"/>
      <c r="J45" s="138">
        <f>0.64*$F55+0.18*$F56+0.18*$F57</f>
        <v>8.3919999999999995E-2</v>
      </c>
      <c r="K45" s="18">
        <f>$F$18*(1+$J$74)-$F$18</f>
        <v>30.080000000000041</v>
      </c>
      <c r="L45" s="136">
        <f t="shared" si="5"/>
        <v>2.5243136000000033</v>
      </c>
      <c r="M45" s="76"/>
      <c r="N45" s="137">
        <f t="shared" si="2"/>
        <v>-6.7136000000034279E-3</v>
      </c>
      <c r="O45" s="79">
        <f t="shared" si="3"/>
        <v>-2.6525198939005516E-3</v>
      </c>
    </row>
    <row r="46" spans="1:63" x14ac:dyDescent="0.3">
      <c r="B46" s="80" t="s">
        <v>38</v>
      </c>
      <c r="C46" s="73"/>
      <c r="D46" s="7" t="s">
        <v>24</v>
      </c>
      <c r="E46" s="73"/>
      <c r="F46" s="138">
        <v>0.79</v>
      </c>
      <c r="G46" s="74">
        <v>1</v>
      </c>
      <c r="H46" s="136">
        <f t="shared" si="4"/>
        <v>0.79</v>
      </c>
      <c r="I46" s="76"/>
      <c r="J46" s="138">
        <v>0.79</v>
      </c>
      <c r="K46" s="81">
        <v>1</v>
      </c>
      <c r="L46" s="136">
        <f t="shared" si="5"/>
        <v>0.79</v>
      </c>
      <c r="M46" s="76"/>
      <c r="N46" s="137">
        <f t="shared" si="2"/>
        <v>0</v>
      </c>
      <c r="O46" s="79"/>
    </row>
    <row r="47" spans="1:63" s="4" customFormat="1" x14ac:dyDescent="0.3">
      <c r="A47" s="60"/>
      <c r="B47" s="19" t="s">
        <v>39</v>
      </c>
      <c r="C47" s="20"/>
      <c r="D47" s="20"/>
      <c r="E47" s="20"/>
      <c r="F47" s="21"/>
      <c r="G47" s="22"/>
      <c r="H47" s="23">
        <f>SUM(H40:H46)+H39</f>
        <v>32.171027200000005</v>
      </c>
      <c r="I47" s="13"/>
      <c r="J47" s="22"/>
      <c r="K47" s="24"/>
      <c r="L47" s="23">
        <f>SUM(L40:L46)+L39</f>
        <v>34.824313600000011</v>
      </c>
      <c r="M47" s="13"/>
      <c r="N47" s="15">
        <f t="shared" si="2"/>
        <v>2.653286400000006</v>
      </c>
      <c r="O47" s="16">
        <f t="shared" ref="O47:O59" si="6">IF((H47)=0,"",(N47/H47))</f>
        <v>8.2474407282836323E-2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40</v>
      </c>
      <c r="C48" s="76"/>
      <c r="D48" s="25" t="s">
        <v>27</v>
      </c>
      <c r="E48" s="76"/>
      <c r="F48" s="135">
        <v>8.0000000000000002E-3</v>
      </c>
      <c r="G48" s="18">
        <f>F18*(1+F74)</f>
        <v>830.16000000000008</v>
      </c>
      <c r="H48" s="136">
        <f>G48*F48</f>
        <v>6.641280000000001</v>
      </c>
      <c r="I48" s="76"/>
      <c r="J48" s="135">
        <v>7.4999999999999997E-3</v>
      </c>
      <c r="K48" s="18">
        <f>F18*(1+J74)</f>
        <v>830.08</v>
      </c>
      <c r="L48" s="136">
        <f>K48*J48</f>
        <v>6.2256</v>
      </c>
      <c r="M48" s="76"/>
      <c r="N48" s="136">
        <f t="shared" si="2"/>
        <v>-0.41568000000000094</v>
      </c>
      <c r="O48" s="79">
        <f t="shared" si="6"/>
        <v>-6.2590344030066622E-2</v>
      </c>
    </row>
    <row r="49" spans="1:63" x14ac:dyDescent="0.3">
      <c r="B49" s="85" t="s">
        <v>41</v>
      </c>
      <c r="C49" s="76"/>
      <c r="D49" s="25" t="s">
        <v>27</v>
      </c>
      <c r="E49" s="76"/>
      <c r="F49" s="135">
        <v>5.4999999999999997E-3</v>
      </c>
      <c r="G49" s="18">
        <f>G48</f>
        <v>830.16000000000008</v>
      </c>
      <c r="H49" s="136">
        <f>G49*F49</f>
        <v>4.5658799999999999</v>
      </c>
      <c r="I49" s="76"/>
      <c r="J49" s="135">
        <v>3.8999999999999998E-3</v>
      </c>
      <c r="K49" s="18">
        <f>K48</f>
        <v>830.08</v>
      </c>
      <c r="L49" s="136">
        <f>K49*J49</f>
        <v>3.2373120000000002</v>
      </c>
      <c r="M49" s="76"/>
      <c r="N49" s="136">
        <f t="shared" si="2"/>
        <v>-1.3285679999999997</v>
      </c>
      <c r="O49" s="79">
        <f t="shared" si="6"/>
        <v>-0.29097742384819569</v>
      </c>
    </row>
    <row r="50" spans="1:63" s="4" customFormat="1" x14ac:dyDescent="0.3">
      <c r="A50" s="60"/>
      <c r="B50" s="19" t="s">
        <v>42</v>
      </c>
      <c r="C50" s="20"/>
      <c r="D50" s="20"/>
      <c r="E50" s="20"/>
      <c r="F50" s="21"/>
      <c r="G50" s="22"/>
      <c r="H50" s="23">
        <f>SUM(H47:H49)</f>
        <v>43.378187200000006</v>
      </c>
      <c r="I50" s="13"/>
      <c r="J50" s="26"/>
      <c r="K50" s="22"/>
      <c r="L50" s="23">
        <f>SUM(L47:L49)</f>
        <v>44.287225600000014</v>
      </c>
      <c r="M50" s="13"/>
      <c r="N50" s="15">
        <f t="shared" si="2"/>
        <v>0.90903840000000713</v>
      </c>
      <c r="O50" s="16">
        <f t="shared" si="6"/>
        <v>2.0956117778937682E-2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43</v>
      </c>
      <c r="C51" s="73"/>
      <c r="D51" s="7" t="s">
        <v>27</v>
      </c>
      <c r="E51" s="73"/>
      <c r="F51" s="135">
        <v>4.4000000000000003E-3</v>
      </c>
      <c r="G51" s="18">
        <f>G49</f>
        <v>830.16000000000008</v>
      </c>
      <c r="H51" s="139">
        <f t="shared" ref="H51:H59" si="7">G51*F51</f>
        <v>3.6527040000000004</v>
      </c>
      <c r="I51" s="76"/>
      <c r="J51" s="135">
        <v>4.4000000000000003E-3</v>
      </c>
      <c r="K51" s="18">
        <f>K49</f>
        <v>830.08</v>
      </c>
      <c r="L51" s="139">
        <f t="shared" ref="L51:L59" si="8">K51*J51</f>
        <v>3.6523520000000005</v>
      </c>
      <c r="M51" s="76"/>
      <c r="N51" s="137">
        <f t="shared" si="2"/>
        <v>-3.5199999999990794E-4</v>
      </c>
      <c r="O51" s="87">
        <f t="shared" si="6"/>
        <v>-9.6366965404234207E-5</v>
      </c>
    </row>
    <row r="52" spans="1:63" x14ac:dyDescent="0.3">
      <c r="B52" s="86" t="s">
        <v>44</v>
      </c>
      <c r="C52" s="73"/>
      <c r="D52" s="7" t="s">
        <v>27</v>
      </c>
      <c r="E52" s="73"/>
      <c r="F52" s="135">
        <v>1.1999999999999999E-3</v>
      </c>
      <c r="G52" s="18">
        <f>G49</f>
        <v>830.16000000000008</v>
      </c>
      <c r="H52" s="139">
        <f t="shared" si="7"/>
        <v>0.99619199999999997</v>
      </c>
      <c r="I52" s="76"/>
      <c r="J52" s="135">
        <v>1.1999999999999999E-3</v>
      </c>
      <c r="K52" s="18">
        <f>K49</f>
        <v>830.08</v>
      </c>
      <c r="L52" s="139">
        <f t="shared" si="8"/>
        <v>0.99609599999999998</v>
      </c>
      <c r="M52" s="76"/>
      <c r="N52" s="137">
        <f t="shared" si="2"/>
        <v>-9.5999999999984986E-5</v>
      </c>
      <c r="O52" s="87">
        <f t="shared" si="6"/>
        <v>-9.6366965404244358E-5</v>
      </c>
    </row>
    <row r="53" spans="1:63" x14ac:dyDescent="0.3">
      <c r="B53" s="73" t="s">
        <v>45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</row>
    <row r="54" spans="1:63" x14ac:dyDescent="0.3">
      <c r="B54" s="73" t="s">
        <v>46</v>
      </c>
      <c r="C54" s="73"/>
      <c r="D54" s="7" t="s">
        <v>27</v>
      </c>
      <c r="E54" s="73"/>
      <c r="F54" s="135">
        <v>7.0000000000000001E-3</v>
      </c>
      <c r="G54" s="84">
        <f>F18</f>
        <v>800</v>
      </c>
      <c r="H54" s="139">
        <f t="shared" si="7"/>
        <v>5.6000000000000005</v>
      </c>
      <c r="I54" s="76"/>
      <c r="J54" s="135">
        <v>7.0000000000000001E-3</v>
      </c>
      <c r="K54" s="77">
        <f>F18</f>
        <v>800</v>
      </c>
      <c r="L54" s="139">
        <f t="shared" si="8"/>
        <v>5.6000000000000005</v>
      </c>
      <c r="M54" s="76"/>
      <c r="N54" s="137">
        <f t="shared" si="2"/>
        <v>0</v>
      </c>
      <c r="O54" s="87">
        <f t="shared" si="6"/>
        <v>0</v>
      </c>
    </row>
    <row r="55" spans="1:63" x14ac:dyDescent="0.3">
      <c r="B55" s="80" t="s">
        <v>47</v>
      </c>
      <c r="C55" s="73"/>
      <c r="D55" s="7" t="s">
        <v>27</v>
      </c>
      <c r="E55" s="73"/>
      <c r="F55" s="138">
        <v>6.7000000000000004E-2</v>
      </c>
      <c r="G55" s="27">
        <f>0.64*$F$18</f>
        <v>512</v>
      </c>
      <c r="H55" s="139">
        <f t="shared" si="7"/>
        <v>34.304000000000002</v>
      </c>
      <c r="I55" s="76"/>
      <c r="J55" s="138">
        <v>6.7000000000000004E-2</v>
      </c>
      <c r="K55" s="28">
        <f>G55</f>
        <v>512</v>
      </c>
      <c r="L55" s="139">
        <f t="shared" si="8"/>
        <v>34.304000000000002</v>
      </c>
      <c r="M55" s="76"/>
      <c r="N55" s="137">
        <f t="shared" si="2"/>
        <v>0</v>
      </c>
      <c r="O55" s="87">
        <f t="shared" si="6"/>
        <v>0</v>
      </c>
      <c r="S55" s="127"/>
    </row>
    <row r="56" spans="1:63" x14ac:dyDescent="0.3">
      <c r="B56" s="80" t="s">
        <v>48</v>
      </c>
      <c r="C56" s="73"/>
      <c r="D56" s="7" t="s">
        <v>27</v>
      </c>
      <c r="E56" s="73"/>
      <c r="F56" s="138">
        <v>0.104</v>
      </c>
      <c r="G56" s="27">
        <f>0.18*$F$18</f>
        <v>144</v>
      </c>
      <c r="H56" s="139">
        <f t="shared" si="7"/>
        <v>14.975999999999999</v>
      </c>
      <c r="I56" s="76"/>
      <c r="J56" s="138">
        <v>0.104</v>
      </c>
      <c r="K56" s="28">
        <f>G56</f>
        <v>144</v>
      </c>
      <c r="L56" s="139">
        <f t="shared" si="8"/>
        <v>14.975999999999999</v>
      </c>
      <c r="M56" s="76"/>
      <c r="N56" s="137">
        <f t="shared" si="2"/>
        <v>0</v>
      </c>
      <c r="O56" s="87">
        <f t="shared" si="6"/>
        <v>0</v>
      </c>
      <c r="S56" s="127"/>
    </row>
    <row r="57" spans="1:63" x14ac:dyDescent="0.3">
      <c r="B57" s="64" t="s">
        <v>49</v>
      </c>
      <c r="C57" s="73"/>
      <c r="D57" s="7" t="s">
        <v>27</v>
      </c>
      <c r="E57" s="73"/>
      <c r="F57" s="138">
        <v>0.124</v>
      </c>
      <c r="G57" s="27">
        <f>0.18*$F$18</f>
        <v>144</v>
      </c>
      <c r="H57" s="139">
        <f t="shared" si="7"/>
        <v>17.856000000000002</v>
      </c>
      <c r="I57" s="76"/>
      <c r="J57" s="138">
        <v>0.124</v>
      </c>
      <c r="K57" s="28">
        <f>G57</f>
        <v>144</v>
      </c>
      <c r="L57" s="139">
        <f t="shared" si="8"/>
        <v>17.856000000000002</v>
      </c>
      <c r="M57" s="76"/>
      <c r="N57" s="137">
        <f t="shared" si="2"/>
        <v>0</v>
      </c>
      <c r="O57" s="87">
        <f t="shared" si="6"/>
        <v>0</v>
      </c>
      <c r="S57" s="127"/>
    </row>
    <row r="58" spans="1:63" s="92" customFormat="1" x14ac:dyDescent="0.25">
      <c r="B58" s="89" t="s">
        <v>50</v>
      </c>
      <c r="C58" s="90"/>
      <c r="D58" s="29" t="s">
        <v>27</v>
      </c>
      <c r="E58" s="90"/>
      <c r="F58" s="138">
        <v>7.4999999999999997E-2</v>
      </c>
      <c r="G58" s="30">
        <f>IF(AND($T$1=1, F18&gt;=600), 600, IF(AND($T$1=1, AND(F18&lt;600, F18&gt;=0)), F18, IF(AND($T$1=2, F18&gt;=1000), 1000, IF(AND($T$1=2, AND(F18&lt;1000, F18&gt;=0)), F18))))</f>
        <v>600</v>
      </c>
      <c r="H58" s="139">
        <f t="shared" si="7"/>
        <v>45</v>
      </c>
      <c r="I58" s="91"/>
      <c r="J58" s="138">
        <v>7.4999999999999997E-2</v>
      </c>
      <c r="K58" s="31">
        <f>G58</f>
        <v>600</v>
      </c>
      <c r="L58" s="139">
        <f t="shared" si="8"/>
        <v>45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51</v>
      </c>
      <c r="C59" s="90"/>
      <c r="D59" s="29" t="s">
        <v>27</v>
      </c>
      <c r="E59" s="90"/>
      <c r="F59" s="138">
        <v>8.7999999999999995E-2</v>
      </c>
      <c r="G59" s="30">
        <f>IF(AND($T$1=1, F18&gt;=600), F18-600, IF(AND($T$1=1, AND(F18&lt;600, F18&gt;=0)), 0, IF(AND($T$1=2, F18&gt;=1000), F18-1000, IF(AND($T$1=2, AND(F18&lt;1000, F18&gt;=0)), 0))))</f>
        <v>200</v>
      </c>
      <c r="H59" s="139">
        <f t="shared" si="7"/>
        <v>17.599999999999998</v>
      </c>
      <c r="I59" s="91"/>
      <c r="J59" s="138">
        <v>8.7999999999999995E-2</v>
      </c>
      <c r="K59" s="31">
        <f>G59</f>
        <v>200</v>
      </c>
      <c r="L59" s="139">
        <f t="shared" si="8"/>
        <v>17.599999999999998</v>
      </c>
      <c r="M59" s="91"/>
      <c r="N59" s="140">
        <f t="shared" si="2"/>
        <v>0</v>
      </c>
      <c r="O59" s="87">
        <f t="shared" si="6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52</v>
      </c>
      <c r="C61" s="73"/>
      <c r="D61" s="73"/>
      <c r="E61" s="73"/>
      <c r="F61" s="94"/>
      <c r="G61" s="95"/>
      <c r="H61" s="141">
        <f>SUM(H51:H57,H50)</f>
        <v>121.01308320000001</v>
      </c>
      <c r="I61" s="96"/>
      <c r="J61" s="97"/>
      <c r="K61" s="97"/>
      <c r="L61" s="144">
        <f>SUM(L51:L57,L50)</f>
        <v>121.92167360000001</v>
      </c>
      <c r="M61" s="145"/>
      <c r="N61" s="146">
        <f>L61-H61</f>
        <v>0.90859039999999425</v>
      </c>
      <c r="O61" s="98">
        <f>IF((H61)=0,"",(N61/H61))</f>
        <v>7.5081997414969933E-3</v>
      </c>
      <c r="S61" s="127"/>
    </row>
    <row r="62" spans="1:63" x14ac:dyDescent="0.3">
      <c r="B62" s="99" t="s">
        <v>53</v>
      </c>
      <c r="C62" s="73"/>
      <c r="D62" s="73"/>
      <c r="E62" s="73"/>
      <c r="F62" s="100">
        <v>0.13</v>
      </c>
      <c r="G62" s="101"/>
      <c r="H62" s="142">
        <f>H61*F62</f>
        <v>15.731700816000002</v>
      </c>
      <c r="I62" s="102"/>
      <c r="J62" s="103">
        <v>0.13</v>
      </c>
      <c r="K62" s="102"/>
      <c r="L62" s="147">
        <f>L61*J62</f>
        <v>15.849817568000001</v>
      </c>
      <c r="M62" s="148"/>
      <c r="N62" s="149">
        <f>L62-H62</f>
        <v>0.11811675199999883</v>
      </c>
      <c r="O62" s="104">
        <f>IF((H62)=0,"",(N62/H62))</f>
        <v>7.5081997414969664E-3</v>
      </c>
      <c r="S62" s="127"/>
    </row>
    <row r="63" spans="1:63" x14ac:dyDescent="0.3">
      <c r="B63" s="105" t="s">
        <v>54</v>
      </c>
      <c r="C63" s="73"/>
      <c r="D63" s="73"/>
      <c r="E63" s="73"/>
      <c r="F63" s="106"/>
      <c r="G63" s="101"/>
      <c r="H63" s="142">
        <f>H61+H62</f>
        <v>136.74478401600001</v>
      </c>
      <c r="I63" s="102"/>
      <c r="J63" s="102"/>
      <c r="K63" s="102"/>
      <c r="L63" s="147">
        <f>L61+L62</f>
        <v>137.77149116800001</v>
      </c>
      <c r="M63" s="148"/>
      <c r="N63" s="149">
        <f>L63-H63</f>
        <v>1.0267071520000002</v>
      </c>
      <c r="O63" s="104">
        <f>IF((H63)=0,"",(N63/H63))</f>
        <v>7.5081997414970427E-3</v>
      </c>
      <c r="S63" s="127"/>
    </row>
    <row r="64" spans="1:63" ht="14.4" customHeight="1" x14ac:dyDescent="0.3">
      <c r="B64" s="172" t="s">
        <v>55</v>
      </c>
      <c r="C64" s="172"/>
      <c r="D64" s="172"/>
      <c r="E64" s="73"/>
      <c r="F64" s="106"/>
      <c r="G64" s="101"/>
      <c r="H64" s="143">
        <f>ROUND(-H63*10%,2)</f>
        <v>-13.67</v>
      </c>
      <c r="I64" s="102"/>
      <c r="J64" s="102"/>
      <c r="K64" s="102"/>
      <c r="L64" s="150">
        <f>ROUND(-L63*10%,2)</f>
        <v>-13.78</v>
      </c>
      <c r="M64" s="148"/>
      <c r="N64" s="151">
        <f>L64-H64</f>
        <v>-0.10999999999999943</v>
      </c>
      <c r="O64" s="107">
        <f>IF((H64)=0,"",(N64/H64))</f>
        <v>8.046817849305006E-3</v>
      </c>
    </row>
    <row r="65" spans="1:63" s="4" customFormat="1" ht="15" thickBot="1" x14ac:dyDescent="0.35">
      <c r="A65" s="60"/>
      <c r="B65" s="173" t="s">
        <v>56</v>
      </c>
      <c r="C65" s="173"/>
      <c r="D65" s="173"/>
      <c r="E65" s="42"/>
      <c r="F65" s="43"/>
      <c r="G65" s="44"/>
      <c r="H65" s="45">
        <f>H63+H64</f>
        <v>123.07478401600001</v>
      </c>
      <c r="I65" s="46"/>
      <c r="J65" s="46"/>
      <c r="K65" s="46"/>
      <c r="L65" s="47">
        <f>L63+L64</f>
        <v>123.99149116800001</v>
      </c>
      <c r="M65" s="48"/>
      <c r="N65" s="49">
        <f>L65-H65</f>
        <v>0.91670715200000075</v>
      </c>
      <c r="O65" s="50">
        <f>IF((H65)=0,"",(N65/H65))</f>
        <v>7.4483750617902909E-3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57</v>
      </c>
      <c r="C67" s="90"/>
      <c r="D67" s="90"/>
      <c r="E67" s="90"/>
      <c r="F67" s="109"/>
      <c r="G67" s="110"/>
      <c r="H67" s="152">
        <f>SUM(H58:H59,H50,H51:H54)</f>
        <v>116.4770832</v>
      </c>
      <c r="I67" s="111"/>
      <c r="J67" s="112"/>
      <c r="K67" s="112"/>
      <c r="L67" s="155">
        <f>SUM(L58:L59,L50,L51:L54)</f>
        <v>117.38567359999999</v>
      </c>
      <c r="M67" s="156"/>
      <c r="N67" s="157">
        <f>L67-H67</f>
        <v>0.90859039999999425</v>
      </c>
      <c r="O67" s="98">
        <f>IF((H67)=0,"",(N67/H67))</f>
        <v>7.8005936879435378E-3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53</v>
      </c>
      <c r="C68" s="90"/>
      <c r="D68" s="90"/>
      <c r="E68" s="90"/>
      <c r="F68" s="114">
        <v>0.13</v>
      </c>
      <c r="G68" s="110"/>
      <c r="H68" s="153">
        <f>H67*F68</f>
        <v>15.142020816</v>
      </c>
      <c r="I68" s="115"/>
      <c r="J68" s="116">
        <v>0.13</v>
      </c>
      <c r="K68" s="117"/>
      <c r="L68" s="158">
        <f>L67*J68</f>
        <v>15.260137567999999</v>
      </c>
      <c r="M68" s="159"/>
      <c r="N68" s="160">
        <f>L68-H68</f>
        <v>0.11811675199999883</v>
      </c>
      <c r="O68" s="104">
        <f>IF((H68)=0,"",(N68/H68))</f>
        <v>7.8005936879435092E-3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54</v>
      </c>
      <c r="C69" s="90"/>
      <c r="D69" s="90"/>
      <c r="E69" s="90"/>
      <c r="F69" s="119"/>
      <c r="G69" s="120"/>
      <c r="H69" s="153">
        <f>H67+H68</f>
        <v>131.61910401599999</v>
      </c>
      <c r="I69" s="115"/>
      <c r="J69" s="115"/>
      <c r="K69" s="115"/>
      <c r="L69" s="158">
        <f>L67+L68</f>
        <v>132.64581116799999</v>
      </c>
      <c r="M69" s="159"/>
      <c r="N69" s="160">
        <f>L69-H69</f>
        <v>1.0267071520000002</v>
      </c>
      <c r="O69" s="104">
        <f>IF((H69)=0,"",(N69/H69))</f>
        <v>7.8005936879435881E-3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55</v>
      </c>
      <c r="C70" s="174"/>
      <c r="D70" s="174"/>
      <c r="E70" s="90"/>
      <c r="F70" s="119"/>
      <c r="G70" s="120"/>
      <c r="H70" s="154">
        <f>ROUND(-H69*10%,2)</f>
        <v>-13.16</v>
      </c>
      <c r="I70" s="115"/>
      <c r="J70" s="115"/>
      <c r="K70" s="115"/>
      <c r="L70" s="161">
        <f>ROUND(-L69*10%,2)</f>
        <v>-13.26</v>
      </c>
      <c r="M70" s="159"/>
      <c r="N70" s="162">
        <f>L70-H70</f>
        <v>-9.9999999999999645E-2</v>
      </c>
      <c r="O70" s="107">
        <f>IF((H70)=0,"",(N70/H70))</f>
        <v>7.5987841945288487E-3</v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58</v>
      </c>
      <c r="C71" s="173"/>
      <c r="D71" s="173"/>
      <c r="E71" s="42"/>
      <c r="F71" s="43"/>
      <c r="G71" s="44"/>
      <c r="H71" s="45">
        <f>SUM(H69:H70)</f>
        <v>118.459104016</v>
      </c>
      <c r="I71" s="46"/>
      <c r="J71" s="46"/>
      <c r="K71" s="46"/>
      <c r="L71" s="47">
        <f>SUM(L69:L70)</f>
        <v>119.38581116799999</v>
      </c>
      <c r="M71" s="48"/>
      <c r="N71" s="49">
        <f>L71-H71</f>
        <v>0.92670715199999165</v>
      </c>
      <c r="O71" s="50">
        <f>IF((H71)=0,"",(N71/H71))</f>
        <v>7.8230133487656919E-3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59</v>
      </c>
      <c r="F74" s="51">
        <v>3.7699999999999997E-2</v>
      </c>
      <c r="J74" s="51"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60</v>
      </c>
    </row>
    <row r="79" spans="1:63" x14ac:dyDescent="0.3">
      <c r="A79" s="60" t="s">
        <v>61</v>
      </c>
    </row>
    <row r="80" spans="1:63" x14ac:dyDescent="0.3">
      <c r="A80" s="60" t="s">
        <v>62</v>
      </c>
    </row>
    <row r="82" spans="1:29" x14ac:dyDescent="0.3">
      <c r="B82" s="60" t="s">
        <v>63</v>
      </c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</row>
    <row r="83" spans="1:29" x14ac:dyDescent="0.3">
      <c r="A83" s="64"/>
    </row>
    <row r="85" spans="1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1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1:29" ht="7.5" customHeight="1" x14ac:dyDescent="0.3">
      <c r="L87" s="56"/>
      <c r="M87" s="56"/>
      <c r="N87" s="56"/>
      <c r="O87" s="56"/>
      <c r="P87" s="56"/>
    </row>
    <row r="88" spans="1:29" ht="7.5" customHeight="1" x14ac:dyDescent="0.3">
      <c r="L88" s="56"/>
      <c r="M88" s="56"/>
      <c r="N88" s="56"/>
      <c r="O88" s="56"/>
      <c r="P88" s="56"/>
    </row>
    <row r="89" spans="1:29" ht="15.6" x14ac:dyDescent="0.3">
      <c r="B89" s="61" t="s">
        <v>8</v>
      </c>
      <c r="D89" s="185" t="s">
        <v>67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1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1:29" ht="15.6" x14ac:dyDescent="0.3">
      <c r="B91" s="61" t="s">
        <v>9</v>
      </c>
      <c r="D91" s="5" t="s">
        <v>10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1:29" ht="15.6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1:29" ht="15" customHeight="1" x14ac:dyDescent="0.3">
      <c r="B93" s="64"/>
      <c r="D93" s="65" t="s">
        <v>11</v>
      </c>
      <c r="E93" s="65"/>
      <c r="F93" s="6">
        <v>100</v>
      </c>
      <c r="G93" s="65" t="s">
        <v>12</v>
      </c>
    </row>
    <row r="94" spans="1:29" x14ac:dyDescent="0.3">
      <c r="B94" s="64"/>
      <c r="G94" s="65"/>
    </row>
    <row r="95" spans="1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</row>
    <row r="96" spans="1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</row>
    <row r="97" spans="2:15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</row>
    <row r="98" spans="2:15" x14ac:dyDescent="0.3">
      <c r="B98" s="73" t="s">
        <v>23</v>
      </c>
      <c r="C98" s="73"/>
      <c r="D98" s="7" t="s">
        <v>24</v>
      </c>
      <c r="E98" s="73"/>
      <c r="F98" s="129">
        <v>13.11</v>
      </c>
      <c r="G98" s="74">
        <v>1</v>
      </c>
      <c r="H98" s="75">
        <f t="shared" ref="H98:H113" si="9">G98*F98</f>
        <v>13.11</v>
      </c>
      <c r="I98" s="76"/>
      <c r="J98" s="171">
        <v>16.43</v>
      </c>
      <c r="K98" s="77">
        <v>1</v>
      </c>
      <c r="L98" s="75">
        <f t="shared" ref="L98:L113" si="10">K98*J98</f>
        <v>16.43</v>
      </c>
      <c r="M98" s="76"/>
      <c r="N98" s="78">
        <f t="shared" ref="N98:N134" si="11">L98-H98</f>
        <v>3.3200000000000003</v>
      </c>
      <c r="O98" s="79">
        <f t="shared" ref="O98:O120" si="12">IF((H98)=0,"",(N98/H98))</f>
        <v>0.25324180015255532</v>
      </c>
    </row>
    <row r="99" spans="2:15" x14ac:dyDescent="0.3">
      <c r="B99" s="73" t="s">
        <v>25</v>
      </c>
      <c r="C99" s="73"/>
      <c r="D99" s="7" t="s">
        <v>24</v>
      </c>
      <c r="E99" s="73"/>
      <c r="F99" s="133">
        <v>2.4900000000000002</v>
      </c>
      <c r="G99" s="74">
        <v>1</v>
      </c>
      <c r="H99" s="136">
        <f t="shared" si="9"/>
        <v>2.4900000000000002</v>
      </c>
      <c r="I99" s="76"/>
      <c r="J99" s="130"/>
      <c r="K99" s="77">
        <v>1</v>
      </c>
      <c r="L99" s="136">
        <f t="shared" si="10"/>
        <v>0</v>
      </c>
      <c r="M99" s="76"/>
      <c r="N99" s="137">
        <f t="shared" si="11"/>
        <v>-2.4900000000000002</v>
      </c>
      <c r="O99" s="79">
        <f t="shared" si="12"/>
        <v>-1</v>
      </c>
    </row>
    <row r="100" spans="2:15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</row>
    <row r="101" spans="2:15" x14ac:dyDescent="0.3">
      <c r="B101" s="9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</row>
    <row r="102" spans="2:15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</row>
    <row r="103" spans="2:15" x14ac:dyDescent="0.3">
      <c r="B103" s="10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</row>
    <row r="104" spans="2:15" x14ac:dyDescent="0.3">
      <c r="B104" s="73" t="s">
        <v>26</v>
      </c>
      <c r="C104" s="73"/>
      <c r="D104" s="7" t="s">
        <v>27</v>
      </c>
      <c r="E104" s="73"/>
      <c r="F104" s="135">
        <v>1.43E-2</v>
      </c>
      <c r="G104" s="74">
        <f>$F$93</f>
        <v>100</v>
      </c>
      <c r="H104" s="136">
        <f t="shared" si="9"/>
        <v>1.43</v>
      </c>
      <c r="I104" s="76"/>
      <c r="J104" s="132">
        <v>1.7899999999999999E-2</v>
      </c>
      <c r="K104" s="74">
        <f>$F$93</f>
        <v>100</v>
      </c>
      <c r="L104" s="136">
        <f t="shared" si="10"/>
        <v>1.79</v>
      </c>
      <c r="M104" s="76"/>
      <c r="N104" s="137">
        <f t="shared" si="11"/>
        <v>0.3600000000000001</v>
      </c>
      <c r="O104" s="79">
        <f t="shared" si="12"/>
        <v>0.25174825174825183</v>
      </c>
    </row>
    <row r="105" spans="2:15" x14ac:dyDescent="0.3">
      <c r="B105" s="73" t="s">
        <v>28</v>
      </c>
      <c r="C105" s="73"/>
      <c r="D105" s="7" t="s">
        <v>24</v>
      </c>
      <c r="E105" s="73"/>
      <c r="F105" s="135">
        <v>-0.03</v>
      </c>
      <c r="G105" s="74">
        <v>1</v>
      </c>
      <c r="H105" s="136">
        <f t="shared" si="9"/>
        <v>-0.03</v>
      </c>
      <c r="I105" s="76"/>
      <c r="J105" s="132"/>
      <c r="K105" s="74">
        <v>1</v>
      </c>
      <c r="L105" s="136">
        <f t="shared" si="10"/>
        <v>0</v>
      </c>
      <c r="M105" s="76"/>
      <c r="N105" s="137">
        <f t="shared" si="11"/>
        <v>0.03</v>
      </c>
      <c r="O105" s="79">
        <f t="shared" si="12"/>
        <v>-1</v>
      </c>
    </row>
    <row r="106" spans="2:15" x14ac:dyDescent="0.3">
      <c r="B106" s="73" t="s">
        <v>29</v>
      </c>
      <c r="C106" s="73"/>
      <c r="D106" s="7" t="s">
        <v>27</v>
      </c>
      <c r="E106" s="73"/>
      <c r="F106" s="135">
        <v>2.9999999999999997E-4</v>
      </c>
      <c r="G106" s="74">
        <f t="shared" ref="G106:G108" si="13">$F$93</f>
        <v>100</v>
      </c>
      <c r="H106" s="136">
        <f t="shared" si="9"/>
        <v>0.03</v>
      </c>
      <c r="I106" s="76"/>
      <c r="J106" s="132">
        <v>2.0000000000000001E-4</v>
      </c>
      <c r="K106" s="74">
        <f t="shared" ref="K106:K108" si="14">$F$93</f>
        <v>100</v>
      </c>
      <c r="L106" s="136">
        <f t="shared" si="10"/>
        <v>0.02</v>
      </c>
      <c r="M106" s="76"/>
      <c r="N106" s="137">
        <f t="shared" si="11"/>
        <v>-9.9999999999999985E-3</v>
      </c>
      <c r="O106" s="79">
        <f t="shared" si="12"/>
        <v>-0.33333333333333331</v>
      </c>
    </row>
    <row r="107" spans="2:15" x14ac:dyDescent="0.3">
      <c r="B107" s="11" t="s">
        <v>30</v>
      </c>
      <c r="C107" s="73"/>
      <c r="D107" s="7" t="s">
        <v>27</v>
      </c>
      <c r="E107" s="73"/>
      <c r="F107" s="135">
        <v>1.8E-3</v>
      </c>
      <c r="G107" s="74">
        <f t="shared" si="13"/>
        <v>100</v>
      </c>
      <c r="H107" s="136">
        <f t="shared" si="9"/>
        <v>0.18</v>
      </c>
      <c r="I107" s="76"/>
      <c r="J107" s="132"/>
      <c r="K107" s="74">
        <f t="shared" si="14"/>
        <v>100</v>
      </c>
      <c r="L107" s="136">
        <f t="shared" si="10"/>
        <v>0</v>
      </c>
      <c r="M107" s="76"/>
      <c r="N107" s="137">
        <f t="shared" si="11"/>
        <v>-0.18</v>
      </c>
      <c r="O107" s="79">
        <f t="shared" si="12"/>
        <v>-1</v>
      </c>
    </row>
    <row r="108" spans="2:15" x14ac:dyDescent="0.3">
      <c r="B108" s="11" t="s">
        <v>31</v>
      </c>
      <c r="C108" s="73"/>
      <c r="D108" s="7" t="s">
        <v>27</v>
      </c>
      <c r="E108" s="73"/>
      <c r="F108" s="135">
        <v>-2.9999999999999997E-4</v>
      </c>
      <c r="G108" s="74">
        <f t="shared" si="13"/>
        <v>100</v>
      </c>
      <c r="H108" s="136">
        <f t="shared" si="9"/>
        <v>-0.03</v>
      </c>
      <c r="I108" s="76"/>
      <c r="J108" s="132"/>
      <c r="K108" s="74">
        <f t="shared" si="14"/>
        <v>100</v>
      </c>
      <c r="L108" s="136">
        <f t="shared" si="10"/>
        <v>0</v>
      </c>
      <c r="M108" s="76"/>
      <c r="N108" s="137">
        <f t="shared" si="11"/>
        <v>0.03</v>
      </c>
      <c r="O108" s="79">
        <f t="shared" si="12"/>
        <v>-1</v>
      </c>
    </row>
    <row r="109" spans="2:15" x14ac:dyDescent="0.3">
      <c r="B109" s="11" t="s">
        <v>32</v>
      </c>
      <c r="C109" s="73"/>
      <c r="D109" s="7" t="s">
        <v>24</v>
      </c>
      <c r="E109" s="73"/>
      <c r="F109" s="135">
        <v>0</v>
      </c>
      <c r="G109" s="74">
        <v>1</v>
      </c>
      <c r="H109" s="136">
        <f t="shared" si="9"/>
        <v>0</v>
      </c>
      <c r="I109" s="76"/>
      <c r="J109" s="132">
        <v>0.76</v>
      </c>
      <c r="K109" s="74">
        <v>1</v>
      </c>
      <c r="L109" s="136">
        <f t="shared" si="10"/>
        <v>0.76</v>
      </c>
      <c r="M109" s="76"/>
      <c r="N109" s="137">
        <f t="shared" si="11"/>
        <v>0.76</v>
      </c>
      <c r="O109" s="79" t="str">
        <f t="shared" si="12"/>
        <v/>
      </c>
    </row>
    <row r="110" spans="2:15" x14ac:dyDescent="0.3">
      <c r="B110" s="12" t="s">
        <v>33</v>
      </c>
      <c r="C110" s="73"/>
      <c r="D110" s="7"/>
      <c r="E110" s="73"/>
      <c r="F110" s="134"/>
      <c r="G110" s="74">
        <f t="shared" ref="G110:G113" si="15">$F$93</f>
        <v>100</v>
      </c>
      <c r="H110" s="136">
        <f t="shared" si="9"/>
        <v>0</v>
      </c>
      <c r="I110" s="76"/>
      <c r="J110" s="132">
        <v>-1E-4</v>
      </c>
      <c r="K110" s="74">
        <f t="shared" ref="K110:K113" si="16">$F$93</f>
        <v>100</v>
      </c>
      <c r="L110" s="136">
        <f t="shared" si="10"/>
        <v>-0.01</v>
      </c>
      <c r="M110" s="76"/>
      <c r="N110" s="137">
        <f t="shared" si="11"/>
        <v>-0.01</v>
      </c>
      <c r="O110" s="79" t="str">
        <f t="shared" si="12"/>
        <v/>
      </c>
    </row>
    <row r="111" spans="2:15" x14ac:dyDescent="0.3">
      <c r="B111" s="12" t="s">
        <v>77</v>
      </c>
      <c r="C111" s="73"/>
      <c r="D111" s="7"/>
      <c r="E111" s="73"/>
      <c r="F111" s="134"/>
      <c r="G111" s="74">
        <f t="shared" si="15"/>
        <v>100</v>
      </c>
      <c r="H111" s="136">
        <f t="shared" si="9"/>
        <v>0</v>
      </c>
      <c r="I111" s="76"/>
      <c r="J111" s="132">
        <v>2.0000000000000001E-4</v>
      </c>
      <c r="K111" s="74">
        <f t="shared" si="16"/>
        <v>100</v>
      </c>
      <c r="L111" s="136">
        <f t="shared" si="10"/>
        <v>0.02</v>
      </c>
      <c r="M111" s="76"/>
      <c r="N111" s="137">
        <f t="shared" si="11"/>
        <v>0.02</v>
      </c>
      <c r="O111" s="79" t="str">
        <f t="shared" si="12"/>
        <v/>
      </c>
    </row>
    <row r="112" spans="2:15" x14ac:dyDescent="0.3">
      <c r="B112" s="12"/>
      <c r="C112" s="73"/>
      <c r="D112" s="7"/>
      <c r="E112" s="73"/>
      <c r="F112" s="131"/>
      <c r="G112" s="74">
        <f t="shared" si="15"/>
        <v>100</v>
      </c>
      <c r="H112" s="136">
        <f t="shared" si="9"/>
        <v>0</v>
      </c>
      <c r="I112" s="76"/>
      <c r="J112" s="131"/>
      <c r="K112" s="74">
        <f t="shared" si="16"/>
        <v>100</v>
      </c>
      <c r="L112" s="136">
        <f t="shared" si="10"/>
        <v>0</v>
      </c>
      <c r="M112" s="76"/>
      <c r="N112" s="137">
        <f t="shared" si="11"/>
        <v>0</v>
      </c>
      <c r="O112" s="79" t="str">
        <f t="shared" si="12"/>
        <v/>
      </c>
    </row>
    <row r="113" spans="1:63" x14ac:dyDescent="0.3">
      <c r="B113" s="12"/>
      <c r="C113" s="73"/>
      <c r="D113" s="7"/>
      <c r="E113" s="73"/>
      <c r="F113" s="131"/>
      <c r="G113" s="74">
        <f t="shared" si="15"/>
        <v>100</v>
      </c>
      <c r="H113" s="136">
        <f t="shared" si="9"/>
        <v>0</v>
      </c>
      <c r="I113" s="76"/>
      <c r="J113" s="131"/>
      <c r="K113" s="74">
        <f t="shared" si="16"/>
        <v>100</v>
      </c>
      <c r="L113" s="136">
        <f t="shared" si="10"/>
        <v>0</v>
      </c>
      <c r="M113" s="76"/>
      <c r="N113" s="137">
        <f t="shared" si="11"/>
        <v>0</v>
      </c>
      <c r="O113" s="79" t="str">
        <f t="shared" si="12"/>
        <v/>
      </c>
    </row>
    <row r="114" spans="1:63" s="4" customFormat="1" x14ac:dyDescent="0.3">
      <c r="A114" s="60"/>
      <c r="B114" s="19" t="s">
        <v>34</v>
      </c>
      <c r="C114" s="20"/>
      <c r="D114" s="20"/>
      <c r="E114" s="20"/>
      <c r="F114" s="21"/>
      <c r="G114" s="22"/>
      <c r="H114" s="23">
        <f>SUM(H98:H113)</f>
        <v>17.18</v>
      </c>
      <c r="I114" s="13"/>
      <c r="J114" s="14"/>
      <c r="K114" s="24"/>
      <c r="L114" s="23">
        <f>SUM(L98:L113)</f>
        <v>19.009999999999998</v>
      </c>
      <c r="M114" s="13"/>
      <c r="N114" s="15">
        <f t="shared" si="11"/>
        <v>1.8299999999999983</v>
      </c>
      <c r="O114" s="16">
        <f t="shared" si="12"/>
        <v>0.10651920838183924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35</v>
      </c>
      <c r="C115" s="73"/>
      <c r="D115" s="7" t="s">
        <v>27</v>
      </c>
      <c r="E115" s="73"/>
      <c r="F115" s="135">
        <v>2.9999999999999997E-4</v>
      </c>
      <c r="G115" s="74">
        <f>$F$93</f>
        <v>100</v>
      </c>
      <c r="H115" s="136">
        <f t="shared" ref="H115:H121" si="17">G115*F115</f>
        <v>0.03</v>
      </c>
      <c r="I115" s="76"/>
      <c r="J115" s="135">
        <v>-6.9999999999999999E-4</v>
      </c>
      <c r="K115" s="74">
        <f>$F$93</f>
        <v>100</v>
      </c>
      <c r="L115" s="136">
        <f t="shared" ref="L115:L121" si="18">K115*J115</f>
        <v>-6.9999999999999993E-2</v>
      </c>
      <c r="M115" s="76"/>
      <c r="N115" s="137">
        <f t="shared" si="11"/>
        <v>-9.9999999999999992E-2</v>
      </c>
      <c r="O115" s="79">
        <f t="shared" si="12"/>
        <v>-3.333333333333333</v>
      </c>
    </row>
    <row r="116" spans="1:63" x14ac:dyDescent="0.3">
      <c r="B116" s="17"/>
      <c r="C116" s="73"/>
      <c r="D116" s="7"/>
      <c r="E116" s="73"/>
      <c r="F116" s="8"/>
      <c r="G116" s="74">
        <f t="shared" ref="G116:G119" si="19">$F$93</f>
        <v>100</v>
      </c>
      <c r="H116" s="136">
        <f t="shared" si="17"/>
        <v>0</v>
      </c>
      <c r="I116" s="82"/>
      <c r="J116" s="8"/>
      <c r="K116" s="74">
        <f t="shared" ref="K116:K119" si="20">$F$93</f>
        <v>100</v>
      </c>
      <c r="L116" s="136">
        <f t="shared" si="18"/>
        <v>0</v>
      </c>
      <c r="M116" s="83"/>
      <c r="N116" s="137">
        <f t="shared" si="11"/>
        <v>0</v>
      </c>
      <c r="O116" s="79" t="str">
        <f t="shared" si="12"/>
        <v/>
      </c>
    </row>
    <row r="117" spans="1:63" x14ac:dyDescent="0.3">
      <c r="B117" s="17"/>
      <c r="C117" s="73"/>
      <c r="D117" s="7"/>
      <c r="E117" s="73"/>
      <c r="F117" s="8"/>
      <c r="G117" s="74">
        <f t="shared" si="19"/>
        <v>100</v>
      </c>
      <c r="H117" s="136">
        <f t="shared" si="17"/>
        <v>0</v>
      </c>
      <c r="I117" s="82"/>
      <c r="J117" s="8"/>
      <c r="K117" s="74">
        <f t="shared" si="20"/>
        <v>100</v>
      </c>
      <c r="L117" s="136">
        <f t="shared" si="18"/>
        <v>0</v>
      </c>
      <c r="M117" s="83"/>
      <c r="N117" s="137">
        <f t="shared" si="11"/>
        <v>0</v>
      </c>
      <c r="O117" s="79" t="str">
        <f t="shared" si="12"/>
        <v/>
      </c>
    </row>
    <row r="118" spans="1:63" x14ac:dyDescent="0.3">
      <c r="B118" s="17"/>
      <c r="C118" s="73"/>
      <c r="D118" s="7"/>
      <c r="E118" s="73"/>
      <c r="F118" s="8"/>
      <c r="G118" s="74">
        <f t="shared" si="19"/>
        <v>100</v>
      </c>
      <c r="H118" s="136">
        <f t="shared" si="17"/>
        <v>0</v>
      </c>
      <c r="I118" s="82"/>
      <c r="J118" s="8"/>
      <c r="K118" s="74">
        <f t="shared" si="20"/>
        <v>100</v>
      </c>
      <c r="L118" s="136">
        <f t="shared" si="18"/>
        <v>0</v>
      </c>
      <c r="M118" s="83"/>
      <c r="N118" s="137">
        <f t="shared" si="11"/>
        <v>0</v>
      </c>
      <c r="O118" s="79" t="str">
        <f t="shared" si="12"/>
        <v/>
      </c>
    </row>
    <row r="119" spans="1:63" x14ac:dyDescent="0.3">
      <c r="B119" s="80" t="s">
        <v>36</v>
      </c>
      <c r="C119" s="73"/>
      <c r="D119" s="7" t="s">
        <v>27</v>
      </c>
      <c r="E119" s="73"/>
      <c r="F119" s="135">
        <v>2.0000000000000001E-4</v>
      </c>
      <c r="G119" s="74">
        <f t="shared" si="19"/>
        <v>100</v>
      </c>
      <c r="H119" s="136">
        <f t="shared" si="17"/>
        <v>0.02</v>
      </c>
      <c r="I119" s="76"/>
      <c r="J119" s="135">
        <v>4.0000000000000002E-4</v>
      </c>
      <c r="K119" s="74">
        <f t="shared" si="20"/>
        <v>100</v>
      </c>
      <c r="L119" s="136">
        <f t="shared" si="18"/>
        <v>0.04</v>
      </c>
      <c r="M119" s="76"/>
      <c r="N119" s="137">
        <f t="shared" si="11"/>
        <v>0.02</v>
      </c>
      <c r="O119" s="79">
        <f t="shared" si="12"/>
        <v>1</v>
      </c>
    </row>
    <row r="120" spans="1:63" x14ac:dyDescent="0.3">
      <c r="B120" s="80" t="s">
        <v>37</v>
      </c>
      <c r="C120" s="73"/>
      <c r="D120" s="7" t="s">
        <v>27</v>
      </c>
      <c r="E120" s="73"/>
      <c r="F120" s="138">
        <f>IF(ISBLANK(D91)=TRUE, 0, IF(D91="TOU", 0.64*$F130+0.18*$F131+0.18*$F132, IF(AND(D91="non-TOU", G134&gt;0), F134,F133)))</f>
        <v>8.3919999999999995E-2</v>
      </c>
      <c r="G120" s="18">
        <f>$F$93*(1+$F$149)-$F$93</f>
        <v>3.7700000000000102</v>
      </c>
      <c r="H120" s="136">
        <f t="shared" si="17"/>
        <v>0.31637840000000084</v>
      </c>
      <c r="I120" s="76"/>
      <c r="J120" s="138">
        <f>0.64*$F130+0.18*$F131+0.18*$F132</f>
        <v>8.3919999999999995E-2</v>
      </c>
      <c r="K120" s="18">
        <f>$F$93*(1+$J$149)-$F$93</f>
        <v>3.7600000000000051</v>
      </c>
      <c r="L120" s="136">
        <f t="shared" si="18"/>
        <v>0.31553920000000041</v>
      </c>
      <c r="M120" s="76"/>
      <c r="N120" s="137">
        <f t="shared" si="11"/>
        <v>-8.3920000000042849E-4</v>
      </c>
      <c r="O120" s="79">
        <f t="shared" si="12"/>
        <v>-2.6525198939005516E-3</v>
      </c>
    </row>
    <row r="121" spans="1:63" x14ac:dyDescent="0.3">
      <c r="B121" s="80" t="s">
        <v>38</v>
      </c>
      <c r="C121" s="73"/>
      <c r="D121" s="7" t="s">
        <v>24</v>
      </c>
      <c r="E121" s="73"/>
      <c r="F121" s="138">
        <v>0.79</v>
      </c>
      <c r="G121" s="74">
        <v>1</v>
      </c>
      <c r="H121" s="136">
        <f t="shared" si="17"/>
        <v>0.79</v>
      </c>
      <c r="I121" s="76"/>
      <c r="J121" s="138">
        <v>0.79</v>
      </c>
      <c r="K121" s="81">
        <v>1</v>
      </c>
      <c r="L121" s="136">
        <f t="shared" si="18"/>
        <v>0.79</v>
      </c>
      <c r="M121" s="76"/>
      <c r="N121" s="137">
        <f t="shared" si="11"/>
        <v>0</v>
      </c>
      <c r="O121" s="79"/>
    </row>
    <row r="122" spans="1:63" s="4" customFormat="1" x14ac:dyDescent="0.3">
      <c r="A122" s="60"/>
      <c r="B122" s="19" t="s">
        <v>39</v>
      </c>
      <c r="C122" s="20"/>
      <c r="D122" s="20"/>
      <c r="E122" s="20"/>
      <c r="F122" s="21"/>
      <c r="G122" s="22"/>
      <c r="H122" s="23">
        <f>SUM(H115:H121)+H114</f>
        <v>18.336378400000001</v>
      </c>
      <c r="I122" s="13"/>
      <c r="J122" s="22"/>
      <c r="K122" s="24"/>
      <c r="L122" s="23">
        <f>SUM(L115:L121)+L114</f>
        <v>20.085539199999999</v>
      </c>
      <c r="M122" s="13"/>
      <c r="N122" s="15">
        <f t="shared" si="11"/>
        <v>1.7491607999999985</v>
      </c>
      <c r="O122" s="16">
        <f t="shared" ref="O122:O134" si="21">IF((H122)=0,"",(N122/H122))</f>
        <v>9.539292666429694E-2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40</v>
      </c>
      <c r="C123" s="76"/>
      <c r="D123" s="25" t="s">
        <v>27</v>
      </c>
      <c r="E123" s="76"/>
      <c r="F123" s="135">
        <v>8.0000000000000002E-3</v>
      </c>
      <c r="G123" s="18">
        <f>F93*(1+F149)</f>
        <v>103.77000000000001</v>
      </c>
      <c r="H123" s="136">
        <f>G123*F123</f>
        <v>0.83016000000000012</v>
      </c>
      <c r="I123" s="76"/>
      <c r="J123" s="135">
        <v>7.4999999999999997E-3</v>
      </c>
      <c r="K123" s="18">
        <f>F93*(1+J149)</f>
        <v>103.76</v>
      </c>
      <c r="L123" s="136">
        <f>K123*J123</f>
        <v>0.7782</v>
      </c>
      <c r="M123" s="76"/>
      <c r="N123" s="136">
        <f t="shared" si="11"/>
        <v>-5.1960000000000117E-2</v>
      </c>
      <c r="O123" s="79">
        <f t="shared" si="21"/>
        <v>-6.2590344030066622E-2</v>
      </c>
    </row>
    <row r="124" spans="1:63" x14ac:dyDescent="0.3">
      <c r="B124" s="85" t="s">
        <v>41</v>
      </c>
      <c r="C124" s="76"/>
      <c r="D124" s="25" t="s">
        <v>27</v>
      </c>
      <c r="E124" s="76"/>
      <c r="F124" s="135">
        <v>5.4999999999999997E-3</v>
      </c>
      <c r="G124" s="18">
        <f>G123</f>
        <v>103.77000000000001</v>
      </c>
      <c r="H124" s="136">
        <f>G124*F124</f>
        <v>0.57073499999999999</v>
      </c>
      <c r="I124" s="76"/>
      <c r="J124" s="135">
        <v>3.8999999999999998E-3</v>
      </c>
      <c r="K124" s="18">
        <f>K123</f>
        <v>103.76</v>
      </c>
      <c r="L124" s="136">
        <f>K124*J124</f>
        <v>0.40466400000000002</v>
      </c>
      <c r="M124" s="76"/>
      <c r="N124" s="136">
        <f t="shared" si="11"/>
        <v>-0.16607099999999997</v>
      </c>
      <c r="O124" s="79">
        <f t="shared" si="21"/>
        <v>-0.29097742384819569</v>
      </c>
    </row>
    <row r="125" spans="1:63" s="4" customFormat="1" x14ac:dyDescent="0.3">
      <c r="A125" s="60"/>
      <c r="B125" s="19" t="s">
        <v>42</v>
      </c>
      <c r="C125" s="20"/>
      <c r="D125" s="20"/>
      <c r="E125" s="20"/>
      <c r="F125" s="21"/>
      <c r="G125" s="22"/>
      <c r="H125" s="23">
        <f>SUM(H122:H124)</f>
        <v>19.737273399999999</v>
      </c>
      <c r="I125" s="13"/>
      <c r="J125" s="26"/>
      <c r="K125" s="22"/>
      <c r="L125" s="23">
        <f>SUM(L122:L124)</f>
        <v>21.268403199999998</v>
      </c>
      <c r="M125" s="13"/>
      <c r="N125" s="15">
        <f t="shared" si="11"/>
        <v>1.5311297999999987</v>
      </c>
      <c r="O125" s="16">
        <f t="shared" si="21"/>
        <v>7.7575547998438257E-2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43</v>
      </c>
      <c r="C126" s="73"/>
      <c r="D126" s="7" t="s">
        <v>27</v>
      </c>
      <c r="E126" s="73"/>
      <c r="F126" s="135">
        <v>4.4000000000000003E-3</v>
      </c>
      <c r="G126" s="18">
        <f>G124</f>
        <v>103.77000000000001</v>
      </c>
      <c r="H126" s="139">
        <f t="shared" ref="H126:H134" si="22">G126*F126</f>
        <v>0.45658800000000005</v>
      </c>
      <c r="I126" s="76"/>
      <c r="J126" s="135">
        <v>4.4000000000000003E-3</v>
      </c>
      <c r="K126" s="18">
        <f>K124</f>
        <v>103.76</v>
      </c>
      <c r="L126" s="139">
        <f t="shared" ref="L126:L134" si="23">K126*J126</f>
        <v>0.45654400000000006</v>
      </c>
      <c r="M126" s="76"/>
      <c r="N126" s="137">
        <f t="shared" si="11"/>
        <v>-4.3999999999988493E-5</v>
      </c>
      <c r="O126" s="87">
        <f t="shared" si="21"/>
        <v>-9.6366965404234207E-5</v>
      </c>
    </row>
    <row r="127" spans="1:63" x14ac:dyDescent="0.3">
      <c r="B127" s="86" t="s">
        <v>44</v>
      </c>
      <c r="C127" s="73"/>
      <c r="D127" s="7" t="s">
        <v>27</v>
      </c>
      <c r="E127" s="73"/>
      <c r="F127" s="135">
        <v>1.1999999999999999E-3</v>
      </c>
      <c r="G127" s="18">
        <f>G124</f>
        <v>103.77000000000001</v>
      </c>
      <c r="H127" s="139">
        <f t="shared" si="22"/>
        <v>0.124524</v>
      </c>
      <c r="I127" s="76"/>
      <c r="J127" s="135">
        <v>1.1999999999999999E-3</v>
      </c>
      <c r="K127" s="18">
        <f>K124</f>
        <v>103.76</v>
      </c>
      <c r="L127" s="139">
        <f t="shared" si="23"/>
        <v>0.124512</v>
      </c>
      <c r="M127" s="76"/>
      <c r="N127" s="137">
        <f t="shared" si="11"/>
        <v>-1.1999999999998123E-5</v>
      </c>
      <c r="O127" s="87">
        <f t="shared" si="21"/>
        <v>-9.6366965404244358E-5</v>
      </c>
    </row>
    <row r="128" spans="1:63" x14ac:dyDescent="0.3">
      <c r="B128" s="73" t="s">
        <v>45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22"/>
        <v>0.25</v>
      </c>
      <c r="I128" s="76"/>
      <c r="J128" s="135">
        <v>0.25</v>
      </c>
      <c r="K128" s="77">
        <v>1</v>
      </c>
      <c r="L128" s="139">
        <f t="shared" si="23"/>
        <v>0.25</v>
      </c>
      <c r="M128" s="76"/>
      <c r="N128" s="137">
        <f t="shared" si="11"/>
        <v>0</v>
      </c>
      <c r="O128" s="87">
        <f t="shared" si="21"/>
        <v>0</v>
      </c>
    </row>
    <row r="129" spans="1:63" x14ac:dyDescent="0.3">
      <c r="B129" s="73" t="s">
        <v>46</v>
      </c>
      <c r="C129" s="73"/>
      <c r="D129" s="7" t="s">
        <v>27</v>
      </c>
      <c r="E129" s="73"/>
      <c r="F129" s="135">
        <v>7.0000000000000001E-3</v>
      </c>
      <c r="G129" s="84">
        <f>F93</f>
        <v>100</v>
      </c>
      <c r="H129" s="139">
        <f t="shared" si="22"/>
        <v>0.70000000000000007</v>
      </c>
      <c r="I129" s="76"/>
      <c r="J129" s="135">
        <v>7.0000000000000001E-3</v>
      </c>
      <c r="K129" s="77">
        <f>F93</f>
        <v>100</v>
      </c>
      <c r="L129" s="139">
        <f t="shared" si="23"/>
        <v>0.70000000000000007</v>
      </c>
      <c r="M129" s="76"/>
      <c r="N129" s="137">
        <f t="shared" si="11"/>
        <v>0</v>
      </c>
      <c r="O129" s="87">
        <f t="shared" si="21"/>
        <v>0</v>
      </c>
    </row>
    <row r="130" spans="1:63" x14ac:dyDescent="0.3">
      <c r="B130" s="80" t="s">
        <v>47</v>
      </c>
      <c r="C130" s="73"/>
      <c r="D130" s="7" t="s">
        <v>27</v>
      </c>
      <c r="E130" s="73"/>
      <c r="F130" s="138">
        <v>6.7000000000000004E-2</v>
      </c>
      <c r="G130" s="27">
        <f>0.64*$F$93</f>
        <v>64</v>
      </c>
      <c r="H130" s="139">
        <f t="shared" si="22"/>
        <v>4.2880000000000003</v>
      </c>
      <c r="I130" s="76"/>
      <c r="J130" s="138">
        <v>6.7000000000000004E-2</v>
      </c>
      <c r="K130" s="28">
        <f>G130</f>
        <v>64</v>
      </c>
      <c r="L130" s="139">
        <f t="shared" si="23"/>
        <v>4.2880000000000003</v>
      </c>
      <c r="M130" s="76"/>
      <c r="N130" s="137">
        <f t="shared" si="11"/>
        <v>0</v>
      </c>
      <c r="O130" s="87">
        <f t="shared" si="21"/>
        <v>0</v>
      </c>
      <c r="S130" s="127"/>
    </row>
    <row r="131" spans="1:63" x14ac:dyDescent="0.3">
      <c r="B131" s="80" t="s">
        <v>48</v>
      </c>
      <c r="C131" s="73"/>
      <c r="D131" s="7" t="s">
        <v>27</v>
      </c>
      <c r="E131" s="73"/>
      <c r="F131" s="138">
        <v>0.104</v>
      </c>
      <c r="G131" s="27">
        <f>0.18*$F$93</f>
        <v>18</v>
      </c>
      <c r="H131" s="139">
        <f t="shared" si="22"/>
        <v>1.8719999999999999</v>
      </c>
      <c r="I131" s="76"/>
      <c r="J131" s="138">
        <v>0.104</v>
      </c>
      <c r="K131" s="28">
        <f>G131</f>
        <v>18</v>
      </c>
      <c r="L131" s="139">
        <f t="shared" si="23"/>
        <v>1.8719999999999999</v>
      </c>
      <c r="M131" s="76"/>
      <c r="N131" s="137">
        <f t="shared" si="11"/>
        <v>0</v>
      </c>
      <c r="O131" s="87">
        <f t="shared" si="21"/>
        <v>0</v>
      </c>
      <c r="S131" s="127"/>
    </row>
    <row r="132" spans="1:63" x14ac:dyDescent="0.3">
      <c r="B132" s="64" t="s">
        <v>49</v>
      </c>
      <c r="C132" s="73"/>
      <c r="D132" s="7" t="s">
        <v>27</v>
      </c>
      <c r="E132" s="73"/>
      <c r="F132" s="138">
        <v>0.124</v>
      </c>
      <c r="G132" s="27">
        <f>0.18*$F$93</f>
        <v>18</v>
      </c>
      <c r="H132" s="139">
        <f t="shared" si="22"/>
        <v>2.2320000000000002</v>
      </c>
      <c r="I132" s="76"/>
      <c r="J132" s="138">
        <v>0.124</v>
      </c>
      <c r="K132" s="28">
        <f>G132</f>
        <v>18</v>
      </c>
      <c r="L132" s="139">
        <f t="shared" si="23"/>
        <v>2.2320000000000002</v>
      </c>
      <c r="M132" s="76"/>
      <c r="N132" s="137">
        <f t="shared" si="11"/>
        <v>0</v>
      </c>
      <c r="O132" s="87">
        <f t="shared" si="21"/>
        <v>0</v>
      </c>
      <c r="S132" s="127"/>
    </row>
    <row r="133" spans="1:63" s="92" customFormat="1" x14ac:dyDescent="0.25">
      <c r="B133" s="89" t="s">
        <v>50</v>
      </c>
      <c r="C133" s="90"/>
      <c r="D133" s="29" t="s">
        <v>27</v>
      </c>
      <c r="E133" s="90"/>
      <c r="F133" s="138">
        <v>7.4999999999999997E-2</v>
      </c>
      <c r="G133" s="30">
        <f>IF(AND($T$1=1, F93&gt;=600), 600, IF(AND($T$1=1, AND(F93&lt;600, F93&gt;=0)), F93, IF(AND($T$1=2, F93&gt;=1000), 1000, IF(AND($T$1=2, AND(F93&lt;1000, F93&gt;=0)), F93))))</f>
        <v>100</v>
      </c>
      <c r="H133" s="139">
        <f t="shared" si="22"/>
        <v>7.5</v>
      </c>
      <c r="I133" s="91"/>
      <c r="J133" s="138">
        <v>7.4999999999999997E-2</v>
      </c>
      <c r="K133" s="31">
        <f>G133</f>
        <v>100</v>
      </c>
      <c r="L133" s="139">
        <f t="shared" si="23"/>
        <v>7.5</v>
      </c>
      <c r="M133" s="91"/>
      <c r="N133" s="140">
        <f t="shared" si="11"/>
        <v>0</v>
      </c>
      <c r="O133" s="87">
        <f t="shared" si="21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51</v>
      </c>
      <c r="C134" s="90"/>
      <c r="D134" s="29" t="s">
        <v>27</v>
      </c>
      <c r="E134" s="90"/>
      <c r="F134" s="138">
        <v>8.7999999999999995E-2</v>
      </c>
      <c r="G134" s="30">
        <f>IF(AND($T$1=1, F93&gt;=600), F93-600, IF(AND($T$1=1, AND(F93&lt;600, F93&gt;=0)), 0, IF(AND($T$1=2, F93&gt;=1000), F93-1000, IF(AND($T$1=2, AND(F93&lt;1000, F93&gt;=0)), 0))))</f>
        <v>0</v>
      </c>
      <c r="H134" s="139">
        <f t="shared" si="22"/>
        <v>0</v>
      </c>
      <c r="I134" s="91"/>
      <c r="J134" s="138">
        <v>8.7999999999999995E-2</v>
      </c>
      <c r="K134" s="31">
        <f>G134</f>
        <v>0</v>
      </c>
      <c r="L134" s="139">
        <f t="shared" si="23"/>
        <v>0</v>
      </c>
      <c r="M134" s="91"/>
      <c r="N134" s="140">
        <f t="shared" si="11"/>
        <v>0</v>
      </c>
      <c r="O134" s="87" t="str">
        <f t="shared" si="21"/>
        <v/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52</v>
      </c>
      <c r="C136" s="73"/>
      <c r="D136" s="73"/>
      <c r="E136" s="73"/>
      <c r="F136" s="94"/>
      <c r="G136" s="95"/>
      <c r="H136" s="141">
        <f>SUM(H126:H132,H125)</f>
        <v>29.660385399999999</v>
      </c>
      <c r="I136" s="96"/>
      <c r="J136" s="97"/>
      <c r="K136" s="97"/>
      <c r="L136" s="144">
        <f>SUM(L126:L132,L125)</f>
        <v>31.191459199999997</v>
      </c>
      <c r="M136" s="145"/>
      <c r="N136" s="146">
        <f>L136-H136</f>
        <v>1.5310737999999979</v>
      </c>
      <c r="O136" s="98">
        <f>IF((H136)=0,"",(N136/H136))</f>
        <v>5.1620158651073965E-2</v>
      </c>
      <c r="S136" s="127"/>
    </row>
    <row r="137" spans="1:63" x14ac:dyDescent="0.3">
      <c r="B137" s="99" t="s">
        <v>53</v>
      </c>
      <c r="C137" s="73"/>
      <c r="D137" s="73"/>
      <c r="E137" s="73"/>
      <c r="F137" s="100">
        <v>0.13</v>
      </c>
      <c r="G137" s="101"/>
      <c r="H137" s="142">
        <f>H136*F137</f>
        <v>3.8558501020000002</v>
      </c>
      <c r="I137" s="102"/>
      <c r="J137" s="103">
        <v>0.13</v>
      </c>
      <c r="K137" s="102"/>
      <c r="L137" s="147">
        <f>L136*J137</f>
        <v>4.054889696</v>
      </c>
      <c r="M137" s="148"/>
      <c r="N137" s="149">
        <f>L137-H137</f>
        <v>0.19903959399999982</v>
      </c>
      <c r="O137" s="104">
        <f>IF((H137)=0,"",(N137/H137))</f>
        <v>5.1620158651073986E-2</v>
      </c>
      <c r="S137" s="127"/>
    </row>
    <row r="138" spans="1:63" x14ac:dyDescent="0.3">
      <c r="B138" s="105" t="s">
        <v>54</v>
      </c>
      <c r="C138" s="73"/>
      <c r="D138" s="73"/>
      <c r="E138" s="73"/>
      <c r="F138" s="106"/>
      <c r="G138" s="101"/>
      <c r="H138" s="142">
        <f>H136+H137</f>
        <v>33.516235502000001</v>
      </c>
      <c r="I138" s="102"/>
      <c r="J138" s="102"/>
      <c r="K138" s="102"/>
      <c r="L138" s="147">
        <f>L136+L137</f>
        <v>35.246348896000001</v>
      </c>
      <c r="M138" s="148"/>
      <c r="N138" s="149">
        <f>L138-H138</f>
        <v>1.730113394</v>
      </c>
      <c r="O138" s="104">
        <f>IF((H138)=0,"",(N138/H138))</f>
        <v>5.1620158651074034E-2</v>
      </c>
      <c r="S138" s="127"/>
    </row>
    <row r="139" spans="1:63" ht="14.4" customHeight="1" x14ac:dyDescent="0.3">
      <c r="B139" s="172" t="s">
        <v>55</v>
      </c>
      <c r="C139" s="172"/>
      <c r="D139" s="172"/>
      <c r="E139" s="73"/>
      <c r="F139" s="106"/>
      <c r="G139" s="101"/>
      <c r="H139" s="143">
        <f>ROUND(-H138*10%,2)</f>
        <v>-3.35</v>
      </c>
      <c r="I139" s="102"/>
      <c r="J139" s="102"/>
      <c r="K139" s="102"/>
      <c r="L139" s="150">
        <f>ROUND(-L138*10%,2)</f>
        <v>-3.52</v>
      </c>
      <c r="M139" s="148"/>
      <c r="N139" s="151">
        <f>L139-H139</f>
        <v>-0.16999999999999993</v>
      </c>
      <c r="O139" s="107">
        <f>IF((H139)=0,"",(N139/H139))</f>
        <v>5.0746268656716394E-2</v>
      </c>
    </row>
    <row r="140" spans="1:63" s="4" customFormat="1" ht="15" thickBot="1" x14ac:dyDescent="0.35">
      <c r="A140" s="60"/>
      <c r="B140" s="173" t="s">
        <v>56</v>
      </c>
      <c r="C140" s="173"/>
      <c r="D140" s="173"/>
      <c r="E140" s="42"/>
      <c r="F140" s="43"/>
      <c r="G140" s="44"/>
      <c r="H140" s="45">
        <f>H138+H139</f>
        <v>30.166235501999999</v>
      </c>
      <c r="I140" s="46"/>
      <c r="J140" s="46"/>
      <c r="K140" s="46"/>
      <c r="L140" s="47">
        <f>L138+L139</f>
        <v>31.726348896000001</v>
      </c>
      <c r="M140" s="48"/>
      <c r="N140" s="49">
        <f>L140-H140</f>
        <v>1.5601133940000018</v>
      </c>
      <c r="O140" s="50">
        <f>IF((H140)=0,"",(N140/H140))</f>
        <v>5.1717205280604785E-2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57</v>
      </c>
      <c r="C142" s="90"/>
      <c r="D142" s="90"/>
      <c r="E142" s="90"/>
      <c r="F142" s="109"/>
      <c r="G142" s="110"/>
      <c r="H142" s="152">
        <f>SUM(H133:H134,H125,H126:H129)</f>
        <v>28.7683854</v>
      </c>
      <c r="I142" s="111"/>
      <c r="J142" s="112"/>
      <c r="K142" s="112"/>
      <c r="L142" s="155">
        <f>SUM(L133:L134,L125,L126:L129)</f>
        <v>30.299459199999998</v>
      </c>
      <c r="M142" s="156"/>
      <c r="N142" s="157">
        <f>L142-H142</f>
        <v>1.5310737999999979</v>
      </c>
      <c r="O142" s="98">
        <f>IF((H142)=0,"",(N142/H142))</f>
        <v>5.3220706644176073E-2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53</v>
      </c>
      <c r="C143" s="90"/>
      <c r="D143" s="90"/>
      <c r="E143" s="90"/>
      <c r="F143" s="114">
        <v>0.13</v>
      </c>
      <c r="G143" s="110"/>
      <c r="H143" s="153">
        <f>H142*F143</f>
        <v>3.7398901019999999</v>
      </c>
      <c r="I143" s="115"/>
      <c r="J143" s="116">
        <v>0.13</v>
      </c>
      <c r="K143" s="117"/>
      <c r="L143" s="158">
        <f>L142*J143</f>
        <v>3.9389296959999998</v>
      </c>
      <c r="M143" s="159"/>
      <c r="N143" s="160">
        <f>L143-H143</f>
        <v>0.19903959399999982</v>
      </c>
      <c r="O143" s="104">
        <f>IF((H143)=0,"",(N143/H143))</f>
        <v>5.3220706644176101E-2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54</v>
      </c>
      <c r="C144" s="90"/>
      <c r="D144" s="90"/>
      <c r="E144" s="90"/>
      <c r="F144" s="119"/>
      <c r="G144" s="120"/>
      <c r="H144" s="153">
        <f>H142+H143</f>
        <v>32.508275501999996</v>
      </c>
      <c r="I144" s="115"/>
      <c r="J144" s="115"/>
      <c r="K144" s="115"/>
      <c r="L144" s="158">
        <f>L142+L143</f>
        <v>34.238388895999996</v>
      </c>
      <c r="M144" s="159"/>
      <c r="N144" s="160">
        <f>L144-H144</f>
        <v>1.730113394</v>
      </c>
      <c r="O144" s="104">
        <f>IF((H144)=0,"",(N144/H144))</f>
        <v>5.3220706644176149E-2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55</v>
      </c>
      <c r="C145" s="174"/>
      <c r="D145" s="174"/>
      <c r="E145" s="90"/>
      <c r="F145" s="119"/>
      <c r="G145" s="120"/>
      <c r="H145" s="154">
        <f>ROUND(-H144*10%,2)</f>
        <v>-3.25</v>
      </c>
      <c r="I145" s="115"/>
      <c r="J145" s="115"/>
      <c r="K145" s="115"/>
      <c r="L145" s="161">
        <f>ROUND(-L144*10%,2)</f>
        <v>-3.42</v>
      </c>
      <c r="M145" s="159"/>
      <c r="N145" s="162">
        <f>L145-H145</f>
        <v>-0.16999999999999993</v>
      </c>
      <c r="O145" s="107">
        <f>IF((H145)=0,"",(N145/H145))</f>
        <v>5.2307692307692284E-2</v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58</v>
      </c>
      <c r="C146" s="173"/>
      <c r="D146" s="173"/>
      <c r="E146" s="42"/>
      <c r="F146" s="43"/>
      <c r="G146" s="44"/>
      <c r="H146" s="45">
        <f>SUM(H144:H145)</f>
        <v>29.258275501999996</v>
      </c>
      <c r="I146" s="46"/>
      <c r="J146" s="46"/>
      <c r="K146" s="46"/>
      <c r="L146" s="47">
        <f>SUM(L144:L145)</f>
        <v>30.818388895999995</v>
      </c>
      <c r="M146" s="48"/>
      <c r="N146" s="49">
        <f>L146-H146</f>
        <v>1.5601133939999983</v>
      </c>
      <c r="O146" s="50">
        <f>IF((H146)=0,"",(N146/H146))</f>
        <v>5.3322123988249211E-2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59</v>
      </c>
      <c r="F149" s="51">
        <v>3.7699999999999997E-2</v>
      </c>
      <c r="J149" s="51">
        <f>+J74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60</v>
      </c>
    </row>
    <row r="154" spans="1:63" x14ac:dyDescent="0.3">
      <c r="A154" s="60" t="s">
        <v>61</v>
      </c>
    </row>
    <row r="155" spans="1:63" x14ac:dyDescent="0.3">
      <c r="A155" s="60" t="s">
        <v>62</v>
      </c>
    </row>
    <row r="157" spans="1:63" x14ac:dyDescent="0.3">
      <c r="B157" s="60" t="s">
        <v>63</v>
      </c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</row>
    <row r="158" spans="1:63" x14ac:dyDescent="0.3"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</row>
    <row r="159" spans="1:63" ht="18.75" customHeight="1" x14ac:dyDescent="0.3">
      <c r="B159" s="175" t="s">
        <v>6</v>
      </c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56"/>
    </row>
    <row r="160" spans="1:63" ht="18.75" customHeight="1" x14ac:dyDescent="0.3">
      <c r="B160" s="175" t="s">
        <v>7</v>
      </c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56"/>
    </row>
    <row r="161" spans="2:16" ht="7.5" customHeight="1" x14ac:dyDescent="0.3">
      <c r="L161" s="56"/>
      <c r="M161" s="56"/>
      <c r="N161" s="56"/>
      <c r="O161" s="56"/>
      <c r="P161" s="56"/>
    </row>
    <row r="162" spans="2:16" ht="7.5" customHeight="1" x14ac:dyDescent="0.3">
      <c r="L162" s="56"/>
      <c r="M162" s="56"/>
      <c r="N162" s="56"/>
      <c r="O162" s="56"/>
      <c r="P162" s="56"/>
    </row>
    <row r="163" spans="2:16" ht="15.6" x14ac:dyDescent="0.3">
      <c r="B163" s="61" t="s">
        <v>8</v>
      </c>
      <c r="D163" s="185" t="s">
        <v>67</v>
      </c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</row>
    <row r="164" spans="2:16" ht="7.5" customHeight="1" x14ac:dyDescent="0.3">
      <c r="B164" s="62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</row>
    <row r="165" spans="2:16" ht="15.6" x14ac:dyDescent="0.3">
      <c r="B165" s="61" t="s">
        <v>9</v>
      </c>
      <c r="D165" s="5" t="s">
        <v>10</v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2:16" ht="15.6" x14ac:dyDescent="0.3">
      <c r="B166" s="62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</row>
    <row r="167" spans="2:16" x14ac:dyDescent="0.3">
      <c r="B167" s="64"/>
      <c r="D167" s="65" t="s">
        <v>11</v>
      </c>
      <c r="E167" s="65"/>
      <c r="F167" s="6">
        <v>250</v>
      </c>
      <c r="G167" s="65" t="s">
        <v>12</v>
      </c>
    </row>
    <row r="168" spans="2:16" x14ac:dyDescent="0.3">
      <c r="B168" s="64"/>
      <c r="G168" s="65"/>
    </row>
    <row r="169" spans="2:16" x14ac:dyDescent="0.3">
      <c r="B169" s="64"/>
      <c r="D169" s="66"/>
      <c r="E169" s="66"/>
      <c r="F169" s="176" t="s">
        <v>13</v>
      </c>
      <c r="G169" s="177"/>
      <c r="H169" s="178"/>
      <c r="J169" s="176" t="s">
        <v>14</v>
      </c>
      <c r="K169" s="177"/>
      <c r="L169" s="178"/>
      <c r="N169" s="176" t="s">
        <v>15</v>
      </c>
      <c r="O169" s="178"/>
    </row>
    <row r="170" spans="2:16" x14ac:dyDescent="0.3">
      <c r="B170" s="64"/>
      <c r="D170" s="179" t="s">
        <v>16</v>
      </c>
      <c r="E170" s="67"/>
      <c r="F170" s="68" t="s">
        <v>17</v>
      </c>
      <c r="G170" s="68" t="s">
        <v>18</v>
      </c>
      <c r="H170" s="69" t="s">
        <v>19</v>
      </c>
      <c r="J170" s="68" t="s">
        <v>17</v>
      </c>
      <c r="K170" s="70" t="s">
        <v>18</v>
      </c>
      <c r="L170" s="69" t="s">
        <v>19</v>
      </c>
      <c r="N170" s="181" t="s">
        <v>20</v>
      </c>
      <c r="O170" s="183" t="s">
        <v>21</v>
      </c>
    </row>
    <row r="171" spans="2:16" x14ac:dyDescent="0.3">
      <c r="B171" s="64"/>
      <c r="D171" s="180"/>
      <c r="E171" s="67"/>
      <c r="F171" s="71" t="s">
        <v>22</v>
      </c>
      <c r="G171" s="71"/>
      <c r="H171" s="72" t="s">
        <v>22</v>
      </c>
      <c r="J171" s="71" t="s">
        <v>22</v>
      </c>
      <c r="K171" s="72"/>
      <c r="L171" s="72" t="s">
        <v>22</v>
      </c>
      <c r="N171" s="182"/>
      <c r="O171" s="184"/>
    </row>
    <row r="172" spans="2:16" x14ac:dyDescent="0.3">
      <c r="B172" s="73" t="s">
        <v>23</v>
      </c>
      <c r="C172" s="73"/>
      <c r="D172" s="7" t="s">
        <v>24</v>
      </c>
      <c r="E172" s="73"/>
      <c r="F172" s="129">
        <v>13.11</v>
      </c>
      <c r="G172" s="74">
        <v>1</v>
      </c>
      <c r="H172" s="75">
        <f t="shared" ref="H172:H187" si="24">G172*F172</f>
        <v>13.11</v>
      </c>
      <c r="I172" s="76"/>
      <c r="J172" s="171">
        <v>16.43</v>
      </c>
      <c r="K172" s="77">
        <v>1</v>
      </c>
      <c r="L172" s="75">
        <f t="shared" ref="L172:L187" si="25">K172*J172</f>
        <v>16.43</v>
      </c>
      <c r="M172" s="76"/>
      <c r="N172" s="78">
        <f t="shared" ref="N172:N208" si="26">L172-H172</f>
        <v>3.3200000000000003</v>
      </c>
      <c r="O172" s="79">
        <f t="shared" ref="O172:O194" si="27">IF((H172)=0,"",(N172/H172))</f>
        <v>0.25324180015255532</v>
      </c>
    </row>
    <row r="173" spans="2:16" x14ac:dyDescent="0.3">
      <c r="B173" s="73" t="s">
        <v>25</v>
      </c>
      <c r="C173" s="73"/>
      <c r="D173" s="7" t="s">
        <v>24</v>
      </c>
      <c r="E173" s="73"/>
      <c r="F173" s="133">
        <v>2.4900000000000002</v>
      </c>
      <c r="G173" s="74">
        <v>1</v>
      </c>
      <c r="H173" s="136">
        <f t="shared" si="24"/>
        <v>2.4900000000000002</v>
      </c>
      <c r="I173" s="76"/>
      <c r="J173" s="130"/>
      <c r="K173" s="77">
        <v>1</v>
      </c>
      <c r="L173" s="136">
        <f t="shared" si="25"/>
        <v>0</v>
      </c>
      <c r="M173" s="76"/>
      <c r="N173" s="137">
        <f t="shared" si="26"/>
        <v>-2.4900000000000002</v>
      </c>
      <c r="O173" s="79">
        <f t="shared" si="27"/>
        <v>-1</v>
      </c>
    </row>
    <row r="174" spans="2:16" x14ac:dyDescent="0.3">
      <c r="B174" s="9"/>
      <c r="C174" s="73"/>
      <c r="D174" s="7"/>
      <c r="E174" s="73"/>
      <c r="F174" s="134"/>
      <c r="G174" s="74">
        <v>1</v>
      </c>
      <c r="H174" s="136">
        <f t="shared" si="24"/>
        <v>0</v>
      </c>
      <c r="I174" s="76"/>
      <c r="J174" s="131"/>
      <c r="K174" s="77">
        <v>1</v>
      </c>
      <c r="L174" s="136">
        <f t="shared" si="25"/>
        <v>0</v>
      </c>
      <c r="M174" s="76"/>
      <c r="N174" s="137">
        <f t="shared" si="26"/>
        <v>0</v>
      </c>
      <c r="O174" s="79" t="str">
        <f t="shared" si="27"/>
        <v/>
      </c>
    </row>
    <row r="175" spans="2:16" x14ac:dyDescent="0.3">
      <c r="B175" s="9"/>
      <c r="C175" s="73"/>
      <c r="D175" s="7"/>
      <c r="E175" s="73"/>
      <c r="F175" s="134"/>
      <c r="G175" s="74">
        <v>1</v>
      </c>
      <c r="H175" s="136">
        <f t="shared" si="24"/>
        <v>0</v>
      </c>
      <c r="I175" s="76"/>
      <c r="J175" s="131"/>
      <c r="K175" s="77">
        <v>1</v>
      </c>
      <c r="L175" s="136">
        <f t="shared" si="25"/>
        <v>0</v>
      </c>
      <c r="M175" s="76"/>
      <c r="N175" s="137">
        <f t="shared" si="26"/>
        <v>0</v>
      </c>
      <c r="O175" s="79" t="str">
        <f t="shared" si="27"/>
        <v/>
      </c>
    </row>
    <row r="176" spans="2:16" x14ac:dyDescent="0.3">
      <c r="B176" s="10"/>
      <c r="C176" s="73"/>
      <c r="D176" s="7"/>
      <c r="E176" s="73"/>
      <c r="F176" s="134"/>
      <c r="G176" s="74">
        <v>1</v>
      </c>
      <c r="H176" s="136">
        <f t="shared" si="24"/>
        <v>0</v>
      </c>
      <c r="I176" s="76"/>
      <c r="J176" s="131"/>
      <c r="K176" s="77">
        <v>1</v>
      </c>
      <c r="L176" s="136">
        <f t="shared" si="25"/>
        <v>0</v>
      </c>
      <c r="M176" s="76"/>
      <c r="N176" s="137">
        <f t="shared" si="26"/>
        <v>0</v>
      </c>
      <c r="O176" s="79" t="str">
        <f t="shared" si="27"/>
        <v/>
      </c>
    </row>
    <row r="177" spans="1:63" x14ac:dyDescent="0.3">
      <c r="B177" s="10"/>
      <c r="C177" s="73"/>
      <c r="D177" s="7"/>
      <c r="E177" s="73"/>
      <c r="F177" s="134"/>
      <c r="G177" s="74">
        <v>1</v>
      </c>
      <c r="H177" s="136">
        <f t="shared" si="24"/>
        <v>0</v>
      </c>
      <c r="I177" s="76"/>
      <c r="J177" s="131"/>
      <c r="K177" s="77">
        <v>1</v>
      </c>
      <c r="L177" s="136">
        <f t="shared" si="25"/>
        <v>0</v>
      </c>
      <c r="M177" s="76"/>
      <c r="N177" s="137">
        <f t="shared" si="26"/>
        <v>0</v>
      </c>
      <c r="O177" s="79" t="str">
        <f t="shared" si="27"/>
        <v/>
      </c>
    </row>
    <row r="178" spans="1:63" x14ac:dyDescent="0.3">
      <c r="B178" s="73" t="s">
        <v>26</v>
      </c>
      <c r="C178" s="73"/>
      <c r="D178" s="7" t="s">
        <v>27</v>
      </c>
      <c r="E178" s="73"/>
      <c r="F178" s="135">
        <v>1.43E-2</v>
      </c>
      <c r="G178" s="74">
        <f>$F$167</f>
        <v>250</v>
      </c>
      <c r="H178" s="136">
        <f t="shared" si="24"/>
        <v>3.5750000000000002</v>
      </c>
      <c r="I178" s="76"/>
      <c r="J178" s="132">
        <v>1.7899999999999999E-2</v>
      </c>
      <c r="K178" s="74">
        <f>$F$167</f>
        <v>250</v>
      </c>
      <c r="L178" s="136">
        <f t="shared" si="25"/>
        <v>4.4749999999999996</v>
      </c>
      <c r="M178" s="76"/>
      <c r="N178" s="137">
        <f t="shared" si="26"/>
        <v>0.89999999999999947</v>
      </c>
      <c r="O178" s="79">
        <f t="shared" si="27"/>
        <v>0.25174825174825161</v>
      </c>
    </row>
    <row r="179" spans="1:63" x14ac:dyDescent="0.3">
      <c r="B179" s="73" t="s">
        <v>28</v>
      </c>
      <c r="C179" s="73"/>
      <c r="D179" s="7" t="s">
        <v>24</v>
      </c>
      <c r="E179" s="73"/>
      <c r="F179" s="135">
        <v>-0.03</v>
      </c>
      <c r="G179" s="74">
        <v>1</v>
      </c>
      <c r="H179" s="136">
        <f t="shared" si="24"/>
        <v>-0.03</v>
      </c>
      <c r="I179" s="76"/>
      <c r="J179" s="132"/>
      <c r="K179" s="74">
        <v>1</v>
      </c>
      <c r="L179" s="136">
        <f t="shared" si="25"/>
        <v>0</v>
      </c>
      <c r="M179" s="76"/>
      <c r="N179" s="137">
        <f t="shared" si="26"/>
        <v>0.03</v>
      </c>
      <c r="O179" s="79">
        <f t="shared" si="27"/>
        <v>-1</v>
      </c>
    </row>
    <row r="180" spans="1:63" x14ac:dyDescent="0.3">
      <c r="B180" s="73" t="s">
        <v>29</v>
      </c>
      <c r="C180" s="73"/>
      <c r="D180" s="7" t="s">
        <v>27</v>
      </c>
      <c r="E180" s="73"/>
      <c r="F180" s="135">
        <v>2.9999999999999997E-4</v>
      </c>
      <c r="G180" s="74">
        <f t="shared" ref="G180:G182" si="28">$F$167</f>
        <v>250</v>
      </c>
      <c r="H180" s="136">
        <f t="shared" si="24"/>
        <v>7.4999999999999997E-2</v>
      </c>
      <c r="I180" s="76"/>
      <c r="J180" s="132">
        <v>2.0000000000000001E-4</v>
      </c>
      <c r="K180" s="74">
        <f t="shared" ref="K180:K182" si="29">$F$167</f>
        <v>250</v>
      </c>
      <c r="L180" s="136">
        <f t="shared" si="25"/>
        <v>0.05</v>
      </c>
      <c r="M180" s="76"/>
      <c r="N180" s="137">
        <f t="shared" si="26"/>
        <v>-2.4999999999999994E-2</v>
      </c>
      <c r="O180" s="79">
        <f t="shared" si="27"/>
        <v>-0.33333333333333326</v>
      </c>
    </row>
    <row r="181" spans="1:63" x14ac:dyDescent="0.3">
      <c r="B181" s="11" t="s">
        <v>30</v>
      </c>
      <c r="C181" s="73"/>
      <c r="D181" s="7" t="s">
        <v>27</v>
      </c>
      <c r="E181" s="73"/>
      <c r="F181" s="135">
        <v>1.8E-3</v>
      </c>
      <c r="G181" s="74">
        <f t="shared" si="28"/>
        <v>250</v>
      </c>
      <c r="H181" s="136">
        <f t="shared" si="24"/>
        <v>0.45</v>
      </c>
      <c r="I181" s="76"/>
      <c r="J181" s="132"/>
      <c r="K181" s="74">
        <f t="shared" si="29"/>
        <v>250</v>
      </c>
      <c r="L181" s="136">
        <f t="shared" si="25"/>
        <v>0</v>
      </c>
      <c r="M181" s="76"/>
      <c r="N181" s="137">
        <f t="shared" si="26"/>
        <v>-0.45</v>
      </c>
      <c r="O181" s="79">
        <f t="shared" si="27"/>
        <v>-1</v>
      </c>
    </row>
    <row r="182" spans="1:63" x14ac:dyDescent="0.3">
      <c r="B182" s="11" t="s">
        <v>31</v>
      </c>
      <c r="C182" s="73"/>
      <c r="D182" s="7" t="s">
        <v>27</v>
      </c>
      <c r="E182" s="73"/>
      <c r="F182" s="135">
        <v>-2.9999999999999997E-4</v>
      </c>
      <c r="G182" s="74">
        <f t="shared" si="28"/>
        <v>250</v>
      </c>
      <c r="H182" s="136">
        <f t="shared" si="24"/>
        <v>-7.4999999999999997E-2</v>
      </c>
      <c r="I182" s="76"/>
      <c r="J182" s="132"/>
      <c r="K182" s="74">
        <f t="shared" si="29"/>
        <v>250</v>
      </c>
      <c r="L182" s="136">
        <f t="shared" si="25"/>
        <v>0</v>
      </c>
      <c r="M182" s="76"/>
      <c r="N182" s="137">
        <f t="shared" si="26"/>
        <v>7.4999999999999997E-2</v>
      </c>
      <c r="O182" s="79">
        <f t="shared" si="27"/>
        <v>-1</v>
      </c>
    </row>
    <row r="183" spans="1:63" x14ac:dyDescent="0.3">
      <c r="B183" s="11" t="s">
        <v>32</v>
      </c>
      <c r="C183" s="73"/>
      <c r="D183" s="7" t="s">
        <v>24</v>
      </c>
      <c r="E183" s="73"/>
      <c r="F183" s="135">
        <v>0</v>
      </c>
      <c r="G183" s="74">
        <v>1</v>
      </c>
      <c r="H183" s="136">
        <f t="shared" si="24"/>
        <v>0</v>
      </c>
      <c r="I183" s="76"/>
      <c r="J183" s="132">
        <v>0.76</v>
      </c>
      <c r="K183" s="74">
        <v>1</v>
      </c>
      <c r="L183" s="136">
        <f t="shared" si="25"/>
        <v>0.76</v>
      </c>
      <c r="M183" s="76"/>
      <c r="N183" s="137">
        <f t="shared" si="26"/>
        <v>0.76</v>
      </c>
      <c r="O183" s="79" t="str">
        <f t="shared" si="27"/>
        <v/>
      </c>
    </row>
    <row r="184" spans="1:63" x14ac:dyDescent="0.3">
      <c r="B184" s="12" t="s">
        <v>33</v>
      </c>
      <c r="C184" s="73"/>
      <c r="D184" s="7"/>
      <c r="E184" s="73"/>
      <c r="F184" s="134"/>
      <c r="G184" s="74">
        <f t="shared" ref="G184:G193" si="30">$F$167</f>
        <v>250</v>
      </c>
      <c r="H184" s="136">
        <f t="shared" si="24"/>
        <v>0</v>
      </c>
      <c r="I184" s="76"/>
      <c r="J184" s="132">
        <v>-1E-4</v>
      </c>
      <c r="K184" s="74">
        <f t="shared" ref="K184:K187" si="31">$F$167</f>
        <v>250</v>
      </c>
      <c r="L184" s="136">
        <f t="shared" si="25"/>
        <v>-2.5000000000000001E-2</v>
      </c>
      <c r="M184" s="76"/>
      <c r="N184" s="137">
        <f t="shared" si="26"/>
        <v>-2.5000000000000001E-2</v>
      </c>
      <c r="O184" s="79" t="str">
        <f t="shared" si="27"/>
        <v/>
      </c>
    </row>
    <row r="185" spans="1:63" x14ac:dyDescent="0.3">
      <c r="B185" s="12" t="s">
        <v>77</v>
      </c>
      <c r="C185" s="73"/>
      <c r="D185" s="7"/>
      <c r="E185" s="73"/>
      <c r="F185" s="134"/>
      <c r="G185" s="74">
        <f t="shared" si="30"/>
        <v>250</v>
      </c>
      <c r="H185" s="136">
        <f t="shared" si="24"/>
        <v>0</v>
      </c>
      <c r="I185" s="76"/>
      <c r="J185" s="132">
        <v>2.0000000000000001E-4</v>
      </c>
      <c r="K185" s="74">
        <f t="shared" si="31"/>
        <v>250</v>
      </c>
      <c r="L185" s="136">
        <f t="shared" si="25"/>
        <v>0.05</v>
      </c>
      <c r="M185" s="76"/>
      <c r="N185" s="137">
        <f t="shared" si="26"/>
        <v>0.05</v>
      </c>
      <c r="O185" s="79" t="str">
        <f t="shared" si="27"/>
        <v/>
      </c>
    </row>
    <row r="186" spans="1:63" x14ac:dyDescent="0.3">
      <c r="B186" s="12"/>
      <c r="C186" s="73"/>
      <c r="D186" s="7"/>
      <c r="E186" s="73"/>
      <c r="F186" s="131"/>
      <c r="G186" s="74">
        <f t="shared" si="30"/>
        <v>250</v>
      </c>
      <c r="H186" s="136">
        <f t="shared" si="24"/>
        <v>0</v>
      </c>
      <c r="I186" s="76"/>
      <c r="J186" s="131"/>
      <c r="K186" s="74">
        <f t="shared" si="31"/>
        <v>250</v>
      </c>
      <c r="L186" s="136">
        <f t="shared" si="25"/>
        <v>0</v>
      </c>
      <c r="M186" s="76"/>
      <c r="N186" s="137">
        <f t="shared" si="26"/>
        <v>0</v>
      </c>
      <c r="O186" s="79" t="str">
        <f t="shared" si="27"/>
        <v/>
      </c>
    </row>
    <row r="187" spans="1:63" x14ac:dyDescent="0.3">
      <c r="B187" s="12"/>
      <c r="C187" s="73"/>
      <c r="D187" s="7"/>
      <c r="E187" s="73"/>
      <c r="F187" s="131"/>
      <c r="G187" s="74">
        <f t="shared" si="30"/>
        <v>250</v>
      </c>
      <c r="H187" s="136">
        <f t="shared" si="24"/>
        <v>0</v>
      </c>
      <c r="I187" s="76"/>
      <c r="J187" s="131"/>
      <c r="K187" s="74">
        <f t="shared" si="31"/>
        <v>250</v>
      </c>
      <c r="L187" s="136">
        <f t="shared" si="25"/>
        <v>0</v>
      </c>
      <c r="M187" s="76"/>
      <c r="N187" s="137">
        <f t="shared" si="26"/>
        <v>0</v>
      </c>
      <c r="O187" s="79" t="str">
        <f t="shared" si="27"/>
        <v/>
      </c>
    </row>
    <row r="188" spans="1:63" s="4" customFormat="1" x14ac:dyDescent="0.3">
      <c r="A188" s="60"/>
      <c r="B188" s="19" t="s">
        <v>34</v>
      </c>
      <c r="C188" s="20"/>
      <c r="D188" s="20"/>
      <c r="E188" s="20"/>
      <c r="F188" s="21"/>
      <c r="G188" s="22"/>
      <c r="H188" s="23">
        <f>SUM(H172:H187)</f>
        <v>19.594999999999999</v>
      </c>
      <c r="I188" s="13"/>
      <c r="J188" s="14"/>
      <c r="K188" s="24"/>
      <c r="L188" s="23">
        <f>SUM(L172:L187)</f>
        <v>21.740000000000006</v>
      </c>
      <c r="M188" s="13"/>
      <c r="N188" s="15">
        <f t="shared" si="26"/>
        <v>2.1450000000000067</v>
      </c>
      <c r="O188" s="16">
        <f t="shared" si="27"/>
        <v>0.1094667006889516</v>
      </c>
      <c r="P188" s="60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</row>
    <row r="189" spans="1:63" x14ac:dyDescent="0.3">
      <c r="B189" s="17" t="s">
        <v>35</v>
      </c>
      <c r="C189" s="73"/>
      <c r="D189" s="7" t="s">
        <v>27</v>
      </c>
      <c r="E189" s="73"/>
      <c r="F189" s="135">
        <v>2.9999999999999997E-4</v>
      </c>
      <c r="G189" s="74">
        <f t="shared" si="30"/>
        <v>250</v>
      </c>
      <c r="H189" s="136">
        <f t="shared" ref="H189:H195" si="32">G189*F189</f>
        <v>7.4999999999999997E-2</v>
      </c>
      <c r="I189" s="76"/>
      <c r="J189" s="135">
        <v>-6.9999999999999999E-4</v>
      </c>
      <c r="K189" s="74">
        <f t="shared" ref="K189:K193" si="33">$F$167</f>
        <v>250</v>
      </c>
      <c r="L189" s="136">
        <f t="shared" ref="L189:L195" si="34">K189*J189</f>
        <v>-0.17499999999999999</v>
      </c>
      <c r="M189" s="76"/>
      <c r="N189" s="137">
        <f t="shared" si="26"/>
        <v>-0.25</v>
      </c>
      <c r="O189" s="79">
        <f t="shared" si="27"/>
        <v>-3.3333333333333335</v>
      </c>
    </row>
    <row r="190" spans="1:63" x14ac:dyDescent="0.3">
      <c r="B190" s="17"/>
      <c r="C190" s="73"/>
      <c r="D190" s="7"/>
      <c r="E190" s="73"/>
      <c r="F190" s="8"/>
      <c r="G190" s="74">
        <f t="shared" si="30"/>
        <v>250</v>
      </c>
      <c r="H190" s="136">
        <f t="shared" si="32"/>
        <v>0</v>
      </c>
      <c r="I190" s="82"/>
      <c r="J190" s="8"/>
      <c r="K190" s="74">
        <f t="shared" si="33"/>
        <v>250</v>
      </c>
      <c r="L190" s="136">
        <f t="shared" si="34"/>
        <v>0</v>
      </c>
      <c r="M190" s="83"/>
      <c r="N190" s="137">
        <f t="shared" si="26"/>
        <v>0</v>
      </c>
      <c r="O190" s="79" t="str">
        <f t="shared" si="27"/>
        <v/>
      </c>
    </row>
    <row r="191" spans="1:63" x14ac:dyDescent="0.3">
      <c r="B191" s="17"/>
      <c r="C191" s="73"/>
      <c r="D191" s="7"/>
      <c r="E191" s="73"/>
      <c r="F191" s="8"/>
      <c r="G191" s="74">
        <f t="shared" si="30"/>
        <v>250</v>
      </c>
      <c r="H191" s="136">
        <f t="shared" si="32"/>
        <v>0</v>
      </c>
      <c r="I191" s="82"/>
      <c r="J191" s="8"/>
      <c r="K191" s="74">
        <f t="shared" si="33"/>
        <v>250</v>
      </c>
      <c r="L191" s="136">
        <f t="shared" si="34"/>
        <v>0</v>
      </c>
      <c r="M191" s="83"/>
      <c r="N191" s="137">
        <f t="shared" si="26"/>
        <v>0</v>
      </c>
      <c r="O191" s="79" t="str">
        <f t="shared" si="27"/>
        <v/>
      </c>
    </row>
    <row r="192" spans="1:63" x14ac:dyDescent="0.3">
      <c r="B192" s="17"/>
      <c r="C192" s="73"/>
      <c r="D192" s="7"/>
      <c r="E192" s="73"/>
      <c r="F192" s="8"/>
      <c r="G192" s="74">
        <f t="shared" si="30"/>
        <v>250</v>
      </c>
      <c r="H192" s="136">
        <f t="shared" si="32"/>
        <v>0</v>
      </c>
      <c r="I192" s="82"/>
      <c r="J192" s="8"/>
      <c r="K192" s="74">
        <f t="shared" si="33"/>
        <v>250</v>
      </c>
      <c r="L192" s="136">
        <f t="shared" si="34"/>
        <v>0</v>
      </c>
      <c r="M192" s="83"/>
      <c r="N192" s="137">
        <f t="shared" si="26"/>
        <v>0</v>
      </c>
      <c r="O192" s="79" t="str">
        <f t="shared" si="27"/>
        <v/>
      </c>
    </row>
    <row r="193" spans="1:63" x14ac:dyDescent="0.3">
      <c r="B193" s="80" t="s">
        <v>36</v>
      </c>
      <c r="C193" s="73"/>
      <c r="D193" s="7" t="s">
        <v>27</v>
      </c>
      <c r="E193" s="73"/>
      <c r="F193" s="135">
        <v>2.0000000000000001E-4</v>
      </c>
      <c r="G193" s="74">
        <f t="shared" si="30"/>
        <v>250</v>
      </c>
      <c r="H193" s="136">
        <f t="shared" si="32"/>
        <v>0.05</v>
      </c>
      <c r="I193" s="76"/>
      <c r="J193" s="135">
        <v>4.0000000000000002E-4</v>
      </c>
      <c r="K193" s="74">
        <f t="shared" si="33"/>
        <v>250</v>
      </c>
      <c r="L193" s="136">
        <f t="shared" si="34"/>
        <v>0.1</v>
      </c>
      <c r="M193" s="76"/>
      <c r="N193" s="137">
        <f t="shared" si="26"/>
        <v>0.05</v>
      </c>
      <c r="O193" s="79">
        <f t="shared" si="27"/>
        <v>1</v>
      </c>
    </row>
    <row r="194" spans="1:63" x14ac:dyDescent="0.3">
      <c r="B194" s="80" t="s">
        <v>37</v>
      </c>
      <c r="C194" s="73"/>
      <c r="D194" s="7" t="s">
        <v>27</v>
      </c>
      <c r="E194" s="73"/>
      <c r="F194" s="138">
        <f>IF(ISBLANK(D165)=TRUE, 0, IF(D165="TOU", 0.64*$F204+0.18*$F205+0.18*$F206, IF(AND(D165="non-TOU", G208&gt;0), F208,F207)))</f>
        <v>8.3919999999999995E-2</v>
      </c>
      <c r="G194" s="18">
        <f>$F$167*(1+$F$223)-$F$167</f>
        <v>9.4250000000000114</v>
      </c>
      <c r="H194" s="136">
        <f t="shared" si="32"/>
        <v>0.79094600000000093</v>
      </c>
      <c r="I194" s="76"/>
      <c r="J194" s="138">
        <f>0.64*$F204+0.18*$F205+0.18*$F206</f>
        <v>8.3919999999999995E-2</v>
      </c>
      <c r="K194" s="18">
        <f>$F$167*(1+$J$223)-$F$167</f>
        <v>9.4000000000000341</v>
      </c>
      <c r="L194" s="136">
        <f t="shared" si="34"/>
        <v>0.78884800000000277</v>
      </c>
      <c r="M194" s="76"/>
      <c r="N194" s="137">
        <f t="shared" si="26"/>
        <v>-2.0979999999981569E-3</v>
      </c>
      <c r="O194" s="79">
        <f t="shared" si="27"/>
        <v>-2.6525198938968709E-3</v>
      </c>
    </row>
    <row r="195" spans="1:63" x14ac:dyDescent="0.3">
      <c r="B195" s="80" t="s">
        <v>38</v>
      </c>
      <c r="C195" s="73"/>
      <c r="D195" s="7" t="s">
        <v>24</v>
      </c>
      <c r="E195" s="73"/>
      <c r="F195" s="138">
        <v>0.79</v>
      </c>
      <c r="G195" s="74">
        <v>1</v>
      </c>
      <c r="H195" s="136">
        <f t="shared" si="32"/>
        <v>0.79</v>
      </c>
      <c r="I195" s="76"/>
      <c r="J195" s="138">
        <v>0.79</v>
      </c>
      <c r="K195" s="81">
        <v>1</v>
      </c>
      <c r="L195" s="136">
        <f t="shared" si="34"/>
        <v>0.79</v>
      </c>
      <c r="M195" s="76"/>
      <c r="N195" s="137">
        <f t="shared" si="26"/>
        <v>0</v>
      </c>
      <c r="O195" s="79"/>
    </row>
    <row r="196" spans="1:63" s="4" customFormat="1" x14ac:dyDescent="0.3">
      <c r="A196" s="60"/>
      <c r="B196" s="19" t="s">
        <v>39</v>
      </c>
      <c r="C196" s="20"/>
      <c r="D196" s="20"/>
      <c r="E196" s="20"/>
      <c r="F196" s="21"/>
      <c r="G196" s="22"/>
      <c r="H196" s="23">
        <f>SUM(H189:H195)+H188</f>
        <v>21.300946</v>
      </c>
      <c r="I196" s="13"/>
      <c r="J196" s="22"/>
      <c r="K196" s="24"/>
      <c r="L196" s="23">
        <f>SUM(L189:L195)+L188</f>
        <v>23.243848000000007</v>
      </c>
      <c r="M196" s="13"/>
      <c r="N196" s="15">
        <f t="shared" si="26"/>
        <v>1.9429020000000072</v>
      </c>
      <c r="O196" s="16">
        <f t="shared" ref="O196:O208" si="35">IF((H196)=0,"",(N196/H196))</f>
        <v>9.1212005325960979E-2</v>
      </c>
      <c r="P196" s="60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</row>
    <row r="197" spans="1:63" x14ac:dyDescent="0.3">
      <c r="B197" s="76" t="s">
        <v>40</v>
      </c>
      <c r="C197" s="76"/>
      <c r="D197" s="25" t="s">
        <v>27</v>
      </c>
      <c r="E197" s="76"/>
      <c r="F197" s="135">
        <v>8.0000000000000002E-3</v>
      </c>
      <c r="G197" s="18">
        <f>F167*(1+F223)</f>
        <v>259.42500000000001</v>
      </c>
      <c r="H197" s="136">
        <f>G197*F197</f>
        <v>2.0754000000000001</v>
      </c>
      <c r="I197" s="76"/>
      <c r="J197" s="135">
        <v>7.4999999999999997E-3</v>
      </c>
      <c r="K197" s="18">
        <f>F167*(1+J223)</f>
        <v>259.40000000000003</v>
      </c>
      <c r="L197" s="136">
        <f>K197*J197</f>
        <v>1.9455000000000002</v>
      </c>
      <c r="M197" s="76"/>
      <c r="N197" s="136">
        <f t="shared" si="26"/>
        <v>-0.1298999999999999</v>
      </c>
      <c r="O197" s="79">
        <f t="shared" si="35"/>
        <v>-6.2590344030066442E-2</v>
      </c>
    </row>
    <row r="198" spans="1:63" x14ac:dyDescent="0.3">
      <c r="B198" s="85" t="s">
        <v>41</v>
      </c>
      <c r="C198" s="76"/>
      <c r="D198" s="25" t="s">
        <v>27</v>
      </c>
      <c r="E198" s="76"/>
      <c r="F198" s="135">
        <v>5.4999999999999997E-3</v>
      </c>
      <c r="G198" s="18">
        <f>G197</f>
        <v>259.42500000000001</v>
      </c>
      <c r="H198" s="136">
        <f>G198*F198</f>
        <v>1.4268375</v>
      </c>
      <c r="I198" s="76"/>
      <c r="J198" s="135">
        <v>3.8999999999999998E-3</v>
      </c>
      <c r="K198" s="18">
        <f>K197</f>
        <v>259.40000000000003</v>
      </c>
      <c r="L198" s="136">
        <f>K198*J198</f>
        <v>1.01166</v>
      </c>
      <c r="M198" s="76"/>
      <c r="N198" s="136">
        <f t="shared" si="26"/>
        <v>-0.41517749999999998</v>
      </c>
      <c r="O198" s="79">
        <f t="shared" si="35"/>
        <v>-0.29097742384819575</v>
      </c>
    </row>
    <row r="199" spans="1:63" s="4" customFormat="1" x14ac:dyDescent="0.3">
      <c r="A199" s="60"/>
      <c r="B199" s="19" t="s">
        <v>42</v>
      </c>
      <c r="C199" s="20"/>
      <c r="D199" s="20"/>
      <c r="E199" s="20"/>
      <c r="F199" s="21"/>
      <c r="G199" s="22"/>
      <c r="H199" s="23">
        <f>SUM(H196:H198)</f>
        <v>24.803183499999999</v>
      </c>
      <c r="I199" s="13"/>
      <c r="J199" s="26"/>
      <c r="K199" s="22"/>
      <c r="L199" s="23">
        <f>SUM(L196:L198)</f>
        <v>26.201008000000005</v>
      </c>
      <c r="M199" s="13"/>
      <c r="N199" s="15">
        <f t="shared" si="26"/>
        <v>1.3978245000000058</v>
      </c>
      <c r="O199" s="16">
        <f t="shared" si="35"/>
        <v>5.6356656797705254E-2</v>
      </c>
      <c r="P199" s="60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</row>
    <row r="200" spans="1:63" x14ac:dyDescent="0.3">
      <c r="B200" s="86" t="s">
        <v>43</v>
      </c>
      <c r="C200" s="73"/>
      <c r="D200" s="7" t="s">
        <v>27</v>
      </c>
      <c r="E200" s="73"/>
      <c r="F200" s="135">
        <v>4.4000000000000003E-3</v>
      </c>
      <c r="G200" s="18">
        <f>G198</f>
        <v>259.42500000000001</v>
      </c>
      <c r="H200" s="139">
        <f t="shared" ref="H200:H208" si="36">G200*F200</f>
        <v>1.1414700000000002</v>
      </c>
      <c r="I200" s="76"/>
      <c r="J200" s="135">
        <v>4.4000000000000003E-3</v>
      </c>
      <c r="K200" s="18">
        <f>K198</f>
        <v>259.40000000000003</v>
      </c>
      <c r="L200" s="139">
        <f t="shared" ref="L200:L208" si="37">K200*J200</f>
        <v>1.1413600000000002</v>
      </c>
      <c r="M200" s="76"/>
      <c r="N200" s="137">
        <f t="shared" si="26"/>
        <v>-1.100000000000545E-4</v>
      </c>
      <c r="O200" s="87">
        <f t="shared" si="35"/>
        <v>-9.6366965404307147E-5</v>
      </c>
    </row>
    <row r="201" spans="1:63" x14ac:dyDescent="0.3">
      <c r="B201" s="86" t="s">
        <v>44</v>
      </c>
      <c r="C201" s="73"/>
      <c r="D201" s="7" t="s">
        <v>27</v>
      </c>
      <c r="E201" s="73"/>
      <c r="F201" s="135">
        <v>1.1999999999999999E-3</v>
      </c>
      <c r="G201" s="18">
        <f>G198</f>
        <v>259.42500000000001</v>
      </c>
      <c r="H201" s="139">
        <f t="shared" si="36"/>
        <v>0.31130999999999998</v>
      </c>
      <c r="I201" s="76"/>
      <c r="J201" s="135">
        <v>1.1999999999999999E-3</v>
      </c>
      <c r="K201" s="18">
        <f>K198</f>
        <v>259.40000000000003</v>
      </c>
      <c r="L201" s="139">
        <f t="shared" si="37"/>
        <v>0.31128</v>
      </c>
      <c r="M201" s="76"/>
      <c r="N201" s="137">
        <f t="shared" si="26"/>
        <v>-2.9999999999974492E-5</v>
      </c>
      <c r="O201" s="87">
        <f t="shared" si="35"/>
        <v>-9.636696540417749E-5</v>
      </c>
    </row>
    <row r="202" spans="1:63" x14ac:dyDescent="0.3">
      <c r="B202" s="73" t="s">
        <v>45</v>
      </c>
      <c r="C202" s="73"/>
      <c r="D202" s="7" t="s">
        <v>24</v>
      </c>
      <c r="E202" s="73"/>
      <c r="F202" s="135">
        <v>0.25</v>
      </c>
      <c r="G202" s="81">
        <v>1</v>
      </c>
      <c r="H202" s="139">
        <f t="shared" si="36"/>
        <v>0.25</v>
      </c>
      <c r="I202" s="76"/>
      <c r="J202" s="135">
        <v>0.25</v>
      </c>
      <c r="K202" s="77">
        <v>1</v>
      </c>
      <c r="L202" s="139">
        <f t="shared" si="37"/>
        <v>0.25</v>
      </c>
      <c r="M202" s="76"/>
      <c r="N202" s="137">
        <f t="shared" si="26"/>
        <v>0</v>
      </c>
      <c r="O202" s="87">
        <f t="shared" si="35"/>
        <v>0</v>
      </c>
    </row>
    <row r="203" spans="1:63" x14ac:dyDescent="0.3">
      <c r="B203" s="73" t="s">
        <v>46</v>
      </c>
      <c r="C203" s="73"/>
      <c r="D203" s="7" t="s">
        <v>27</v>
      </c>
      <c r="E203" s="73"/>
      <c r="F203" s="135">
        <v>7.0000000000000001E-3</v>
      </c>
      <c r="G203" s="84">
        <f>F167</f>
        <v>250</v>
      </c>
      <c r="H203" s="139">
        <f t="shared" si="36"/>
        <v>1.75</v>
      </c>
      <c r="I203" s="76"/>
      <c r="J203" s="135">
        <v>7.0000000000000001E-3</v>
      </c>
      <c r="K203" s="77">
        <f>F167</f>
        <v>250</v>
      </c>
      <c r="L203" s="139">
        <f t="shared" si="37"/>
        <v>1.75</v>
      </c>
      <c r="M203" s="76"/>
      <c r="N203" s="137">
        <f t="shared" si="26"/>
        <v>0</v>
      </c>
      <c r="O203" s="87">
        <f t="shared" si="35"/>
        <v>0</v>
      </c>
    </row>
    <row r="204" spans="1:63" x14ac:dyDescent="0.3">
      <c r="B204" s="80" t="s">
        <v>47</v>
      </c>
      <c r="C204" s="73"/>
      <c r="D204" s="7" t="s">
        <v>27</v>
      </c>
      <c r="E204" s="73"/>
      <c r="F204" s="138">
        <v>6.7000000000000004E-2</v>
      </c>
      <c r="G204" s="27">
        <f>0.64*$F$167</f>
        <v>160</v>
      </c>
      <c r="H204" s="139">
        <f t="shared" si="36"/>
        <v>10.72</v>
      </c>
      <c r="I204" s="76"/>
      <c r="J204" s="138">
        <v>6.7000000000000004E-2</v>
      </c>
      <c r="K204" s="28">
        <f>G204</f>
        <v>160</v>
      </c>
      <c r="L204" s="139">
        <f t="shared" si="37"/>
        <v>10.72</v>
      </c>
      <c r="M204" s="76"/>
      <c r="N204" s="137">
        <f t="shared" si="26"/>
        <v>0</v>
      </c>
      <c r="O204" s="87">
        <f t="shared" si="35"/>
        <v>0</v>
      </c>
      <c r="S204" s="127"/>
    </row>
    <row r="205" spans="1:63" x14ac:dyDescent="0.3">
      <c r="B205" s="80" t="s">
        <v>48</v>
      </c>
      <c r="C205" s="73"/>
      <c r="D205" s="7" t="s">
        <v>27</v>
      </c>
      <c r="E205" s="73"/>
      <c r="F205" s="138">
        <v>0.104</v>
      </c>
      <c r="G205" s="27">
        <f>0.18*$F$167</f>
        <v>45</v>
      </c>
      <c r="H205" s="139">
        <f t="shared" si="36"/>
        <v>4.68</v>
      </c>
      <c r="I205" s="76"/>
      <c r="J205" s="138">
        <v>0.104</v>
      </c>
      <c r="K205" s="28">
        <f>G205</f>
        <v>45</v>
      </c>
      <c r="L205" s="139">
        <f t="shared" si="37"/>
        <v>4.68</v>
      </c>
      <c r="M205" s="76"/>
      <c r="N205" s="137">
        <f t="shared" si="26"/>
        <v>0</v>
      </c>
      <c r="O205" s="87">
        <f t="shared" si="35"/>
        <v>0</v>
      </c>
      <c r="S205" s="127"/>
    </row>
    <row r="206" spans="1:63" x14ac:dyDescent="0.3">
      <c r="B206" s="64" t="s">
        <v>49</v>
      </c>
      <c r="C206" s="73"/>
      <c r="D206" s="7" t="s">
        <v>27</v>
      </c>
      <c r="E206" s="73"/>
      <c r="F206" s="138">
        <v>0.124</v>
      </c>
      <c r="G206" s="27">
        <f>0.18*$F$167</f>
        <v>45</v>
      </c>
      <c r="H206" s="139">
        <f t="shared" si="36"/>
        <v>5.58</v>
      </c>
      <c r="I206" s="76"/>
      <c r="J206" s="138">
        <v>0.124</v>
      </c>
      <c r="K206" s="28">
        <f>G206</f>
        <v>45</v>
      </c>
      <c r="L206" s="139">
        <f t="shared" si="37"/>
        <v>5.58</v>
      </c>
      <c r="M206" s="76"/>
      <c r="N206" s="137">
        <f t="shared" si="26"/>
        <v>0</v>
      </c>
      <c r="O206" s="87">
        <f t="shared" si="35"/>
        <v>0</v>
      </c>
      <c r="S206" s="127"/>
    </row>
    <row r="207" spans="1:63" s="92" customFormat="1" x14ac:dyDescent="0.25">
      <c r="B207" s="89" t="s">
        <v>50</v>
      </c>
      <c r="C207" s="90"/>
      <c r="D207" s="29" t="s">
        <v>27</v>
      </c>
      <c r="E207" s="90"/>
      <c r="F207" s="138">
        <v>7.4999999999999997E-2</v>
      </c>
      <c r="G207" s="30">
        <f>IF(AND($T$1=1, F167&gt;=600), 600, IF(AND($T$1=1, AND(F167&lt;600, F167&gt;=0)), F167, IF(AND($T$1=2, F167&gt;=1000), 1000, IF(AND($T$1=2, AND(F167&lt;1000, F167&gt;=0)), F167))))</f>
        <v>250</v>
      </c>
      <c r="H207" s="139">
        <f t="shared" si="36"/>
        <v>18.75</v>
      </c>
      <c r="I207" s="91"/>
      <c r="J207" s="138">
        <v>7.4999999999999997E-2</v>
      </c>
      <c r="K207" s="31">
        <f>G207</f>
        <v>250</v>
      </c>
      <c r="L207" s="139">
        <f t="shared" si="37"/>
        <v>18.75</v>
      </c>
      <c r="M207" s="91"/>
      <c r="N207" s="140">
        <f t="shared" si="26"/>
        <v>0</v>
      </c>
      <c r="O207" s="87">
        <f t="shared" si="35"/>
        <v>0</v>
      </c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</row>
    <row r="208" spans="1:63" s="92" customFormat="1" ht="15" thickBot="1" x14ac:dyDescent="0.3">
      <c r="B208" s="89" t="s">
        <v>51</v>
      </c>
      <c r="C208" s="90"/>
      <c r="D208" s="29" t="s">
        <v>27</v>
      </c>
      <c r="E208" s="90"/>
      <c r="F208" s="138">
        <v>8.7999999999999995E-2</v>
      </c>
      <c r="G208" s="30">
        <f>IF(AND($T$1=1, F167&gt;=600), F167-600, IF(AND($T$1=1, AND(F167&lt;600, F167&gt;=0)), 0, IF(AND($T$1=2, F167&gt;=1000), F167-1000, IF(AND($T$1=2, AND(F167&lt;1000, F167&gt;=0)), 0))))</f>
        <v>0</v>
      </c>
      <c r="H208" s="139">
        <f t="shared" si="36"/>
        <v>0</v>
      </c>
      <c r="I208" s="91"/>
      <c r="J208" s="138">
        <v>8.7999999999999995E-2</v>
      </c>
      <c r="K208" s="31">
        <f>G208</f>
        <v>0</v>
      </c>
      <c r="L208" s="139">
        <f t="shared" si="37"/>
        <v>0</v>
      </c>
      <c r="M208" s="91"/>
      <c r="N208" s="140">
        <f t="shared" si="26"/>
        <v>0</v>
      </c>
      <c r="O208" s="87" t="str">
        <f t="shared" si="35"/>
        <v/>
      </c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</row>
    <row r="209" spans="1:63" s="4" customFormat="1" ht="15" thickBot="1" x14ac:dyDescent="0.35">
      <c r="A209" s="60"/>
      <c r="B209" s="32"/>
      <c r="C209" s="33"/>
      <c r="D209" s="124"/>
      <c r="E209" s="33"/>
      <c r="F209" s="35"/>
      <c r="G209" s="36"/>
      <c r="H209" s="122"/>
      <c r="I209" s="123"/>
      <c r="J209" s="35"/>
      <c r="K209" s="39"/>
      <c r="L209" s="122"/>
      <c r="M209" s="123"/>
      <c r="N209" s="40"/>
      <c r="O209" s="41"/>
      <c r="P209" s="60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</row>
    <row r="210" spans="1:63" x14ac:dyDescent="0.3">
      <c r="B210" s="93" t="s">
        <v>52</v>
      </c>
      <c r="C210" s="73"/>
      <c r="D210" s="73"/>
      <c r="E210" s="73"/>
      <c r="F210" s="94"/>
      <c r="G210" s="95"/>
      <c r="H210" s="141">
        <f>SUM(H200:H206,H199)</f>
        <v>49.235963499999997</v>
      </c>
      <c r="I210" s="96"/>
      <c r="J210" s="97"/>
      <c r="K210" s="97"/>
      <c r="L210" s="144">
        <f>SUM(L200:L206,L199)</f>
        <v>50.633648000000008</v>
      </c>
      <c r="M210" s="145"/>
      <c r="N210" s="146">
        <f>L210-H210</f>
        <v>1.3976845000000111</v>
      </c>
      <c r="O210" s="98">
        <f>IF((H210)=0,"",(N210/H210))</f>
        <v>2.8387471284074928E-2</v>
      </c>
      <c r="S210" s="127"/>
    </row>
    <row r="211" spans="1:63" x14ac:dyDescent="0.3">
      <c r="B211" s="99" t="s">
        <v>53</v>
      </c>
      <c r="C211" s="73"/>
      <c r="D211" s="73"/>
      <c r="E211" s="73"/>
      <c r="F211" s="100">
        <v>0.13</v>
      </c>
      <c r="G211" s="101"/>
      <c r="H211" s="142">
        <f>H210*F211</f>
        <v>6.4006752549999995</v>
      </c>
      <c r="I211" s="102"/>
      <c r="J211" s="103">
        <v>0.13</v>
      </c>
      <c r="K211" s="102"/>
      <c r="L211" s="147">
        <f>L210*J211</f>
        <v>6.5823742400000009</v>
      </c>
      <c r="M211" s="148"/>
      <c r="N211" s="149">
        <f>L211-H211</f>
        <v>0.18169898500000148</v>
      </c>
      <c r="O211" s="104">
        <f>IF((H211)=0,"",(N211/H211))</f>
        <v>2.8387471284074931E-2</v>
      </c>
      <c r="S211" s="127"/>
    </row>
    <row r="212" spans="1:63" x14ac:dyDescent="0.3">
      <c r="B212" s="105" t="s">
        <v>54</v>
      </c>
      <c r="C212" s="73"/>
      <c r="D212" s="73"/>
      <c r="E212" s="73"/>
      <c r="F212" s="106"/>
      <c r="G212" s="101"/>
      <c r="H212" s="142">
        <f>H210+H211</f>
        <v>55.636638754999993</v>
      </c>
      <c r="I212" s="102"/>
      <c r="J212" s="102"/>
      <c r="K212" s="102"/>
      <c r="L212" s="147">
        <f>L210+L211</f>
        <v>57.216022240000008</v>
      </c>
      <c r="M212" s="148"/>
      <c r="N212" s="149">
        <f>L212-H212</f>
        <v>1.5793834850000152</v>
      </c>
      <c r="O212" s="104">
        <f>IF((H212)=0,"",(N212/H212))</f>
        <v>2.8387471284074976E-2</v>
      </c>
      <c r="S212" s="127"/>
    </row>
    <row r="213" spans="1:63" ht="14.4" customHeight="1" x14ac:dyDescent="0.3">
      <c r="B213" s="172" t="s">
        <v>55</v>
      </c>
      <c r="C213" s="172"/>
      <c r="D213" s="172"/>
      <c r="E213" s="73"/>
      <c r="F213" s="106"/>
      <c r="G213" s="101"/>
      <c r="H213" s="143">
        <f>ROUND(-H212*10%,2)</f>
        <v>-5.56</v>
      </c>
      <c r="I213" s="102"/>
      <c r="J213" s="102"/>
      <c r="K213" s="102"/>
      <c r="L213" s="150">
        <f>ROUND(-L212*10%,2)</f>
        <v>-5.72</v>
      </c>
      <c r="M213" s="148"/>
      <c r="N213" s="151">
        <f>L213-H213</f>
        <v>-0.16000000000000014</v>
      </c>
      <c r="O213" s="107">
        <f>IF((H213)=0,"",(N213/H213))</f>
        <v>2.8776978417266216E-2</v>
      </c>
    </row>
    <row r="214" spans="1:63" s="4" customFormat="1" ht="15" thickBot="1" x14ac:dyDescent="0.35">
      <c r="A214" s="60"/>
      <c r="B214" s="173" t="s">
        <v>56</v>
      </c>
      <c r="C214" s="173"/>
      <c r="D214" s="173"/>
      <c r="E214" s="42"/>
      <c r="F214" s="43"/>
      <c r="G214" s="44"/>
      <c r="H214" s="45">
        <f>H212+H213</f>
        <v>50.076638754999991</v>
      </c>
      <c r="I214" s="46"/>
      <c r="J214" s="46"/>
      <c r="K214" s="46"/>
      <c r="L214" s="47">
        <f>L212+L213</f>
        <v>51.496022240000009</v>
      </c>
      <c r="M214" s="48"/>
      <c r="N214" s="49">
        <f>L214-H214</f>
        <v>1.4193834850000187</v>
      </c>
      <c r="O214" s="50">
        <f>IF((H214)=0,"",(N214/H214))</f>
        <v>2.8344224378643978E-2</v>
      </c>
      <c r="P214" s="60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</row>
    <row r="215" spans="1:63" s="4" customFormat="1" ht="15" thickBot="1" x14ac:dyDescent="0.35">
      <c r="A215" s="60"/>
      <c r="B215" s="32"/>
      <c r="C215" s="33"/>
      <c r="D215" s="34"/>
      <c r="E215" s="33"/>
      <c r="F215" s="35"/>
      <c r="G215" s="36"/>
      <c r="H215" s="37"/>
      <c r="I215" s="38"/>
      <c r="J215" s="35"/>
      <c r="K215" s="39"/>
      <c r="L215" s="37"/>
      <c r="M215" s="123"/>
      <c r="N215" s="40"/>
      <c r="O215" s="41"/>
      <c r="P215" s="60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</row>
    <row r="216" spans="1:63" s="92" customFormat="1" ht="13.2" x14ac:dyDescent="0.25">
      <c r="B216" s="108" t="s">
        <v>57</v>
      </c>
      <c r="C216" s="90"/>
      <c r="D216" s="90"/>
      <c r="E216" s="90"/>
      <c r="F216" s="109"/>
      <c r="G216" s="110"/>
      <c r="H216" s="152">
        <f>SUM(H207:H208,H199,H200:H203)</f>
        <v>47.0059635</v>
      </c>
      <c r="I216" s="111"/>
      <c r="J216" s="112"/>
      <c r="K216" s="112"/>
      <c r="L216" s="155">
        <f>SUM(L207:L208,L199,L200:L203)</f>
        <v>48.403648000000004</v>
      </c>
      <c r="M216" s="156"/>
      <c r="N216" s="157">
        <f>L216-H216</f>
        <v>1.397684500000004</v>
      </c>
      <c r="O216" s="98">
        <f>IF((H216)=0,"",(N216/H216))</f>
        <v>2.9734195321834089E-2</v>
      </c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</row>
    <row r="217" spans="1:63" s="92" customFormat="1" ht="13.2" x14ac:dyDescent="0.25">
      <c r="B217" s="113" t="s">
        <v>53</v>
      </c>
      <c r="C217" s="90"/>
      <c r="D217" s="90"/>
      <c r="E217" s="90"/>
      <c r="F217" s="114">
        <v>0.13</v>
      </c>
      <c r="G217" s="110"/>
      <c r="H217" s="153">
        <f>H216*F217</f>
        <v>6.1107752550000001</v>
      </c>
      <c r="I217" s="115"/>
      <c r="J217" s="116">
        <v>0.13</v>
      </c>
      <c r="K217" s="117"/>
      <c r="L217" s="158">
        <f>L216*J217</f>
        <v>6.2924742400000007</v>
      </c>
      <c r="M217" s="159"/>
      <c r="N217" s="160">
        <f>L217-H217</f>
        <v>0.18169898500000059</v>
      </c>
      <c r="O217" s="104">
        <f>IF((H217)=0,"",(N217/H217))</f>
        <v>2.9734195321834102E-2</v>
      </c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63" s="92" customFormat="1" ht="13.2" x14ac:dyDescent="0.25">
      <c r="B218" s="118" t="s">
        <v>54</v>
      </c>
      <c r="C218" s="90"/>
      <c r="D218" s="90"/>
      <c r="E218" s="90"/>
      <c r="F218" s="119"/>
      <c r="G218" s="120"/>
      <c r="H218" s="153">
        <f>H216+H217</f>
        <v>53.116738755</v>
      </c>
      <c r="I218" s="115"/>
      <c r="J218" s="115"/>
      <c r="K218" s="115"/>
      <c r="L218" s="158">
        <f>L216+L217</f>
        <v>54.696122240000008</v>
      </c>
      <c r="M218" s="159"/>
      <c r="N218" s="160">
        <f>L218-H218</f>
        <v>1.5793834850000081</v>
      </c>
      <c r="O218" s="104">
        <f>IF((H218)=0,"",(N218/H218))</f>
        <v>2.9734195321834158E-2</v>
      </c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63" s="92" customFormat="1" ht="13.2" customHeight="1" x14ac:dyDescent="0.25">
      <c r="B219" s="174" t="s">
        <v>55</v>
      </c>
      <c r="C219" s="174"/>
      <c r="D219" s="174"/>
      <c r="E219" s="90"/>
      <c r="F219" s="119"/>
      <c r="G219" s="120"/>
      <c r="H219" s="154">
        <f>ROUND(-H218*10%,2)</f>
        <v>-5.31</v>
      </c>
      <c r="I219" s="115"/>
      <c r="J219" s="115"/>
      <c r="K219" s="115"/>
      <c r="L219" s="161">
        <f>ROUND(-L218*10%,2)</f>
        <v>-5.47</v>
      </c>
      <c r="M219" s="159"/>
      <c r="N219" s="162">
        <f>L219-H219</f>
        <v>-0.16000000000000014</v>
      </c>
      <c r="O219" s="107">
        <f>IF((H219)=0,"",(N219/H219))</f>
        <v>3.0131826741996263E-2</v>
      </c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</row>
    <row r="220" spans="1:63" s="4" customFormat="1" ht="15" thickBot="1" x14ac:dyDescent="0.35">
      <c r="A220" s="60"/>
      <c r="B220" s="173" t="s">
        <v>58</v>
      </c>
      <c r="C220" s="173"/>
      <c r="D220" s="173"/>
      <c r="E220" s="42"/>
      <c r="F220" s="43"/>
      <c r="G220" s="44"/>
      <c r="H220" s="45">
        <f>SUM(H218:H219)</f>
        <v>47.806738754999998</v>
      </c>
      <c r="I220" s="46"/>
      <c r="J220" s="46"/>
      <c r="K220" s="46"/>
      <c r="L220" s="47">
        <f>SUM(L218:L219)</f>
        <v>49.226122240000009</v>
      </c>
      <c r="M220" s="48"/>
      <c r="N220" s="49">
        <f>L220-H220</f>
        <v>1.4193834850000115</v>
      </c>
      <c r="O220" s="50">
        <f>IF((H220)=0,"",(N220/H220))</f>
        <v>2.9690029522282807E-2</v>
      </c>
      <c r="P220" s="60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</row>
    <row r="221" spans="1:63" s="4" customFormat="1" ht="15" thickBot="1" x14ac:dyDescent="0.35">
      <c r="A221" s="60"/>
      <c r="B221" s="32"/>
      <c r="C221" s="33"/>
      <c r="D221" s="34"/>
      <c r="E221" s="33"/>
      <c r="F221" s="35"/>
      <c r="G221" s="36"/>
      <c r="H221" s="122"/>
      <c r="I221" s="123"/>
      <c r="J221" s="35"/>
      <c r="K221" s="39"/>
      <c r="L221" s="37"/>
      <c r="M221" s="123"/>
      <c r="N221" s="40"/>
      <c r="O221" s="41"/>
      <c r="P221" s="60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</row>
    <row r="222" spans="1:63" x14ac:dyDescent="0.3">
      <c r="L222" s="88"/>
    </row>
    <row r="223" spans="1:63" x14ac:dyDescent="0.3">
      <c r="B223" s="65" t="s">
        <v>59</v>
      </c>
      <c r="F223" s="51">
        <v>3.7699999999999997E-2</v>
      </c>
      <c r="J223" s="51">
        <f>+$J$149</f>
        <v>3.7600000000000001E-2</v>
      </c>
    </row>
    <row r="225" spans="1:29" x14ac:dyDescent="0.3">
      <c r="L225" s="56"/>
      <c r="M225" s="56"/>
      <c r="N225" s="56"/>
      <c r="O225" s="56"/>
      <c r="P225" s="56"/>
    </row>
    <row r="226" spans="1:29" ht="16.2" x14ac:dyDescent="0.3">
      <c r="A226" s="121" t="s">
        <v>60</v>
      </c>
    </row>
    <row r="228" spans="1:29" x14ac:dyDescent="0.3">
      <c r="A228" s="60" t="s">
        <v>61</v>
      </c>
    </row>
    <row r="229" spans="1:29" x14ac:dyDescent="0.3">
      <c r="A229" s="60" t="s">
        <v>62</v>
      </c>
    </row>
    <row r="231" spans="1:29" x14ac:dyDescent="0.3">
      <c r="B231" s="60" t="s">
        <v>63</v>
      </c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</row>
    <row r="233" spans="1:29" ht="18.75" customHeight="1" x14ac:dyDescent="0.3">
      <c r="B233" s="175" t="s">
        <v>6</v>
      </c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56"/>
    </row>
    <row r="234" spans="1:29" ht="18.75" customHeight="1" x14ac:dyDescent="0.3">
      <c r="B234" s="175" t="s">
        <v>7</v>
      </c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56"/>
    </row>
    <row r="235" spans="1:29" ht="7.5" customHeight="1" x14ac:dyDescent="0.3">
      <c r="L235" s="56"/>
      <c r="M235" s="56"/>
      <c r="N235" s="56"/>
      <c r="O235" s="56"/>
      <c r="P235" s="56"/>
    </row>
    <row r="236" spans="1:29" ht="7.5" customHeight="1" x14ac:dyDescent="0.3">
      <c r="L236" s="56"/>
      <c r="M236" s="56"/>
      <c r="N236" s="56"/>
      <c r="O236" s="56"/>
      <c r="P236" s="56"/>
    </row>
    <row r="237" spans="1:29" ht="15.6" x14ac:dyDescent="0.3">
      <c r="B237" s="61" t="s">
        <v>8</v>
      </c>
      <c r="D237" s="185" t="s">
        <v>67</v>
      </c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</row>
    <row r="238" spans="1:29" ht="7.5" customHeight="1" x14ac:dyDescent="0.3">
      <c r="B238" s="62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</row>
    <row r="239" spans="1:29" ht="15.6" x14ac:dyDescent="0.3">
      <c r="B239" s="61" t="s">
        <v>9</v>
      </c>
      <c r="D239" s="5" t="s">
        <v>10</v>
      </c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</row>
    <row r="240" spans="1:29" ht="15.6" x14ac:dyDescent="0.3">
      <c r="B240" s="62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</row>
    <row r="241" spans="2:15" x14ac:dyDescent="0.3">
      <c r="B241" s="64"/>
      <c r="D241" s="65" t="s">
        <v>11</v>
      </c>
      <c r="E241" s="65"/>
      <c r="F241" s="6">
        <v>500</v>
      </c>
      <c r="G241" s="65" t="s">
        <v>12</v>
      </c>
    </row>
    <row r="242" spans="2:15" x14ac:dyDescent="0.3">
      <c r="B242" s="64"/>
      <c r="G242" s="65"/>
    </row>
    <row r="243" spans="2:15" x14ac:dyDescent="0.3">
      <c r="B243" s="64"/>
      <c r="D243" s="66"/>
      <c r="E243" s="66"/>
      <c r="F243" s="176" t="s">
        <v>13</v>
      </c>
      <c r="G243" s="177"/>
      <c r="H243" s="178"/>
      <c r="J243" s="176" t="s">
        <v>14</v>
      </c>
      <c r="K243" s="177"/>
      <c r="L243" s="178"/>
      <c r="N243" s="176" t="s">
        <v>15</v>
      </c>
      <c r="O243" s="178"/>
    </row>
    <row r="244" spans="2:15" x14ac:dyDescent="0.3">
      <c r="B244" s="64"/>
      <c r="D244" s="179" t="s">
        <v>16</v>
      </c>
      <c r="E244" s="67"/>
      <c r="F244" s="68" t="s">
        <v>17</v>
      </c>
      <c r="G244" s="68" t="s">
        <v>18</v>
      </c>
      <c r="H244" s="69" t="s">
        <v>19</v>
      </c>
      <c r="J244" s="68" t="s">
        <v>17</v>
      </c>
      <c r="K244" s="70" t="s">
        <v>18</v>
      </c>
      <c r="L244" s="69" t="s">
        <v>19</v>
      </c>
      <c r="N244" s="181" t="s">
        <v>20</v>
      </c>
      <c r="O244" s="183" t="s">
        <v>21</v>
      </c>
    </row>
    <row r="245" spans="2:15" x14ac:dyDescent="0.3">
      <c r="B245" s="64"/>
      <c r="D245" s="180"/>
      <c r="E245" s="67"/>
      <c r="F245" s="71" t="s">
        <v>22</v>
      </c>
      <c r="G245" s="71"/>
      <c r="H245" s="72" t="s">
        <v>22</v>
      </c>
      <c r="J245" s="71" t="s">
        <v>22</v>
      </c>
      <c r="K245" s="72"/>
      <c r="L245" s="72" t="s">
        <v>22</v>
      </c>
      <c r="N245" s="182"/>
      <c r="O245" s="184"/>
    </row>
    <row r="246" spans="2:15" x14ac:dyDescent="0.3">
      <c r="B246" s="73" t="s">
        <v>23</v>
      </c>
      <c r="C246" s="73"/>
      <c r="D246" s="7" t="s">
        <v>24</v>
      </c>
      <c r="E246" s="73"/>
      <c r="F246" s="129">
        <v>13.11</v>
      </c>
      <c r="G246" s="74">
        <v>1</v>
      </c>
      <c r="H246" s="75">
        <f t="shared" ref="H246:H261" si="38">G246*F246</f>
        <v>13.11</v>
      </c>
      <c r="I246" s="76"/>
      <c r="J246" s="171">
        <v>16.43</v>
      </c>
      <c r="K246" s="77">
        <v>1</v>
      </c>
      <c r="L246" s="75">
        <f t="shared" ref="L246:L261" si="39">K246*J246</f>
        <v>16.43</v>
      </c>
      <c r="M246" s="76"/>
      <c r="N246" s="78">
        <f t="shared" ref="N246:N282" si="40">L246-H246</f>
        <v>3.3200000000000003</v>
      </c>
      <c r="O246" s="79">
        <f t="shared" ref="O246:O268" si="41">IF((H246)=0,"",(N246/H246))</f>
        <v>0.25324180015255532</v>
      </c>
    </row>
    <row r="247" spans="2:15" x14ac:dyDescent="0.3">
      <c r="B247" s="73" t="s">
        <v>25</v>
      </c>
      <c r="C247" s="73"/>
      <c r="D247" s="7" t="s">
        <v>24</v>
      </c>
      <c r="E247" s="73"/>
      <c r="F247" s="133">
        <v>2.4900000000000002</v>
      </c>
      <c r="G247" s="74">
        <v>1</v>
      </c>
      <c r="H247" s="136">
        <f t="shared" si="38"/>
        <v>2.4900000000000002</v>
      </c>
      <c r="I247" s="76"/>
      <c r="J247" s="130"/>
      <c r="K247" s="77">
        <v>1</v>
      </c>
      <c r="L247" s="136">
        <f t="shared" si="39"/>
        <v>0</v>
      </c>
      <c r="M247" s="76"/>
      <c r="N247" s="137">
        <f t="shared" si="40"/>
        <v>-2.4900000000000002</v>
      </c>
      <c r="O247" s="79">
        <f t="shared" si="41"/>
        <v>-1</v>
      </c>
    </row>
    <row r="248" spans="2:15" x14ac:dyDescent="0.3">
      <c r="B248" s="9"/>
      <c r="C248" s="73"/>
      <c r="D248" s="7"/>
      <c r="E248" s="73"/>
      <c r="F248" s="134"/>
      <c r="G248" s="74">
        <v>1</v>
      </c>
      <c r="H248" s="136">
        <f t="shared" si="38"/>
        <v>0</v>
      </c>
      <c r="I248" s="76"/>
      <c r="J248" s="131"/>
      <c r="K248" s="77">
        <v>1</v>
      </c>
      <c r="L248" s="136">
        <f t="shared" si="39"/>
        <v>0</v>
      </c>
      <c r="M248" s="76"/>
      <c r="N248" s="137">
        <f t="shared" si="40"/>
        <v>0</v>
      </c>
      <c r="O248" s="79" t="str">
        <f t="shared" si="41"/>
        <v/>
      </c>
    </row>
    <row r="249" spans="2:15" x14ac:dyDescent="0.3">
      <c r="B249" s="9"/>
      <c r="C249" s="73"/>
      <c r="D249" s="7"/>
      <c r="E249" s="73"/>
      <c r="F249" s="134"/>
      <c r="G249" s="74">
        <v>1</v>
      </c>
      <c r="H249" s="136">
        <f t="shared" si="38"/>
        <v>0</v>
      </c>
      <c r="I249" s="76"/>
      <c r="J249" s="131"/>
      <c r="K249" s="77">
        <v>1</v>
      </c>
      <c r="L249" s="136">
        <f t="shared" si="39"/>
        <v>0</v>
      </c>
      <c r="M249" s="76"/>
      <c r="N249" s="137">
        <f t="shared" si="40"/>
        <v>0</v>
      </c>
      <c r="O249" s="79" t="str">
        <f t="shared" si="41"/>
        <v/>
      </c>
    </row>
    <row r="250" spans="2:15" x14ac:dyDescent="0.3">
      <c r="B250" s="10"/>
      <c r="C250" s="73"/>
      <c r="D250" s="7"/>
      <c r="E250" s="73"/>
      <c r="F250" s="134"/>
      <c r="G250" s="74">
        <v>1</v>
      </c>
      <c r="H250" s="136">
        <f t="shared" si="38"/>
        <v>0</v>
      </c>
      <c r="I250" s="76"/>
      <c r="J250" s="131"/>
      <c r="K250" s="77">
        <v>1</v>
      </c>
      <c r="L250" s="136">
        <f t="shared" si="39"/>
        <v>0</v>
      </c>
      <c r="M250" s="76"/>
      <c r="N250" s="137">
        <f t="shared" si="40"/>
        <v>0</v>
      </c>
      <c r="O250" s="79" t="str">
        <f t="shared" si="41"/>
        <v/>
      </c>
    </row>
    <row r="251" spans="2:15" x14ac:dyDescent="0.3">
      <c r="B251" s="10"/>
      <c r="C251" s="73"/>
      <c r="D251" s="7"/>
      <c r="E251" s="73"/>
      <c r="F251" s="134"/>
      <c r="G251" s="74">
        <v>1</v>
      </c>
      <c r="H251" s="136">
        <f t="shared" si="38"/>
        <v>0</v>
      </c>
      <c r="I251" s="76"/>
      <c r="J251" s="131"/>
      <c r="K251" s="77">
        <v>1</v>
      </c>
      <c r="L251" s="136">
        <f t="shared" si="39"/>
        <v>0</v>
      </c>
      <c r="M251" s="76"/>
      <c r="N251" s="137">
        <f t="shared" si="40"/>
        <v>0</v>
      </c>
      <c r="O251" s="79" t="str">
        <f t="shared" si="41"/>
        <v/>
      </c>
    </row>
    <row r="252" spans="2:15" x14ac:dyDescent="0.3">
      <c r="B252" s="73" t="s">
        <v>26</v>
      </c>
      <c r="C252" s="73"/>
      <c r="D252" s="7" t="s">
        <v>27</v>
      </c>
      <c r="E252" s="73"/>
      <c r="F252" s="135">
        <v>1.43E-2</v>
      </c>
      <c r="G252" s="74">
        <f>$F$241</f>
        <v>500</v>
      </c>
      <c r="H252" s="136">
        <f t="shared" si="38"/>
        <v>7.15</v>
      </c>
      <c r="I252" s="76"/>
      <c r="J252" s="132">
        <v>1.7899999999999999E-2</v>
      </c>
      <c r="K252" s="74">
        <f>$F$241</f>
        <v>500</v>
      </c>
      <c r="L252" s="136">
        <f t="shared" si="39"/>
        <v>8.9499999999999993</v>
      </c>
      <c r="M252" s="76"/>
      <c r="N252" s="137">
        <f t="shared" si="40"/>
        <v>1.7999999999999989</v>
      </c>
      <c r="O252" s="79">
        <f t="shared" si="41"/>
        <v>0.25174825174825161</v>
      </c>
    </row>
    <row r="253" spans="2:15" x14ac:dyDescent="0.3">
      <c r="B253" s="73" t="s">
        <v>28</v>
      </c>
      <c r="C253" s="73"/>
      <c r="D253" s="7" t="s">
        <v>24</v>
      </c>
      <c r="E253" s="73"/>
      <c r="F253" s="135">
        <v>-0.03</v>
      </c>
      <c r="G253" s="74">
        <v>1</v>
      </c>
      <c r="H253" s="136">
        <f t="shared" si="38"/>
        <v>-0.03</v>
      </c>
      <c r="I253" s="76"/>
      <c r="J253" s="132"/>
      <c r="K253" s="74">
        <v>1</v>
      </c>
      <c r="L253" s="136">
        <f t="shared" si="39"/>
        <v>0</v>
      </c>
      <c r="M253" s="76"/>
      <c r="N253" s="137">
        <f t="shared" si="40"/>
        <v>0.03</v>
      </c>
      <c r="O253" s="79">
        <f t="shared" si="41"/>
        <v>-1</v>
      </c>
    </row>
    <row r="254" spans="2:15" x14ac:dyDescent="0.3">
      <c r="B254" s="73" t="s">
        <v>29</v>
      </c>
      <c r="C254" s="73"/>
      <c r="D254" s="7" t="s">
        <v>27</v>
      </c>
      <c r="E254" s="73"/>
      <c r="F254" s="135">
        <v>2.9999999999999997E-4</v>
      </c>
      <c r="G254" s="74">
        <f t="shared" ref="G254:G256" si="42">$F$241</f>
        <v>500</v>
      </c>
      <c r="H254" s="136">
        <f t="shared" si="38"/>
        <v>0.15</v>
      </c>
      <c r="I254" s="76"/>
      <c r="J254" s="132">
        <v>2.0000000000000001E-4</v>
      </c>
      <c r="K254" s="74">
        <f t="shared" ref="K254:K256" si="43">$F$241</f>
        <v>500</v>
      </c>
      <c r="L254" s="136">
        <f t="shared" si="39"/>
        <v>0.1</v>
      </c>
      <c r="M254" s="76"/>
      <c r="N254" s="137">
        <f t="shared" si="40"/>
        <v>-4.9999999999999989E-2</v>
      </c>
      <c r="O254" s="79">
        <f t="shared" si="41"/>
        <v>-0.33333333333333326</v>
      </c>
    </row>
    <row r="255" spans="2:15" x14ac:dyDescent="0.3">
      <c r="B255" s="11" t="s">
        <v>30</v>
      </c>
      <c r="C255" s="73"/>
      <c r="D255" s="7" t="s">
        <v>27</v>
      </c>
      <c r="E255" s="73"/>
      <c r="F255" s="135">
        <v>1.8E-3</v>
      </c>
      <c r="G255" s="74">
        <f t="shared" si="42"/>
        <v>500</v>
      </c>
      <c r="H255" s="136">
        <f t="shared" si="38"/>
        <v>0.9</v>
      </c>
      <c r="I255" s="76"/>
      <c r="J255" s="132"/>
      <c r="K255" s="74">
        <f t="shared" si="43"/>
        <v>500</v>
      </c>
      <c r="L255" s="136">
        <f t="shared" si="39"/>
        <v>0</v>
      </c>
      <c r="M255" s="76"/>
      <c r="N255" s="137">
        <f t="shared" si="40"/>
        <v>-0.9</v>
      </c>
      <c r="O255" s="79">
        <f t="shared" si="41"/>
        <v>-1</v>
      </c>
    </row>
    <row r="256" spans="2:15" x14ac:dyDescent="0.3">
      <c r="B256" s="11" t="s">
        <v>31</v>
      </c>
      <c r="C256" s="73"/>
      <c r="D256" s="7" t="s">
        <v>27</v>
      </c>
      <c r="E256" s="73"/>
      <c r="F256" s="135">
        <v>-2.9999999999999997E-4</v>
      </c>
      <c r="G256" s="74">
        <f t="shared" si="42"/>
        <v>500</v>
      </c>
      <c r="H256" s="136">
        <f t="shared" si="38"/>
        <v>-0.15</v>
      </c>
      <c r="I256" s="76"/>
      <c r="J256" s="132"/>
      <c r="K256" s="74">
        <f t="shared" si="43"/>
        <v>500</v>
      </c>
      <c r="L256" s="136">
        <f t="shared" si="39"/>
        <v>0</v>
      </c>
      <c r="M256" s="76"/>
      <c r="N256" s="137">
        <f t="shared" si="40"/>
        <v>0.15</v>
      </c>
      <c r="O256" s="79">
        <f t="shared" si="41"/>
        <v>-1</v>
      </c>
    </row>
    <row r="257" spans="1:63" x14ac:dyDescent="0.3">
      <c r="B257" s="11" t="s">
        <v>32</v>
      </c>
      <c r="C257" s="73"/>
      <c r="D257" s="7" t="s">
        <v>24</v>
      </c>
      <c r="E257" s="73"/>
      <c r="F257" s="135">
        <v>0</v>
      </c>
      <c r="G257" s="74">
        <v>1</v>
      </c>
      <c r="H257" s="136">
        <f t="shared" si="38"/>
        <v>0</v>
      </c>
      <c r="I257" s="76"/>
      <c r="J257" s="132">
        <v>0.76</v>
      </c>
      <c r="K257" s="74">
        <v>1</v>
      </c>
      <c r="L257" s="136">
        <f t="shared" si="39"/>
        <v>0.76</v>
      </c>
      <c r="M257" s="76"/>
      <c r="N257" s="137">
        <f t="shared" si="40"/>
        <v>0.76</v>
      </c>
      <c r="O257" s="79" t="str">
        <f t="shared" si="41"/>
        <v/>
      </c>
    </row>
    <row r="258" spans="1:63" x14ac:dyDescent="0.3">
      <c r="B258" s="12" t="s">
        <v>33</v>
      </c>
      <c r="C258" s="73"/>
      <c r="D258" s="7"/>
      <c r="E258" s="73"/>
      <c r="F258" s="134"/>
      <c r="G258" s="74">
        <f t="shared" ref="G258:G267" si="44">$F$241</f>
        <v>500</v>
      </c>
      <c r="H258" s="136">
        <f t="shared" si="38"/>
        <v>0</v>
      </c>
      <c r="I258" s="76"/>
      <c r="J258" s="132">
        <v>-1E-4</v>
      </c>
      <c r="K258" s="74">
        <f t="shared" ref="K258:K261" si="45">$F$241</f>
        <v>500</v>
      </c>
      <c r="L258" s="136">
        <f t="shared" si="39"/>
        <v>-0.05</v>
      </c>
      <c r="M258" s="76"/>
      <c r="N258" s="137">
        <f t="shared" si="40"/>
        <v>-0.05</v>
      </c>
      <c r="O258" s="79" t="str">
        <f t="shared" si="41"/>
        <v/>
      </c>
    </row>
    <row r="259" spans="1:63" x14ac:dyDescent="0.3">
      <c r="B259" s="12" t="s">
        <v>77</v>
      </c>
      <c r="C259" s="73"/>
      <c r="D259" s="7"/>
      <c r="E259" s="73"/>
      <c r="F259" s="134"/>
      <c r="G259" s="74">
        <f t="shared" si="44"/>
        <v>500</v>
      </c>
      <c r="H259" s="136">
        <f t="shared" si="38"/>
        <v>0</v>
      </c>
      <c r="I259" s="76"/>
      <c r="J259" s="132">
        <v>2.0000000000000001E-4</v>
      </c>
      <c r="K259" s="74">
        <f t="shared" si="45"/>
        <v>500</v>
      </c>
      <c r="L259" s="136">
        <f t="shared" si="39"/>
        <v>0.1</v>
      </c>
      <c r="M259" s="76"/>
      <c r="N259" s="137">
        <f t="shared" si="40"/>
        <v>0.1</v>
      </c>
      <c r="O259" s="79" t="str">
        <f t="shared" si="41"/>
        <v/>
      </c>
    </row>
    <row r="260" spans="1:63" x14ac:dyDescent="0.3">
      <c r="B260" s="12"/>
      <c r="C260" s="73"/>
      <c r="D260" s="7"/>
      <c r="E260" s="73"/>
      <c r="F260" s="131"/>
      <c r="G260" s="74">
        <f t="shared" si="44"/>
        <v>500</v>
      </c>
      <c r="H260" s="136">
        <f t="shared" si="38"/>
        <v>0</v>
      </c>
      <c r="I260" s="76"/>
      <c r="J260" s="131"/>
      <c r="K260" s="74">
        <f t="shared" si="45"/>
        <v>500</v>
      </c>
      <c r="L260" s="136">
        <f t="shared" si="39"/>
        <v>0</v>
      </c>
      <c r="M260" s="76"/>
      <c r="N260" s="137">
        <f t="shared" si="40"/>
        <v>0</v>
      </c>
      <c r="O260" s="79" t="str">
        <f t="shared" si="41"/>
        <v/>
      </c>
    </row>
    <row r="261" spans="1:63" x14ac:dyDescent="0.3">
      <c r="B261" s="12"/>
      <c r="C261" s="73"/>
      <c r="D261" s="7"/>
      <c r="E261" s="73"/>
      <c r="F261" s="131"/>
      <c r="G261" s="74">
        <f t="shared" si="44"/>
        <v>500</v>
      </c>
      <c r="H261" s="136">
        <f t="shared" si="38"/>
        <v>0</v>
      </c>
      <c r="I261" s="76"/>
      <c r="J261" s="131"/>
      <c r="K261" s="74">
        <f t="shared" si="45"/>
        <v>500</v>
      </c>
      <c r="L261" s="136">
        <f t="shared" si="39"/>
        <v>0</v>
      </c>
      <c r="M261" s="76"/>
      <c r="N261" s="137">
        <f t="shared" si="40"/>
        <v>0</v>
      </c>
      <c r="O261" s="79" t="str">
        <f t="shared" si="41"/>
        <v/>
      </c>
    </row>
    <row r="262" spans="1:63" s="4" customFormat="1" x14ac:dyDescent="0.3">
      <c r="A262" s="60"/>
      <c r="B262" s="19" t="s">
        <v>34</v>
      </c>
      <c r="C262" s="20"/>
      <c r="D262" s="20"/>
      <c r="E262" s="20"/>
      <c r="F262" s="21"/>
      <c r="G262" s="22"/>
      <c r="H262" s="23">
        <f>SUM(H246:H261)</f>
        <v>23.619999999999997</v>
      </c>
      <c r="I262" s="13"/>
      <c r="J262" s="14"/>
      <c r="K262" s="24"/>
      <c r="L262" s="23">
        <f>SUM(L246:L261)</f>
        <v>26.290000000000003</v>
      </c>
      <c r="M262" s="13"/>
      <c r="N262" s="15">
        <f t="shared" si="40"/>
        <v>2.6700000000000053</v>
      </c>
      <c r="O262" s="16">
        <f t="shared" si="41"/>
        <v>0.11303979678238804</v>
      </c>
      <c r="P262" s="60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</row>
    <row r="263" spans="1:63" x14ac:dyDescent="0.3">
      <c r="B263" s="17" t="s">
        <v>35</v>
      </c>
      <c r="C263" s="73"/>
      <c r="D263" s="7" t="s">
        <v>27</v>
      </c>
      <c r="E263" s="73"/>
      <c r="F263" s="135">
        <v>2.9999999999999997E-4</v>
      </c>
      <c r="G263" s="74">
        <f t="shared" si="44"/>
        <v>500</v>
      </c>
      <c r="H263" s="136">
        <f t="shared" ref="H263:H269" si="46">G263*F263</f>
        <v>0.15</v>
      </c>
      <c r="I263" s="76"/>
      <c r="J263" s="135">
        <v>-6.9999999999999999E-4</v>
      </c>
      <c r="K263" s="74">
        <f t="shared" ref="K263:K267" si="47">$F$241</f>
        <v>500</v>
      </c>
      <c r="L263" s="136">
        <f t="shared" ref="L263:L269" si="48">K263*J263</f>
        <v>-0.35</v>
      </c>
      <c r="M263" s="76"/>
      <c r="N263" s="137">
        <f t="shared" si="40"/>
        <v>-0.5</v>
      </c>
      <c r="O263" s="79">
        <f t="shared" si="41"/>
        <v>-3.3333333333333335</v>
      </c>
    </row>
    <row r="264" spans="1:63" x14ac:dyDescent="0.3">
      <c r="B264" s="17"/>
      <c r="C264" s="73"/>
      <c r="D264" s="7"/>
      <c r="E264" s="73"/>
      <c r="F264" s="8"/>
      <c r="G264" s="74">
        <f t="shared" si="44"/>
        <v>500</v>
      </c>
      <c r="H264" s="136">
        <f t="shared" si="46"/>
        <v>0</v>
      </c>
      <c r="I264" s="82"/>
      <c r="J264" s="8"/>
      <c r="K264" s="74">
        <f t="shared" si="47"/>
        <v>500</v>
      </c>
      <c r="L264" s="136">
        <f t="shared" si="48"/>
        <v>0</v>
      </c>
      <c r="M264" s="83"/>
      <c r="N264" s="137">
        <f t="shared" si="40"/>
        <v>0</v>
      </c>
      <c r="O264" s="79" t="str">
        <f t="shared" si="41"/>
        <v/>
      </c>
    </row>
    <row r="265" spans="1:63" x14ac:dyDescent="0.3">
      <c r="B265" s="17"/>
      <c r="C265" s="73"/>
      <c r="D265" s="7"/>
      <c r="E265" s="73"/>
      <c r="F265" s="8"/>
      <c r="G265" s="74">
        <f t="shared" si="44"/>
        <v>500</v>
      </c>
      <c r="H265" s="136">
        <f t="shared" si="46"/>
        <v>0</v>
      </c>
      <c r="I265" s="82"/>
      <c r="J265" s="8"/>
      <c r="K265" s="74">
        <f t="shared" si="47"/>
        <v>500</v>
      </c>
      <c r="L265" s="136">
        <f t="shared" si="48"/>
        <v>0</v>
      </c>
      <c r="M265" s="83"/>
      <c r="N265" s="137">
        <f t="shared" si="40"/>
        <v>0</v>
      </c>
      <c r="O265" s="79" t="str">
        <f t="shared" si="41"/>
        <v/>
      </c>
    </row>
    <row r="266" spans="1:63" x14ac:dyDescent="0.3">
      <c r="B266" s="17"/>
      <c r="C266" s="73"/>
      <c r="D266" s="7"/>
      <c r="E266" s="73"/>
      <c r="F266" s="8"/>
      <c r="G266" s="74">
        <f t="shared" si="44"/>
        <v>500</v>
      </c>
      <c r="H266" s="136">
        <f t="shared" si="46"/>
        <v>0</v>
      </c>
      <c r="I266" s="82"/>
      <c r="J266" s="8"/>
      <c r="K266" s="74">
        <f t="shared" si="47"/>
        <v>500</v>
      </c>
      <c r="L266" s="136">
        <f t="shared" si="48"/>
        <v>0</v>
      </c>
      <c r="M266" s="83"/>
      <c r="N266" s="137">
        <f t="shared" si="40"/>
        <v>0</v>
      </c>
      <c r="O266" s="79" t="str">
        <f t="shared" si="41"/>
        <v/>
      </c>
    </row>
    <row r="267" spans="1:63" x14ac:dyDescent="0.3">
      <c r="B267" s="80" t="s">
        <v>36</v>
      </c>
      <c r="C267" s="73"/>
      <c r="D267" s="7" t="s">
        <v>27</v>
      </c>
      <c r="E267" s="73"/>
      <c r="F267" s="135">
        <v>2.0000000000000001E-4</v>
      </c>
      <c r="G267" s="74">
        <f t="shared" si="44"/>
        <v>500</v>
      </c>
      <c r="H267" s="136">
        <f t="shared" si="46"/>
        <v>0.1</v>
      </c>
      <c r="I267" s="76"/>
      <c r="J267" s="135">
        <v>4.0000000000000002E-4</v>
      </c>
      <c r="K267" s="74">
        <f t="shared" si="47"/>
        <v>500</v>
      </c>
      <c r="L267" s="136">
        <f t="shared" si="48"/>
        <v>0.2</v>
      </c>
      <c r="M267" s="76"/>
      <c r="N267" s="137">
        <f t="shared" si="40"/>
        <v>0.1</v>
      </c>
      <c r="O267" s="79">
        <f t="shared" si="41"/>
        <v>1</v>
      </c>
    </row>
    <row r="268" spans="1:63" x14ac:dyDescent="0.3">
      <c r="B268" s="80" t="s">
        <v>37</v>
      </c>
      <c r="C268" s="73"/>
      <c r="D268" s="7" t="s">
        <v>27</v>
      </c>
      <c r="E268" s="73"/>
      <c r="F268" s="138">
        <f>IF(ISBLANK(D239)=TRUE, 0, IF(D239="TOU", 0.64*$F278+0.18*$F279+0.18*$F280, IF(AND(D239="non-TOU", G282&gt;0), F282,F281)))</f>
        <v>8.3919999999999995E-2</v>
      </c>
      <c r="G268" s="18">
        <f>$F$241*(1+$F$297)-$F$241</f>
        <v>18.850000000000023</v>
      </c>
      <c r="H268" s="136">
        <f t="shared" si="46"/>
        <v>1.5818920000000019</v>
      </c>
      <c r="I268" s="76"/>
      <c r="J268" s="138">
        <f>0.64*$F278+0.18*$F279+0.18*$F280</f>
        <v>8.3919999999999995E-2</v>
      </c>
      <c r="K268" s="18">
        <f>$F$241*(1+$J$297)-$F$241</f>
        <v>18.800000000000068</v>
      </c>
      <c r="L268" s="136">
        <f t="shared" si="48"/>
        <v>1.5776960000000055</v>
      </c>
      <c r="M268" s="76"/>
      <c r="N268" s="137">
        <f t="shared" si="40"/>
        <v>-4.1959999999963138E-3</v>
      </c>
      <c r="O268" s="79">
        <f t="shared" si="41"/>
        <v>-2.6525198938968709E-3</v>
      </c>
    </row>
    <row r="269" spans="1:63" x14ac:dyDescent="0.3">
      <c r="B269" s="80" t="s">
        <v>38</v>
      </c>
      <c r="C269" s="73"/>
      <c r="D269" s="7" t="s">
        <v>24</v>
      </c>
      <c r="E269" s="73"/>
      <c r="F269" s="138">
        <v>0.79</v>
      </c>
      <c r="G269" s="74">
        <v>1</v>
      </c>
      <c r="H269" s="136">
        <f t="shared" si="46"/>
        <v>0.79</v>
      </c>
      <c r="I269" s="76"/>
      <c r="J269" s="138">
        <v>0.79</v>
      </c>
      <c r="K269" s="81">
        <v>1</v>
      </c>
      <c r="L269" s="136">
        <f t="shared" si="48"/>
        <v>0.79</v>
      </c>
      <c r="M269" s="76"/>
      <c r="N269" s="137">
        <f t="shared" si="40"/>
        <v>0</v>
      </c>
      <c r="O269" s="79"/>
    </row>
    <row r="270" spans="1:63" s="4" customFormat="1" x14ac:dyDescent="0.3">
      <c r="A270" s="60"/>
      <c r="B270" s="19" t="s">
        <v>39</v>
      </c>
      <c r="C270" s="20"/>
      <c r="D270" s="20"/>
      <c r="E270" s="20"/>
      <c r="F270" s="21"/>
      <c r="G270" s="22"/>
      <c r="H270" s="23">
        <f>SUM(H263:H269)+H262</f>
        <v>26.241892</v>
      </c>
      <c r="I270" s="13"/>
      <c r="J270" s="22"/>
      <c r="K270" s="24"/>
      <c r="L270" s="23">
        <f>SUM(L263:L269)+L262</f>
        <v>28.50769600000001</v>
      </c>
      <c r="M270" s="13"/>
      <c r="N270" s="15">
        <f t="shared" si="40"/>
        <v>2.2658040000000099</v>
      </c>
      <c r="O270" s="16">
        <f t="shared" ref="O270:O282" si="49">IF((H270)=0,"",(N270/H270))</f>
        <v>8.6343012157812773E-2</v>
      </c>
      <c r="P270" s="60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</row>
    <row r="271" spans="1:63" x14ac:dyDescent="0.3">
      <c r="B271" s="76" t="s">
        <v>40</v>
      </c>
      <c r="C271" s="76"/>
      <c r="D271" s="25" t="s">
        <v>27</v>
      </c>
      <c r="E271" s="76"/>
      <c r="F271" s="135">
        <v>8.0000000000000002E-3</v>
      </c>
      <c r="G271" s="18">
        <f>F241*(1+F297)</f>
        <v>518.85</v>
      </c>
      <c r="H271" s="136">
        <f>G271*F271</f>
        <v>4.1508000000000003</v>
      </c>
      <c r="I271" s="76"/>
      <c r="J271" s="135">
        <v>7.4999999999999997E-3</v>
      </c>
      <c r="K271" s="18">
        <f>F241*(1+J297)</f>
        <v>518.80000000000007</v>
      </c>
      <c r="L271" s="136">
        <f>K271*J271</f>
        <v>3.8910000000000005</v>
      </c>
      <c r="M271" s="76"/>
      <c r="N271" s="136">
        <f t="shared" si="40"/>
        <v>-0.25979999999999981</v>
      </c>
      <c r="O271" s="79">
        <f t="shared" si="49"/>
        <v>-6.2590344030066442E-2</v>
      </c>
    </row>
    <row r="272" spans="1:63" x14ac:dyDescent="0.3">
      <c r="B272" s="85" t="s">
        <v>41</v>
      </c>
      <c r="C272" s="76"/>
      <c r="D272" s="25" t="s">
        <v>27</v>
      </c>
      <c r="E272" s="76"/>
      <c r="F272" s="135">
        <v>5.4999999999999997E-3</v>
      </c>
      <c r="G272" s="18">
        <f>G271</f>
        <v>518.85</v>
      </c>
      <c r="H272" s="136">
        <f>G272*F272</f>
        <v>2.853675</v>
      </c>
      <c r="I272" s="76"/>
      <c r="J272" s="135">
        <v>3.8999999999999998E-3</v>
      </c>
      <c r="K272" s="18">
        <f>K271</f>
        <v>518.80000000000007</v>
      </c>
      <c r="L272" s="136">
        <f>K272*J272</f>
        <v>2.02332</v>
      </c>
      <c r="M272" s="76"/>
      <c r="N272" s="136">
        <f t="shared" si="40"/>
        <v>-0.83035499999999995</v>
      </c>
      <c r="O272" s="79">
        <f t="shared" si="49"/>
        <v>-0.29097742384819575</v>
      </c>
    </row>
    <row r="273" spans="1:63" s="4" customFormat="1" x14ac:dyDescent="0.3">
      <c r="A273" s="60"/>
      <c r="B273" s="19" t="s">
        <v>42</v>
      </c>
      <c r="C273" s="20"/>
      <c r="D273" s="20"/>
      <c r="E273" s="20"/>
      <c r="F273" s="21"/>
      <c r="G273" s="22"/>
      <c r="H273" s="23">
        <f>SUM(H270:H272)</f>
        <v>33.246366999999999</v>
      </c>
      <c r="I273" s="13"/>
      <c r="J273" s="26"/>
      <c r="K273" s="22"/>
      <c r="L273" s="23">
        <f>SUM(L270:L272)</f>
        <v>34.422016000000006</v>
      </c>
      <c r="M273" s="13"/>
      <c r="N273" s="15">
        <f t="shared" si="40"/>
        <v>1.175649000000007</v>
      </c>
      <c r="O273" s="16">
        <f t="shared" si="49"/>
        <v>3.5361728395767483E-2</v>
      </c>
      <c r="P273" s="60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</row>
    <row r="274" spans="1:63" x14ac:dyDescent="0.3">
      <c r="B274" s="86" t="s">
        <v>43</v>
      </c>
      <c r="C274" s="73"/>
      <c r="D274" s="7" t="s">
        <v>27</v>
      </c>
      <c r="E274" s="73"/>
      <c r="F274" s="135">
        <v>4.4000000000000003E-3</v>
      </c>
      <c r="G274" s="18">
        <f>G272</f>
        <v>518.85</v>
      </c>
      <c r="H274" s="139">
        <f t="shared" ref="H274:H282" si="50">G274*F274</f>
        <v>2.2829400000000004</v>
      </c>
      <c r="I274" s="76"/>
      <c r="J274" s="135">
        <v>4.4000000000000003E-3</v>
      </c>
      <c r="K274" s="18">
        <f>K272</f>
        <v>518.80000000000007</v>
      </c>
      <c r="L274" s="139">
        <f t="shared" ref="L274:L282" si="51">K274*J274</f>
        <v>2.2827200000000003</v>
      </c>
      <c r="M274" s="76"/>
      <c r="N274" s="137">
        <f t="shared" si="40"/>
        <v>-2.20000000000109E-4</v>
      </c>
      <c r="O274" s="87">
        <f t="shared" si="49"/>
        <v>-9.6366965404307147E-5</v>
      </c>
    </row>
    <row r="275" spans="1:63" x14ac:dyDescent="0.3">
      <c r="B275" s="86" t="s">
        <v>44</v>
      </c>
      <c r="C275" s="73"/>
      <c r="D275" s="7" t="s">
        <v>27</v>
      </c>
      <c r="E275" s="73"/>
      <c r="F275" s="135">
        <v>1.1999999999999999E-3</v>
      </c>
      <c r="G275" s="18">
        <f>G272</f>
        <v>518.85</v>
      </c>
      <c r="H275" s="139">
        <f t="shared" si="50"/>
        <v>0.62261999999999995</v>
      </c>
      <c r="I275" s="76"/>
      <c r="J275" s="135">
        <v>1.1999999999999999E-3</v>
      </c>
      <c r="K275" s="18">
        <f>K272</f>
        <v>518.80000000000007</v>
      </c>
      <c r="L275" s="139">
        <f t="shared" si="51"/>
        <v>0.62256</v>
      </c>
      <c r="M275" s="76"/>
      <c r="N275" s="137">
        <f t="shared" si="40"/>
        <v>-5.9999999999948983E-5</v>
      </c>
      <c r="O275" s="87">
        <f t="shared" si="49"/>
        <v>-9.636696540417749E-5</v>
      </c>
    </row>
    <row r="276" spans="1:63" x14ac:dyDescent="0.3">
      <c r="B276" s="73" t="s">
        <v>45</v>
      </c>
      <c r="C276" s="73"/>
      <c r="D276" s="7" t="s">
        <v>24</v>
      </c>
      <c r="E276" s="73"/>
      <c r="F276" s="135">
        <v>0.25</v>
      </c>
      <c r="G276" s="81">
        <v>1</v>
      </c>
      <c r="H276" s="139">
        <f t="shared" si="50"/>
        <v>0.25</v>
      </c>
      <c r="I276" s="76"/>
      <c r="J276" s="135">
        <v>0.25</v>
      </c>
      <c r="K276" s="77">
        <v>1</v>
      </c>
      <c r="L276" s="139">
        <f t="shared" si="51"/>
        <v>0.25</v>
      </c>
      <c r="M276" s="76"/>
      <c r="N276" s="137">
        <f t="shared" si="40"/>
        <v>0</v>
      </c>
      <c r="O276" s="87">
        <f t="shared" si="49"/>
        <v>0</v>
      </c>
    </row>
    <row r="277" spans="1:63" x14ac:dyDescent="0.3">
      <c r="B277" s="73" t="s">
        <v>46</v>
      </c>
      <c r="C277" s="73"/>
      <c r="D277" s="7" t="s">
        <v>27</v>
      </c>
      <c r="E277" s="73"/>
      <c r="F277" s="135">
        <v>7.0000000000000001E-3</v>
      </c>
      <c r="G277" s="84">
        <f>F241</f>
        <v>500</v>
      </c>
      <c r="H277" s="139">
        <f t="shared" si="50"/>
        <v>3.5</v>
      </c>
      <c r="I277" s="76"/>
      <c r="J277" s="135">
        <v>7.0000000000000001E-3</v>
      </c>
      <c r="K277" s="77">
        <f>F241</f>
        <v>500</v>
      </c>
      <c r="L277" s="139">
        <f t="shared" si="51"/>
        <v>3.5</v>
      </c>
      <c r="M277" s="76"/>
      <c r="N277" s="137">
        <f t="shared" si="40"/>
        <v>0</v>
      </c>
      <c r="O277" s="87">
        <f t="shared" si="49"/>
        <v>0</v>
      </c>
    </row>
    <row r="278" spans="1:63" x14ac:dyDescent="0.3">
      <c r="B278" s="80" t="s">
        <v>47</v>
      </c>
      <c r="C278" s="73"/>
      <c r="D278" s="7" t="s">
        <v>27</v>
      </c>
      <c r="E278" s="73"/>
      <c r="F278" s="138">
        <v>6.7000000000000004E-2</v>
      </c>
      <c r="G278" s="27">
        <f>0.64*$F$241</f>
        <v>320</v>
      </c>
      <c r="H278" s="139">
        <f t="shared" si="50"/>
        <v>21.44</v>
      </c>
      <c r="I278" s="76"/>
      <c r="J278" s="138">
        <v>6.7000000000000004E-2</v>
      </c>
      <c r="K278" s="28">
        <f>G278</f>
        <v>320</v>
      </c>
      <c r="L278" s="139">
        <f t="shared" si="51"/>
        <v>21.44</v>
      </c>
      <c r="M278" s="76"/>
      <c r="N278" s="137">
        <f t="shared" si="40"/>
        <v>0</v>
      </c>
      <c r="O278" s="87">
        <f t="shared" si="49"/>
        <v>0</v>
      </c>
      <c r="S278" s="127"/>
    </row>
    <row r="279" spans="1:63" x14ac:dyDescent="0.3">
      <c r="B279" s="80" t="s">
        <v>48</v>
      </c>
      <c r="C279" s="73"/>
      <c r="D279" s="7" t="s">
        <v>27</v>
      </c>
      <c r="E279" s="73"/>
      <c r="F279" s="138">
        <v>0.104</v>
      </c>
      <c r="G279" s="27">
        <f>0.18*$F$241</f>
        <v>90</v>
      </c>
      <c r="H279" s="139">
        <f t="shared" si="50"/>
        <v>9.36</v>
      </c>
      <c r="I279" s="76"/>
      <c r="J279" s="138">
        <v>0.104</v>
      </c>
      <c r="K279" s="28">
        <f>G279</f>
        <v>90</v>
      </c>
      <c r="L279" s="139">
        <f t="shared" si="51"/>
        <v>9.36</v>
      </c>
      <c r="M279" s="76"/>
      <c r="N279" s="137">
        <f t="shared" si="40"/>
        <v>0</v>
      </c>
      <c r="O279" s="87">
        <f t="shared" si="49"/>
        <v>0</v>
      </c>
      <c r="S279" s="127"/>
    </row>
    <row r="280" spans="1:63" x14ac:dyDescent="0.3">
      <c r="B280" s="64" t="s">
        <v>49</v>
      </c>
      <c r="C280" s="73"/>
      <c r="D280" s="7" t="s">
        <v>27</v>
      </c>
      <c r="E280" s="73"/>
      <c r="F280" s="138">
        <v>0.124</v>
      </c>
      <c r="G280" s="27">
        <f>0.18*$F$241</f>
        <v>90</v>
      </c>
      <c r="H280" s="139">
        <f t="shared" si="50"/>
        <v>11.16</v>
      </c>
      <c r="I280" s="76"/>
      <c r="J280" s="138">
        <v>0.124</v>
      </c>
      <c r="K280" s="28">
        <f>G280</f>
        <v>90</v>
      </c>
      <c r="L280" s="139">
        <f t="shared" si="51"/>
        <v>11.16</v>
      </c>
      <c r="M280" s="76"/>
      <c r="N280" s="137">
        <f t="shared" si="40"/>
        <v>0</v>
      </c>
      <c r="O280" s="87">
        <f t="shared" si="49"/>
        <v>0</v>
      </c>
      <c r="S280" s="127"/>
    </row>
    <row r="281" spans="1:63" s="92" customFormat="1" x14ac:dyDescent="0.25">
      <c r="B281" s="89" t="s">
        <v>50</v>
      </c>
      <c r="C281" s="90"/>
      <c r="D281" s="29" t="s">
        <v>27</v>
      </c>
      <c r="E281" s="90"/>
      <c r="F281" s="138">
        <v>7.4999999999999997E-2</v>
      </c>
      <c r="G281" s="30">
        <f>IF(AND($T$1=1, F241&gt;=600), 600, IF(AND($T$1=1, AND(F241&lt;600, F241&gt;=0)), F241, IF(AND($T$1=2, F241&gt;=1000), 1000, IF(AND($T$1=2, AND(F241&lt;1000, F241&gt;=0)), F241))))</f>
        <v>500</v>
      </c>
      <c r="H281" s="139">
        <f t="shared" si="50"/>
        <v>37.5</v>
      </c>
      <c r="I281" s="91"/>
      <c r="J281" s="138">
        <v>7.4999999999999997E-2</v>
      </c>
      <c r="K281" s="31">
        <f>G281</f>
        <v>500</v>
      </c>
      <c r="L281" s="139">
        <f t="shared" si="51"/>
        <v>37.5</v>
      </c>
      <c r="M281" s="91"/>
      <c r="N281" s="140">
        <f t="shared" si="40"/>
        <v>0</v>
      </c>
      <c r="O281" s="87">
        <f t="shared" si="49"/>
        <v>0</v>
      </c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</row>
    <row r="282" spans="1:63" s="92" customFormat="1" ht="15" thickBot="1" x14ac:dyDescent="0.3">
      <c r="B282" s="89" t="s">
        <v>51</v>
      </c>
      <c r="C282" s="90"/>
      <c r="D282" s="29" t="s">
        <v>27</v>
      </c>
      <c r="E282" s="90"/>
      <c r="F282" s="138">
        <v>8.7999999999999995E-2</v>
      </c>
      <c r="G282" s="30">
        <f>IF(AND($T$1=1, F241&gt;=600), F241-600, IF(AND($T$1=1, AND(F241&lt;600, F241&gt;=0)), 0, IF(AND($T$1=2, F241&gt;=1000), F241-1000, IF(AND($T$1=2, AND(F241&lt;1000, F241&gt;=0)), 0))))</f>
        <v>0</v>
      </c>
      <c r="H282" s="139">
        <f t="shared" si="50"/>
        <v>0</v>
      </c>
      <c r="I282" s="91"/>
      <c r="J282" s="138">
        <v>8.7999999999999995E-2</v>
      </c>
      <c r="K282" s="31">
        <f>G282</f>
        <v>0</v>
      </c>
      <c r="L282" s="139">
        <f t="shared" si="51"/>
        <v>0</v>
      </c>
      <c r="M282" s="91"/>
      <c r="N282" s="140">
        <f t="shared" si="40"/>
        <v>0</v>
      </c>
      <c r="O282" s="87" t="str">
        <f t="shared" si="49"/>
        <v/>
      </c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</row>
    <row r="283" spans="1:63" s="4" customFormat="1" ht="15" thickBot="1" x14ac:dyDescent="0.35">
      <c r="A283" s="60"/>
      <c r="B283" s="32"/>
      <c r="C283" s="33"/>
      <c r="D283" s="124"/>
      <c r="E283" s="33"/>
      <c r="F283" s="35"/>
      <c r="G283" s="36"/>
      <c r="H283" s="122"/>
      <c r="I283" s="123"/>
      <c r="J283" s="35"/>
      <c r="K283" s="39"/>
      <c r="L283" s="122"/>
      <c r="M283" s="123"/>
      <c r="N283" s="40"/>
      <c r="O283" s="41"/>
      <c r="P283" s="60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</row>
    <row r="284" spans="1:63" x14ac:dyDescent="0.3">
      <c r="B284" s="93" t="s">
        <v>52</v>
      </c>
      <c r="C284" s="73"/>
      <c r="D284" s="73"/>
      <c r="E284" s="73"/>
      <c r="F284" s="94"/>
      <c r="G284" s="95"/>
      <c r="H284" s="141">
        <f>SUM(H274:H280,H273)</f>
        <v>81.861927000000009</v>
      </c>
      <c r="I284" s="96"/>
      <c r="J284" s="97"/>
      <c r="K284" s="97"/>
      <c r="L284" s="144">
        <f>SUM(L274:L280,L273)</f>
        <v>83.037295999999998</v>
      </c>
      <c r="M284" s="145"/>
      <c r="N284" s="146">
        <f>L284-H284</f>
        <v>1.1753689999999892</v>
      </c>
      <c r="O284" s="98">
        <f>IF((H284)=0,"",(N284/H284))</f>
        <v>1.4357944444674373E-2</v>
      </c>
      <c r="S284" s="127"/>
    </row>
    <row r="285" spans="1:63" x14ac:dyDescent="0.3">
      <c r="B285" s="99" t="s">
        <v>53</v>
      </c>
      <c r="C285" s="73"/>
      <c r="D285" s="73"/>
      <c r="E285" s="73"/>
      <c r="F285" s="100">
        <v>0.13</v>
      </c>
      <c r="G285" s="101"/>
      <c r="H285" s="142">
        <f>H284*F285</f>
        <v>10.642050510000001</v>
      </c>
      <c r="I285" s="102"/>
      <c r="J285" s="103">
        <v>0.13</v>
      </c>
      <c r="K285" s="102"/>
      <c r="L285" s="147">
        <f>L284*J285</f>
        <v>10.794848480000001</v>
      </c>
      <c r="M285" s="148"/>
      <c r="N285" s="149">
        <f>L285-H285</f>
        <v>0.15279796999999995</v>
      </c>
      <c r="O285" s="104">
        <f>IF((H285)=0,"",(N285/H285))</f>
        <v>1.4357944444674501E-2</v>
      </c>
      <c r="S285" s="127"/>
    </row>
    <row r="286" spans="1:63" x14ac:dyDescent="0.3">
      <c r="B286" s="105" t="s">
        <v>54</v>
      </c>
      <c r="C286" s="73"/>
      <c r="D286" s="73"/>
      <c r="E286" s="73"/>
      <c r="F286" s="106"/>
      <c r="G286" s="101"/>
      <c r="H286" s="142">
        <f>H284+H285</f>
        <v>92.503977510000013</v>
      </c>
      <c r="I286" s="102"/>
      <c r="J286" s="102"/>
      <c r="K286" s="102"/>
      <c r="L286" s="147">
        <f>L284+L285</f>
        <v>93.832144479999997</v>
      </c>
      <c r="M286" s="148"/>
      <c r="N286" s="149">
        <f>L286-H286</f>
        <v>1.3281669699999838</v>
      </c>
      <c r="O286" s="104">
        <f>IF((H286)=0,"",(N286/H286))</f>
        <v>1.435794444467433E-2</v>
      </c>
      <c r="S286" s="127"/>
    </row>
    <row r="287" spans="1:63" ht="14.4" customHeight="1" x14ac:dyDescent="0.3">
      <c r="B287" s="172" t="s">
        <v>55</v>
      </c>
      <c r="C287" s="172"/>
      <c r="D287" s="172"/>
      <c r="E287" s="73"/>
      <c r="F287" s="106"/>
      <c r="G287" s="101"/>
      <c r="H287" s="143">
        <f>ROUND(-H286*10%,2)</f>
        <v>-9.25</v>
      </c>
      <c r="I287" s="102"/>
      <c r="J287" s="102"/>
      <c r="K287" s="102"/>
      <c r="L287" s="150">
        <f>ROUND(-L286*10%,2)</f>
        <v>-9.3800000000000008</v>
      </c>
      <c r="M287" s="148"/>
      <c r="N287" s="151">
        <f>L287-H287</f>
        <v>-0.13000000000000078</v>
      </c>
      <c r="O287" s="107">
        <f>IF((H287)=0,"",(N287/H287))</f>
        <v>1.4054054054054138E-2</v>
      </c>
    </row>
    <row r="288" spans="1:63" s="4" customFormat="1" ht="15" thickBot="1" x14ac:dyDescent="0.35">
      <c r="A288" s="60"/>
      <c r="B288" s="173" t="s">
        <v>56</v>
      </c>
      <c r="C288" s="173"/>
      <c r="D288" s="173"/>
      <c r="E288" s="42"/>
      <c r="F288" s="43"/>
      <c r="G288" s="44"/>
      <c r="H288" s="45">
        <f>H286+H287</f>
        <v>83.253977510000013</v>
      </c>
      <c r="I288" s="46"/>
      <c r="J288" s="46"/>
      <c r="K288" s="46"/>
      <c r="L288" s="47">
        <f>L286+L287</f>
        <v>84.452144480000001</v>
      </c>
      <c r="M288" s="48"/>
      <c r="N288" s="49">
        <f>L288-H288</f>
        <v>1.1981669699999884</v>
      </c>
      <c r="O288" s="50">
        <f>IF((H288)=0,"",(N288/H288))</f>
        <v>1.4391708430459928E-2</v>
      </c>
      <c r="P288" s="60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</row>
    <row r="289" spans="1:63" s="4" customFormat="1" ht="15" thickBot="1" x14ac:dyDescent="0.35">
      <c r="A289" s="60"/>
      <c r="B289" s="32"/>
      <c r="C289" s="33"/>
      <c r="D289" s="34"/>
      <c r="E289" s="33"/>
      <c r="F289" s="35"/>
      <c r="G289" s="36"/>
      <c r="H289" s="37"/>
      <c r="I289" s="38"/>
      <c r="J289" s="35"/>
      <c r="K289" s="39"/>
      <c r="L289" s="37"/>
      <c r="M289" s="123"/>
      <c r="N289" s="40"/>
      <c r="O289" s="41"/>
      <c r="P289" s="60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</row>
    <row r="290" spans="1:63" s="92" customFormat="1" ht="13.2" x14ac:dyDescent="0.25">
      <c r="B290" s="108" t="s">
        <v>57</v>
      </c>
      <c r="C290" s="90"/>
      <c r="D290" s="90"/>
      <c r="E290" s="90"/>
      <c r="F290" s="109"/>
      <c r="G290" s="110"/>
      <c r="H290" s="152">
        <f>SUM(H281:H282,H273,H274:H277)</f>
        <v>77.401926999999986</v>
      </c>
      <c r="I290" s="111"/>
      <c r="J290" s="112"/>
      <c r="K290" s="112"/>
      <c r="L290" s="155">
        <f>SUM(L281:L282,L273,L274:L277)</f>
        <v>78.577296000000018</v>
      </c>
      <c r="M290" s="156"/>
      <c r="N290" s="157">
        <f>L290-H290</f>
        <v>1.1753690000000319</v>
      </c>
      <c r="O290" s="98">
        <f>IF((H290)=0,"",(N290/H290))</f>
        <v>1.5185267932670877E-2</v>
      </c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</row>
    <row r="291" spans="1:63" s="92" customFormat="1" ht="13.2" x14ac:dyDescent="0.25">
      <c r="B291" s="113" t="s">
        <v>53</v>
      </c>
      <c r="C291" s="90"/>
      <c r="D291" s="90"/>
      <c r="E291" s="90"/>
      <c r="F291" s="114">
        <v>0.13</v>
      </c>
      <c r="G291" s="110"/>
      <c r="H291" s="153">
        <f>H290*F291</f>
        <v>10.062250509999998</v>
      </c>
      <c r="I291" s="115"/>
      <c r="J291" s="116">
        <v>0.13</v>
      </c>
      <c r="K291" s="117"/>
      <c r="L291" s="158">
        <f>L290*J291</f>
        <v>10.215048480000002</v>
      </c>
      <c r="M291" s="159"/>
      <c r="N291" s="160">
        <f>L291-H291</f>
        <v>0.1527979700000035</v>
      </c>
      <c r="O291" s="104">
        <f>IF((H291)=0,"",(N291/H291))</f>
        <v>1.5185267932670813E-2</v>
      </c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</row>
    <row r="292" spans="1:63" s="92" customFormat="1" ht="13.2" x14ac:dyDescent="0.25">
      <c r="B292" s="118" t="s">
        <v>54</v>
      </c>
      <c r="C292" s="90"/>
      <c r="D292" s="90"/>
      <c r="E292" s="90"/>
      <c r="F292" s="119"/>
      <c r="G292" s="120"/>
      <c r="H292" s="153">
        <f>H290+H291</f>
        <v>87.464177509999985</v>
      </c>
      <c r="I292" s="115"/>
      <c r="J292" s="115"/>
      <c r="K292" s="115"/>
      <c r="L292" s="158">
        <f>L290+L291</f>
        <v>88.792344480000025</v>
      </c>
      <c r="M292" s="159"/>
      <c r="N292" s="160">
        <f>L292-H292</f>
        <v>1.3281669700000407</v>
      </c>
      <c r="O292" s="104">
        <f>IF((H292)=0,"",(N292/H292))</f>
        <v>1.5185267932670929E-2</v>
      </c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63" s="92" customFormat="1" ht="13.2" customHeight="1" x14ac:dyDescent="0.25">
      <c r="B293" s="174" t="s">
        <v>55</v>
      </c>
      <c r="C293" s="174"/>
      <c r="D293" s="174"/>
      <c r="E293" s="90"/>
      <c r="F293" s="119"/>
      <c r="G293" s="120"/>
      <c r="H293" s="154">
        <f>ROUND(-H292*10%,2)</f>
        <v>-8.75</v>
      </c>
      <c r="I293" s="115"/>
      <c r="J293" s="115"/>
      <c r="K293" s="115"/>
      <c r="L293" s="161">
        <f>ROUND(-L292*10%,2)</f>
        <v>-8.8800000000000008</v>
      </c>
      <c r="M293" s="159"/>
      <c r="N293" s="162">
        <f>L293-H293</f>
        <v>-0.13000000000000078</v>
      </c>
      <c r="O293" s="107">
        <f>IF((H293)=0,"",(N293/H293))</f>
        <v>1.4857142857142947E-2</v>
      </c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63" s="4" customFormat="1" ht="15" thickBot="1" x14ac:dyDescent="0.35">
      <c r="A294" s="60"/>
      <c r="B294" s="173" t="s">
        <v>58</v>
      </c>
      <c r="C294" s="173"/>
      <c r="D294" s="173"/>
      <c r="E294" s="42"/>
      <c r="F294" s="43"/>
      <c r="G294" s="44"/>
      <c r="H294" s="45">
        <f>SUM(H292:H293)</f>
        <v>78.714177509999985</v>
      </c>
      <c r="I294" s="46"/>
      <c r="J294" s="46"/>
      <c r="K294" s="46"/>
      <c r="L294" s="47">
        <f>SUM(L292:L293)</f>
        <v>79.91234448000003</v>
      </c>
      <c r="M294" s="48"/>
      <c r="N294" s="49">
        <f>L294-H294</f>
        <v>1.1981669700000452</v>
      </c>
      <c r="O294" s="50">
        <f>IF((H294)=0,"",(N294/H294))</f>
        <v>1.5221742866433789E-2</v>
      </c>
      <c r="P294" s="60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</row>
    <row r="295" spans="1:63" s="4" customFormat="1" ht="15" thickBot="1" x14ac:dyDescent="0.35">
      <c r="A295" s="60"/>
      <c r="B295" s="32"/>
      <c r="C295" s="33"/>
      <c r="D295" s="34"/>
      <c r="E295" s="33"/>
      <c r="F295" s="35"/>
      <c r="G295" s="36"/>
      <c r="H295" s="122"/>
      <c r="I295" s="123"/>
      <c r="J295" s="35"/>
      <c r="K295" s="39"/>
      <c r="L295" s="37"/>
      <c r="M295" s="123"/>
      <c r="N295" s="40"/>
      <c r="O295" s="41"/>
      <c r="P295" s="60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</row>
    <row r="296" spans="1:63" x14ac:dyDescent="0.3">
      <c r="L296" s="88"/>
    </row>
    <row r="297" spans="1:63" x14ac:dyDescent="0.3">
      <c r="B297" s="65" t="s">
        <v>59</v>
      </c>
      <c r="F297" s="51">
        <v>3.7699999999999997E-2</v>
      </c>
      <c r="J297" s="51">
        <f>+$J$149</f>
        <v>3.7600000000000001E-2</v>
      </c>
    </row>
    <row r="299" spans="1:63" x14ac:dyDescent="0.3">
      <c r="L299" s="56"/>
      <c r="M299" s="56"/>
      <c r="N299" s="56"/>
      <c r="O299" s="56"/>
      <c r="P299" s="56"/>
    </row>
    <row r="300" spans="1:63" ht="16.2" x14ac:dyDescent="0.3">
      <c r="A300" s="121" t="s">
        <v>60</v>
      </c>
    </row>
    <row r="302" spans="1:63" x14ac:dyDescent="0.3">
      <c r="A302" s="60" t="s">
        <v>61</v>
      </c>
    </row>
    <row r="303" spans="1:63" x14ac:dyDescent="0.3">
      <c r="A303" s="60" t="s">
        <v>62</v>
      </c>
    </row>
    <row r="305" spans="2:29" x14ac:dyDescent="0.3">
      <c r="B305" s="60" t="s">
        <v>63</v>
      </c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</row>
    <row r="306" spans="2:29" x14ac:dyDescent="0.3"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</row>
    <row r="307" spans="2:29" ht="18.75" customHeight="1" x14ac:dyDescent="0.3">
      <c r="B307" s="175" t="s">
        <v>6</v>
      </c>
      <c r="C307" s="175"/>
      <c r="D307" s="175"/>
      <c r="E307" s="175"/>
      <c r="F307" s="175"/>
      <c r="G307" s="175"/>
      <c r="H307" s="175"/>
      <c r="I307" s="175"/>
      <c r="J307" s="175"/>
      <c r="K307" s="175"/>
      <c r="L307" s="175"/>
      <c r="M307" s="175"/>
      <c r="N307" s="175"/>
      <c r="O307" s="175"/>
      <c r="P307" s="56"/>
    </row>
    <row r="308" spans="2:29" ht="18.75" customHeight="1" x14ac:dyDescent="0.3">
      <c r="B308" s="175" t="s">
        <v>7</v>
      </c>
      <c r="C308" s="175"/>
      <c r="D308" s="175"/>
      <c r="E308" s="175"/>
      <c r="F308" s="175"/>
      <c r="G308" s="175"/>
      <c r="H308" s="175"/>
      <c r="I308" s="175"/>
      <c r="J308" s="175"/>
      <c r="K308" s="175"/>
      <c r="L308" s="175"/>
      <c r="M308" s="175"/>
      <c r="N308" s="175"/>
      <c r="O308" s="175"/>
      <c r="P308" s="56"/>
    </row>
    <row r="309" spans="2:29" ht="7.5" customHeight="1" x14ac:dyDescent="0.3">
      <c r="L309" s="56"/>
      <c r="M309" s="56"/>
      <c r="N309" s="56"/>
      <c r="O309" s="56"/>
      <c r="P309" s="56"/>
    </row>
    <row r="310" spans="2:29" ht="7.5" customHeight="1" x14ac:dyDescent="0.3">
      <c r="L310" s="56"/>
      <c r="M310" s="56"/>
      <c r="N310" s="56"/>
      <c r="O310" s="56"/>
      <c r="P310" s="56"/>
    </row>
    <row r="311" spans="2:29" ht="15.6" x14ac:dyDescent="0.3">
      <c r="B311" s="61" t="s">
        <v>8</v>
      </c>
      <c r="D311" s="185" t="s">
        <v>67</v>
      </c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</row>
    <row r="312" spans="2:29" ht="7.5" customHeight="1" x14ac:dyDescent="0.3">
      <c r="B312" s="62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</row>
    <row r="313" spans="2:29" ht="15.6" x14ac:dyDescent="0.3">
      <c r="B313" s="61" t="s">
        <v>9</v>
      </c>
      <c r="D313" s="5" t="s">
        <v>10</v>
      </c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</row>
    <row r="314" spans="2:29" ht="15.6" x14ac:dyDescent="0.3">
      <c r="B314" s="62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</row>
    <row r="315" spans="2:29" x14ac:dyDescent="0.3">
      <c r="B315" s="64"/>
      <c r="D315" s="65" t="s">
        <v>11</v>
      </c>
      <c r="E315" s="65"/>
      <c r="F315" s="6">
        <v>1000</v>
      </c>
      <c r="G315" s="65" t="s">
        <v>12</v>
      </c>
    </row>
    <row r="316" spans="2:29" x14ac:dyDescent="0.3">
      <c r="B316" s="64"/>
      <c r="G316" s="65"/>
    </row>
    <row r="317" spans="2:29" x14ac:dyDescent="0.3">
      <c r="B317" s="64"/>
      <c r="D317" s="66"/>
      <c r="E317" s="66"/>
      <c r="F317" s="176" t="s">
        <v>13</v>
      </c>
      <c r="G317" s="177"/>
      <c r="H317" s="178"/>
      <c r="J317" s="176" t="s">
        <v>14</v>
      </c>
      <c r="K317" s="177"/>
      <c r="L317" s="178"/>
      <c r="N317" s="176" t="s">
        <v>15</v>
      </c>
      <c r="O317" s="178"/>
    </row>
    <row r="318" spans="2:29" x14ac:dyDescent="0.3">
      <c r="B318" s="64"/>
      <c r="D318" s="179" t="s">
        <v>16</v>
      </c>
      <c r="E318" s="67"/>
      <c r="F318" s="68" t="s">
        <v>17</v>
      </c>
      <c r="G318" s="68" t="s">
        <v>18</v>
      </c>
      <c r="H318" s="69" t="s">
        <v>19</v>
      </c>
      <c r="J318" s="68" t="s">
        <v>17</v>
      </c>
      <c r="K318" s="70" t="s">
        <v>18</v>
      </c>
      <c r="L318" s="69" t="s">
        <v>19</v>
      </c>
      <c r="N318" s="181" t="s">
        <v>20</v>
      </c>
      <c r="O318" s="183" t="s">
        <v>21</v>
      </c>
    </row>
    <row r="319" spans="2:29" x14ac:dyDescent="0.3">
      <c r="B319" s="64"/>
      <c r="D319" s="180"/>
      <c r="E319" s="67"/>
      <c r="F319" s="71" t="s">
        <v>22</v>
      </c>
      <c r="G319" s="71"/>
      <c r="H319" s="72" t="s">
        <v>22</v>
      </c>
      <c r="J319" s="71" t="s">
        <v>22</v>
      </c>
      <c r="K319" s="72"/>
      <c r="L319" s="72" t="s">
        <v>22</v>
      </c>
      <c r="N319" s="182"/>
      <c r="O319" s="184"/>
    </row>
    <row r="320" spans="2:29" x14ac:dyDescent="0.3">
      <c r="B320" s="73" t="s">
        <v>23</v>
      </c>
      <c r="C320" s="73"/>
      <c r="D320" s="7" t="s">
        <v>24</v>
      </c>
      <c r="E320" s="73"/>
      <c r="F320" s="129">
        <v>13.11</v>
      </c>
      <c r="G320" s="74">
        <v>1</v>
      </c>
      <c r="H320" s="75">
        <f t="shared" ref="H320:H335" si="52">G320*F320</f>
        <v>13.11</v>
      </c>
      <c r="I320" s="76"/>
      <c r="J320" s="171">
        <v>16.43</v>
      </c>
      <c r="K320" s="77">
        <v>1</v>
      </c>
      <c r="L320" s="75">
        <f t="shared" ref="L320:L335" si="53">K320*J320</f>
        <v>16.43</v>
      </c>
      <c r="M320" s="76"/>
      <c r="N320" s="78">
        <f t="shared" ref="N320:N356" si="54">L320-H320</f>
        <v>3.3200000000000003</v>
      </c>
      <c r="O320" s="79">
        <f t="shared" ref="O320:O342" si="55">IF((H320)=0,"",(N320/H320))</f>
        <v>0.25324180015255532</v>
      </c>
    </row>
    <row r="321" spans="1:63" x14ac:dyDescent="0.3">
      <c r="B321" s="73" t="s">
        <v>25</v>
      </c>
      <c r="C321" s="73"/>
      <c r="D321" s="7" t="s">
        <v>24</v>
      </c>
      <c r="E321" s="73"/>
      <c r="F321" s="133">
        <v>2.4900000000000002</v>
      </c>
      <c r="G321" s="74">
        <v>1</v>
      </c>
      <c r="H321" s="136">
        <f t="shared" si="52"/>
        <v>2.4900000000000002</v>
      </c>
      <c r="I321" s="76"/>
      <c r="J321" s="130"/>
      <c r="K321" s="77">
        <v>1</v>
      </c>
      <c r="L321" s="136">
        <f t="shared" si="53"/>
        <v>0</v>
      </c>
      <c r="M321" s="76"/>
      <c r="N321" s="137">
        <f t="shared" si="54"/>
        <v>-2.4900000000000002</v>
      </c>
      <c r="O321" s="79">
        <f t="shared" si="55"/>
        <v>-1</v>
      </c>
    </row>
    <row r="322" spans="1:63" x14ac:dyDescent="0.3">
      <c r="B322" s="9"/>
      <c r="C322" s="73"/>
      <c r="D322" s="7"/>
      <c r="E322" s="73"/>
      <c r="F322" s="134"/>
      <c r="G322" s="74">
        <v>1</v>
      </c>
      <c r="H322" s="136">
        <f t="shared" si="52"/>
        <v>0</v>
      </c>
      <c r="I322" s="76"/>
      <c r="J322" s="131"/>
      <c r="K322" s="77">
        <v>1</v>
      </c>
      <c r="L322" s="136">
        <f t="shared" si="53"/>
        <v>0</v>
      </c>
      <c r="M322" s="76"/>
      <c r="N322" s="137">
        <f t="shared" si="54"/>
        <v>0</v>
      </c>
      <c r="O322" s="79" t="str">
        <f t="shared" si="55"/>
        <v/>
      </c>
    </row>
    <row r="323" spans="1:63" x14ac:dyDescent="0.3">
      <c r="B323" s="9"/>
      <c r="C323" s="73"/>
      <c r="D323" s="7"/>
      <c r="E323" s="73"/>
      <c r="F323" s="134"/>
      <c r="G323" s="74">
        <v>1</v>
      </c>
      <c r="H323" s="136">
        <f t="shared" si="52"/>
        <v>0</v>
      </c>
      <c r="I323" s="76"/>
      <c r="J323" s="131"/>
      <c r="K323" s="77">
        <v>1</v>
      </c>
      <c r="L323" s="136">
        <f t="shared" si="53"/>
        <v>0</v>
      </c>
      <c r="M323" s="76"/>
      <c r="N323" s="137">
        <f t="shared" si="54"/>
        <v>0</v>
      </c>
      <c r="O323" s="79" t="str">
        <f t="shared" si="55"/>
        <v/>
      </c>
    </row>
    <row r="324" spans="1:63" x14ac:dyDescent="0.3">
      <c r="B324" s="10"/>
      <c r="C324" s="73"/>
      <c r="D324" s="7"/>
      <c r="E324" s="73"/>
      <c r="F324" s="134"/>
      <c r="G324" s="74">
        <v>1</v>
      </c>
      <c r="H324" s="136">
        <f t="shared" si="52"/>
        <v>0</v>
      </c>
      <c r="I324" s="76"/>
      <c r="J324" s="131"/>
      <c r="K324" s="77">
        <v>1</v>
      </c>
      <c r="L324" s="136">
        <f t="shared" si="53"/>
        <v>0</v>
      </c>
      <c r="M324" s="76"/>
      <c r="N324" s="137">
        <f t="shared" si="54"/>
        <v>0</v>
      </c>
      <c r="O324" s="79" t="str">
        <f t="shared" si="55"/>
        <v/>
      </c>
    </row>
    <row r="325" spans="1:63" x14ac:dyDescent="0.3">
      <c r="B325" s="10"/>
      <c r="C325" s="73"/>
      <c r="D325" s="7"/>
      <c r="E325" s="73"/>
      <c r="F325" s="134"/>
      <c r="G325" s="74">
        <v>1</v>
      </c>
      <c r="H325" s="136">
        <f t="shared" si="52"/>
        <v>0</v>
      </c>
      <c r="I325" s="76"/>
      <c r="J325" s="131"/>
      <c r="K325" s="77">
        <v>1</v>
      </c>
      <c r="L325" s="136">
        <f t="shared" si="53"/>
        <v>0</v>
      </c>
      <c r="M325" s="76"/>
      <c r="N325" s="137">
        <f t="shared" si="54"/>
        <v>0</v>
      </c>
      <c r="O325" s="79" t="str">
        <f t="shared" si="55"/>
        <v/>
      </c>
    </row>
    <row r="326" spans="1:63" x14ac:dyDescent="0.3">
      <c r="B326" s="73" t="s">
        <v>26</v>
      </c>
      <c r="C326" s="73"/>
      <c r="D326" s="7" t="s">
        <v>27</v>
      </c>
      <c r="E326" s="73"/>
      <c r="F326" s="135">
        <v>1.43E-2</v>
      </c>
      <c r="G326" s="74">
        <f>$F$315</f>
        <v>1000</v>
      </c>
      <c r="H326" s="136">
        <f t="shared" si="52"/>
        <v>14.3</v>
      </c>
      <c r="I326" s="76"/>
      <c r="J326" s="132">
        <v>1.7899999999999999E-2</v>
      </c>
      <c r="K326" s="74">
        <f>$F$315</f>
        <v>1000</v>
      </c>
      <c r="L326" s="136">
        <f t="shared" si="53"/>
        <v>17.899999999999999</v>
      </c>
      <c r="M326" s="76"/>
      <c r="N326" s="137">
        <f t="shared" si="54"/>
        <v>3.5999999999999979</v>
      </c>
      <c r="O326" s="79">
        <f t="shared" si="55"/>
        <v>0.25174825174825161</v>
      </c>
    </row>
    <row r="327" spans="1:63" x14ac:dyDescent="0.3">
      <c r="B327" s="73" t="s">
        <v>28</v>
      </c>
      <c r="C327" s="73"/>
      <c r="D327" s="7" t="s">
        <v>24</v>
      </c>
      <c r="E327" s="73"/>
      <c r="F327" s="135">
        <v>-0.03</v>
      </c>
      <c r="G327" s="74">
        <v>1</v>
      </c>
      <c r="H327" s="136">
        <f t="shared" si="52"/>
        <v>-0.03</v>
      </c>
      <c r="I327" s="76"/>
      <c r="J327" s="132"/>
      <c r="K327" s="74">
        <v>1</v>
      </c>
      <c r="L327" s="136">
        <f t="shared" si="53"/>
        <v>0</v>
      </c>
      <c r="M327" s="76"/>
      <c r="N327" s="137">
        <f t="shared" si="54"/>
        <v>0.03</v>
      </c>
      <c r="O327" s="79">
        <f t="shared" si="55"/>
        <v>-1</v>
      </c>
    </row>
    <row r="328" spans="1:63" x14ac:dyDescent="0.3">
      <c r="B328" s="73" t="s">
        <v>29</v>
      </c>
      <c r="C328" s="73"/>
      <c r="D328" s="7" t="s">
        <v>27</v>
      </c>
      <c r="E328" s="73"/>
      <c r="F328" s="135">
        <v>2.9999999999999997E-4</v>
      </c>
      <c r="G328" s="74">
        <f t="shared" ref="G328:G330" si="56">$F$315</f>
        <v>1000</v>
      </c>
      <c r="H328" s="136">
        <f t="shared" si="52"/>
        <v>0.3</v>
      </c>
      <c r="I328" s="76"/>
      <c r="J328" s="132">
        <v>2.0000000000000001E-4</v>
      </c>
      <c r="K328" s="74">
        <f t="shared" ref="K328:K330" si="57">$F$315</f>
        <v>1000</v>
      </c>
      <c r="L328" s="136">
        <f t="shared" si="53"/>
        <v>0.2</v>
      </c>
      <c r="M328" s="76"/>
      <c r="N328" s="137">
        <f t="shared" si="54"/>
        <v>-9.9999999999999978E-2</v>
      </c>
      <c r="O328" s="79">
        <f t="shared" si="55"/>
        <v>-0.33333333333333326</v>
      </c>
    </row>
    <row r="329" spans="1:63" x14ac:dyDescent="0.3">
      <c r="B329" s="11" t="s">
        <v>30</v>
      </c>
      <c r="C329" s="73"/>
      <c r="D329" s="7" t="s">
        <v>27</v>
      </c>
      <c r="E329" s="73"/>
      <c r="F329" s="135">
        <v>1.8E-3</v>
      </c>
      <c r="G329" s="74">
        <f t="shared" si="56"/>
        <v>1000</v>
      </c>
      <c r="H329" s="136">
        <f t="shared" si="52"/>
        <v>1.8</v>
      </c>
      <c r="I329" s="76"/>
      <c r="J329" s="132"/>
      <c r="K329" s="74">
        <f t="shared" si="57"/>
        <v>1000</v>
      </c>
      <c r="L329" s="136">
        <f t="shared" si="53"/>
        <v>0</v>
      </c>
      <c r="M329" s="76"/>
      <c r="N329" s="137">
        <f t="shared" si="54"/>
        <v>-1.8</v>
      </c>
      <c r="O329" s="79">
        <f t="shared" si="55"/>
        <v>-1</v>
      </c>
    </row>
    <row r="330" spans="1:63" x14ac:dyDescent="0.3">
      <c r="B330" s="11" t="s">
        <v>31</v>
      </c>
      <c r="C330" s="73"/>
      <c r="D330" s="7" t="s">
        <v>27</v>
      </c>
      <c r="E330" s="73"/>
      <c r="F330" s="135">
        <v>-2.9999999999999997E-4</v>
      </c>
      <c r="G330" s="74">
        <f t="shared" si="56"/>
        <v>1000</v>
      </c>
      <c r="H330" s="136">
        <f t="shared" si="52"/>
        <v>-0.3</v>
      </c>
      <c r="I330" s="76"/>
      <c r="J330" s="132"/>
      <c r="K330" s="74">
        <f t="shared" si="57"/>
        <v>1000</v>
      </c>
      <c r="L330" s="136">
        <f t="shared" si="53"/>
        <v>0</v>
      </c>
      <c r="M330" s="76"/>
      <c r="N330" s="137">
        <f t="shared" si="54"/>
        <v>0.3</v>
      </c>
      <c r="O330" s="79">
        <f t="shared" si="55"/>
        <v>-1</v>
      </c>
    </row>
    <row r="331" spans="1:63" x14ac:dyDescent="0.3">
      <c r="B331" s="11" t="s">
        <v>32</v>
      </c>
      <c r="C331" s="73"/>
      <c r="D331" s="7" t="s">
        <v>24</v>
      </c>
      <c r="E331" s="73"/>
      <c r="F331" s="135">
        <v>0</v>
      </c>
      <c r="G331" s="74">
        <v>1</v>
      </c>
      <c r="H331" s="136">
        <f t="shared" si="52"/>
        <v>0</v>
      </c>
      <c r="I331" s="76"/>
      <c r="J331" s="132">
        <v>0.76</v>
      </c>
      <c r="K331" s="74">
        <v>1</v>
      </c>
      <c r="L331" s="136">
        <f t="shared" si="53"/>
        <v>0.76</v>
      </c>
      <c r="M331" s="76"/>
      <c r="N331" s="137">
        <f t="shared" si="54"/>
        <v>0.76</v>
      </c>
      <c r="O331" s="79" t="str">
        <f t="shared" si="55"/>
        <v/>
      </c>
    </row>
    <row r="332" spans="1:63" x14ac:dyDescent="0.3">
      <c r="B332" s="12" t="s">
        <v>33</v>
      </c>
      <c r="C332" s="73"/>
      <c r="D332" s="7"/>
      <c r="E332" s="73"/>
      <c r="F332" s="134"/>
      <c r="G332" s="74">
        <f t="shared" ref="G332:G335" si="58">$F$315</f>
        <v>1000</v>
      </c>
      <c r="H332" s="136">
        <f t="shared" si="52"/>
        <v>0</v>
      </c>
      <c r="I332" s="76"/>
      <c r="J332" s="132">
        <v>-1E-4</v>
      </c>
      <c r="K332" s="74">
        <f t="shared" ref="K332:K335" si="59">$F$315</f>
        <v>1000</v>
      </c>
      <c r="L332" s="136">
        <f t="shared" si="53"/>
        <v>-0.1</v>
      </c>
      <c r="M332" s="76"/>
      <c r="N332" s="137">
        <f t="shared" si="54"/>
        <v>-0.1</v>
      </c>
      <c r="O332" s="79" t="str">
        <f t="shared" si="55"/>
        <v/>
      </c>
    </row>
    <row r="333" spans="1:63" x14ac:dyDescent="0.3">
      <c r="B333" s="12" t="s">
        <v>77</v>
      </c>
      <c r="C333" s="73"/>
      <c r="D333" s="7"/>
      <c r="E333" s="73"/>
      <c r="F333" s="134"/>
      <c r="G333" s="74">
        <f t="shared" si="58"/>
        <v>1000</v>
      </c>
      <c r="H333" s="136">
        <f t="shared" si="52"/>
        <v>0</v>
      </c>
      <c r="I333" s="76"/>
      <c r="J333" s="132">
        <v>2.0000000000000001E-4</v>
      </c>
      <c r="K333" s="74">
        <f t="shared" si="59"/>
        <v>1000</v>
      </c>
      <c r="L333" s="136">
        <f t="shared" si="53"/>
        <v>0.2</v>
      </c>
      <c r="M333" s="76"/>
      <c r="N333" s="137">
        <f t="shared" si="54"/>
        <v>0.2</v>
      </c>
      <c r="O333" s="79" t="str">
        <f t="shared" si="55"/>
        <v/>
      </c>
    </row>
    <row r="334" spans="1:63" x14ac:dyDescent="0.3">
      <c r="B334" s="12"/>
      <c r="C334" s="73"/>
      <c r="D334" s="7"/>
      <c r="E334" s="73"/>
      <c r="F334" s="131"/>
      <c r="G334" s="74">
        <f t="shared" si="58"/>
        <v>1000</v>
      </c>
      <c r="H334" s="136">
        <f t="shared" si="52"/>
        <v>0</v>
      </c>
      <c r="I334" s="76"/>
      <c r="J334" s="131"/>
      <c r="K334" s="74">
        <f t="shared" si="59"/>
        <v>1000</v>
      </c>
      <c r="L334" s="136">
        <f t="shared" si="53"/>
        <v>0</v>
      </c>
      <c r="M334" s="76"/>
      <c r="N334" s="137">
        <f t="shared" si="54"/>
        <v>0</v>
      </c>
      <c r="O334" s="79" t="str">
        <f t="shared" si="55"/>
        <v/>
      </c>
    </row>
    <row r="335" spans="1:63" x14ac:dyDescent="0.3">
      <c r="B335" s="12"/>
      <c r="C335" s="73"/>
      <c r="D335" s="7"/>
      <c r="E335" s="73"/>
      <c r="F335" s="131"/>
      <c r="G335" s="74">
        <f t="shared" si="58"/>
        <v>1000</v>
      </c>
      <c r="H335" s="136">
        <f t="shared" si="52"/>
        <v>0</v>
      </c>
      <c r="I335" s="76"/>
      <c r="J335" s="131"/>
      <c r="K335" s="74">
        <f t="shared" si="59"/>
        <v>1000</v>
      </c>
      <c r="L335" s="136">
        <f t="shared" si="53"/>
        <v>0</v>
      </c>
      <c r="M335" s="76"/>
      <c r="N335" s="137">
        <f t="shared" si="54"/>
        <v>0</v>
      </c>
      <c r="O335" s="79" t="str">
        <f t="shared" si="55"/>
        <v/>
      </c>
    </row>
    <row r="336" spans="1:63" s="4" customFormat="1" x14ac:dyDescent="0.3">
      <c r="A336" s="60"/>
      <c r="B336" s="19" t="s">
        <v>34</v>
      </c>
      <c r="C336" s="20"/>
      <c r="D336" s="20"/>
      <c r="E336" s="20"/>
      <c r="F336" s="21"/>
      <c r="G336" s="22"/>
      <c r="H336" s="23">
        <f>SUM(H320:H335)</f>
        <v>31.669999999999998</v>
      </c>
      <c r="I336" s="13"/>
      <c r="J336" s="14"/>
      <c r="K336" s="24"/>
      <c r="L336" s="23">
        <f>SUM(L320:L335)</f>
        <v>35.39</v>
      </c>
      <c r="M336" s="13"/>
      <c r="N336" s="15">
        <f t="shared" si="54"/>
        <v>3.7200000000000024</v>
      </c>
      <c r="O336" s="16">
        <f t="shared" si="55"/>
        <v>0.11746131986106734</v>
      </c>
      <c r="P336" s="60"/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</row>
    <row r="337" spans="1:63" x14ac:dyDescent="0.3">
      <c r="B337" s="17" t="s">
        <v>35</v>
      </c>
      <c r="C337" s="73"/>
      <c r="D337" s="7" t="s">
        <v>27</v>
      </c>
      <c r="E337" s="73"/>
      <c r="F337" s="135">
        <v>2.9999999999999997E-4</v>
      </c>
      <c r="G337" s="74">
        <f>$F$315</f>
        <v>1000</v>
      </c>
      <c r="H337" s="136">
        <f t="shared" ref="H337:H343" si="60">G337*F337</f>
        <v>0.3</v>
      </c>
      <c r="I337" s="76"/>
      <c r="J337" s="135">
        <v>-6.9999999999999999E-4</v>
      </c>
      <c r="K337" s="74">
        <f>$F$315</f>
        <v>1000</v>
      </c>
      <c r="L337" s="136">
        <f t="shared" ref="L337:L343" si="61">K337*J337</f>
        <v>-0.7</v>
      </c>
      <c r="M337" s="76"/>
      <c r="N337" s="137">
        <f t="shared" si="54"/>
        <v>-1</v>
      </c>
      <c r="O337" s="79">
        <f t="shared" si="55"/>
        <v>-3.3333333333333335</v>
      </c>
    </row>
    <row r="338" spans="1:63" x14ac:dyDescent="0.3">
      <c r="B338" s="17"/>
      <c r="C338" s="73"/>
      <c r="D338" s="7"/>
      <c r="E338" s="73"/>
      <c r="F338" s="8"/>
      <c r="G338" s="74">
        <f t="shared" ref="G338:G341" si="62">$F$315</f>
        <v>1000</v>
      </c>
      <c r="H338" s="136">
        <f t="shared" si="60"/>
        <v>0</v>
      </c>
      <c r="I338" s="82"/>
      <c r="J338" s="8"/>
      <c r="K338" s="74">
        <f t="shared" ref="K338:K341" si="63">$F$315</f>
        <v>1000</v>
      </c>
      <c r="L338" s="136">
        <f t="shared" si="61"/>
        <v>0</v>
      </c>
      <c r="M338" s="83"/>
      <c r="N338" s="137">
        <f t="shared" si="54"/>
        <v>0</v>
      </c>
      <c r="O338" s="79" t="str">
        <f t="shared" si="55"/>
        <v/>
      </c>
    </row>
    <row r="339" spans="1:63" x14ac:dyDescent="0.3">
      <c r="B339" s="17"/>
      <c r="C339" s="73"/>
      <c r="D339" s="7"/>
      <c r="E339" s="73"/>
      <c r="F339" s="8"/>
      <c r="G339" s="74">
        <f t="shared" si="62"/>
        <v>1000</v>
      </c>
      <c r="H339" s="136">
        <f t="shared" si="60"/>
        <v>0</v>
      </c>
      <c r="I339" s="82"/>
      <c r="J339" s="8"/>
      <c r="K339" s="74">
        <f t="shared" si="63"/>
        <v>1000</v>
      </c>
      <c r="L339" s="136">
        <f t="shared" si="61"/>
        <v>0</v>
      </c>
      <c r="M339" s="83"/>
      <c r="N339" s="137">
        <f t="shared" si="54"/>
        <v>0</v>
      </c>
      <c r="O339" s="79" t="str">
        <f t="shared" si="55"/>
        <v/>
      </c>
    </row>
    <row r="340" spans="1:63" x14ac:dyDescent="0.3">
      <c r="B340" s="17"/>
      <c r="C340" s="73"/>
      <c r="D340" s="7"/>
      <c r="E340" s="73"/>
      <c r="F340" s="8"/>
      <c r="G340" s="74">
        <f t="shared" si="62"/>
        <v>1000</v>
      </c>
      <c r="H340" s="136">
        <f t="shared" si="60"/>
        <v>0</v>
      </c>
      <c r="I340" s="82"/>
      <c r="J340" s="8"/>
      <c r="K340" s="74">
        <f t="shared" si="63"/>
        <v>1000</v>
      </c>
      <c r="L340" s="136">
        <f t="shared" si="61"/>
        <v>0</v>
      </c>
      <c r="M340" s="83"/>
      <c r="N340" s="137">
        <f t="shared" si="54"/>
        <v>0</v>
      </c>
      <c r="O340" s="79" t="str">
        <f t="shared" si="55"/>
        <v/>
      </c>
    </row>
    <row r="341" spans="1:63" x14ac:dyDescent="0.3">
      <c r="B341" s="80" t="s">
        <v>36</v>
      </c>
      <c r="C341" s="73"/>
      <c r="D341" s="7" t="s">
        <v>27</v>
      </c>
      <c r="E341" s="73"/>
      <c r="F341" s="135">
        <v>2.0000000000000001E-4</v>
      </c>
      <c r="G341" s="74">
        <f t="shared" si="62"/>
        <v>1000</v>
      </c>
      <c r="H341" s="136">
        <f t="shared" si="60"/>
        <v>0.2</v>
      </c>
      <c r="I341" s="76"/>
      <c r="J341" s="135">
        <v>4.0000000000000002E-4</v>
      </c>
      <c r="K341" s="74">
        <f t="shared" si="63"/>
        <v>1000</v>
      </c>
      <c r="L341" s="136">
        <f t="shared" si="61"/>
        <v>0.4</v>
      </c>
      <c r="M341" s="76"/>
      <c r="N341" s="137">
        <f t="shared" si="54"/>
        <v>0.2</v>
      </c>
      <c r="O341" s="79">
        <f t="shared" si="55"/>
        <v>1</v>
      </c>
    </row>
    <row r="342" spans="1:63" x14ac:dyDescent="0.3">
      <c r="B342" s="80" t="s">
        <v>37</v>
      </c>
      <c r="C342" s="73"/>
      <c r="D342" s="7" t="s">
        <v>27</v>
      </c>
      <c r="E342" s="73"/>
      <c r="F342" s="138">
        <f>IF(ISBLANK(D313)=TRUE, 0, IF(D313="TOU", 0.64*$F352+0.18*$F353+0.18*$F354, IF(AND(D313="non-TOU", G356&gt;0), F356,F355)))</f>
        <v>8.3919999999999995E-2</v>
      </c>
      <c r="G342" s="18">
        <f>$F$315*(1+$F$371)-$F$315</f>
        <v>37.700000000000045</v>
      </c>
      <c r="H342" s="136">
        <f t="shared" si="60"/>
        <v>3.1637840000000037</v>
      </c>
      <c r="I342" s="76"/>
      <c r="J342" s="138">
        <f>0.64*$F352+0.18*$F353+0.18*$F354</f>
        <v>8.3919999999999995E-2</v>
      </c>
      <c r="K342" s="18">
        <f>$F$315*(1+$J$371)-$F$315</f>
        <v>37.600000000000136</v>
      </c>
      <c r="L342" s="136">
        <f t="shared" si="61"/>
        <v>3.1553920000000111</v>
      </c>
      <c r="M342" s="76"/>
      <c r="N342" s="137">
        <f t="shared" si="54"/>
        <v>-8.3919999999926276E-3</v>
      </c>
      <c r="O342" s="79">
        <f t="shared" si="55"/>
        <v>-2.6525198938968709E-3</v>
      </c>
    </row>
    <row r="343" spans="1:63" x14ac:dyDescent="0.3">
      <c r="B343" s="80" t="s">
        <v>38</v>
      </c>
      <c r="C343" s="73"/>
      <c r="D343" s="7" t="s">
        <v>24</v>
      </c>
      <c r="E343" s="73"/>
      <c r="F343" s="138">
        <v>0.79</v>
      </c>
      <c r="G343" s="74">
        <v>1</v>
      </c>
      <c r="H343" s="136">
        <f t="shared" si="60"/>
        <v>0.79</v>
      </c>
      <c r="I343" s="76"/>
      <c r="J343" s="138">
        <v>0.79</v>
      </c>
      <c r="K343" s="81">
        <v>1</v>
      </c>
      <c r="L343" s="136">
        <f t="shared" si="61"/>
        <v>0.79</v>
      </c>
      <c r="M343" s="76"/>
      <c r="N343" s="137">
        <f t="shared" si="54"/>
        <v>0</v>
      </c>
      <c r="O343" s="79"/>
    </row>
    <row r="344" spans="1:63" s="4" customFormat="1" x14ac:dyDescent="0.3">
      <c r="A344" s="60"/>
      <c r="B344" s="19" t="s">
        <v>39</v>
      </c>
      <c r="C344" s="20"/>
      <c r="D344" s="20"/>
      <c r="E344" s="20"/>
      <c r="F344" s="21"/>
      <c r="G344" s="22"/>
      <c r="H344" s="23">
        <f>SUM(H337:H343)+H336</f>
        <v>36.123784000000001</v>
      </c>
      <c r="I344" s="13"/>
      <c r="J344" s="22"/>
      <c r="K344" s="24"/>
      <c r="L344" s="23">
        <f>SUM(L337:L343)+L336</f>
        <v>39.035392000000009</v>
      </c>
      <c r="M344" s="13"/>
      <c r="N344" s="15">
        <f t="shared" si="54"/>
        <v>2.9116080000000082</v>
      </c>
      <c r="O344" s="16">
        <f t="shared" ref="O344:O356" si="64">IF((H344)=0,"",(N344/H344))</f>
        <v>8.060085842612745E-2</v>
      </c>
      <c r="P344" s="60"/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</row>
    <row r="345" spans="1:63" x14ac:dyDescent="0.3">
      <c r="B345" s="76" t="s">
        <v>40</v>
      </c>
      <c r="C345" s="76"/>
      <c r="D345" s="25" t="s">
        <v>27</v>
      </c>
      <c r="E345" s="76"/>
      <c r="F345" s="135">
        <v>8.0000000000000002E-3</v>
      </c>
      <c r="G345" s="18">
        <f>F315*(1+F371)</f>
        <v>1037.7</v>
      </c>
      <c r="H345" s="136">
        <f>G345*F345</f>
        <v>8.3016000000000005</v>
      </c>
      <c r="I345" s="76"/>
      <c r="J345" s="135">
        <v>7.4999999999999997E-3</v>
      </c>
      <c r="K345" s="18">
        <f>F315*(1+J371)</f>
        <v>1037.6000000000001</v>
      </c>
      <c r="L345" s="136">
        <f>K345*J345</f>
        <v>7.7820000000000009</v>
      </c>
      <c r="M345" s="76"/>
      <c r="N345" s="136">
        <f t="shared" si="54"/>
        <v>-0.51959999999999962</v>
      </c>
      <c r="O345" s="79">
        <f t="shared" si="64"/>
        <v>-6.2590344030066442E-2</v>
      </c>
    </row>
    <row r="346" spans="1:63" x14ac:dyDescent="0.3">
      <c r="B346" s="85" t="s">
        <v>41</v>
      </c>
      <c r="C346" s="76"/>
      <c r="D346" s="25" t="s">
        <v>27</v>
      </c>
      <c r="E346" s="76"/>
      <c r="F346" s="135">
        <v>5.4999999999999997E-3</v>
      </c>
      <c r="G346" s="18">
        <f>G345</f>
        <v>1037.7</v>
      </c>
      <c r="H346" s="136">
        <f>G346*F346</f>
        <v>5.7073499999999999</v>
      </c>
      <c r="I346" s="76"/>
      <c r="J346" s="135">
        <v>3.8999999999999998E-3</v>
      </c>
      <c r="K346" s="18">
        <f>K345</f>
        <v>1037.6000000000001</v>
      </c>
      <c r="L346" s="136">
        <f>K346*J346</f>
        <v>4.04664</v>
      </c>
      <c r="M346" s="76"/>
      <c r="N346" s="136">
        <f t="shared" si="54"/>
        <v>-1.6607099999999999</v>
      </c>
      <c r="O346" s="79">
        <f t="shared" si="64"/>
        <v>-0.29097742384819575</v>
      </c>
    </row>
    <row r="347" spans="1:63" s="4" customFormat="1" x14ac:dyDescent="0.3">
      <c r="A347" s="60"/>
      <c r="B347" s="19" t="s">
        <v>42</v>
      </c>
      <c r="C347" s="20"/>
      <c r="D347" s="20"/>
      <c r="E347" s="20"/>
      <c r="F347" s="21"/>
      <c r="G347" s="22"/>
      <c r="H347" s="23">
        <f>SUM(H344:H346)</f>
        <v>50.132733999999999</v>
      </c>
      <c r="I347" s="13"/>
      <c r="J347" s="26"/>
      <c r="K347" s="22"/>
      <c r="L347" s="23">
        <f>SUM(L344:L346)</f>
        <v>50.864032000000009</v>
      </c>
      <c r="M347" s="13"/>
      <c r="N347" s="15">
        <f t="shared" si="54"/>
        <v>0.73129800000000955</v>
      </c>
      <c r="O347" s="16">
        <f t="shared" si="64"/>
        <v>1.458723555751038E-2</v>
      </c>
      <c r="P347" s="60"/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</row>
    <row r="348" spans="1:63" x14ac:dyDescent="0.3">
      <c r="B348" s="86" t="s">
        <v>43</v>
      </c>
      <c r="C348" s="73"/>
      <c r="D348" s="7" t="s">
        <v>27</v>
      </c>
      <c r="E348" s="73"/>
      <c r="F348" s="135">
        <v>4.4000000000000003E-3</v>
      </c>
      <c r="G348" s="18">
        <f>G346</f>
        <v>1037.7</v>
      </c>
      <c r="H348" s="139">
        <f t="shared" ref="H348:H356" si="65">G348*F348</f>
        <v>4.5658800000000008</v>
      </c>
      <c r="I348" s="76"/>
      <c r="J348" s="135">
        <v>4.4000000000000003E-3</v>
      </c>
      <c r="K348" s="18">
        <f>K346</f>
        <v>1037.6000000000001</v>
      </c>
      <c r="L348" s="139">
        <f t="shared" ref="L348:L356" si="66">K348*J348</f>
        <v>4.5654400000000006</v>
      </c>
      <c r="M348" s="76"/>
      <c r="N348" s="137">
        <f t="shared" si="54"/>
        <v>-4.4000000000021799E-4</v>
      </c>
      <c r="O348" s="87">
        <f t="shared" si="64"/>
        <v>-9.6366965404307147E-5</v>
      </c>
    </row>
    <row r="349" spans="1:63" x14ac:dyDescent="0.3">
      <c r="B349" s="86" t="s">
        <v>44</v>
      </c>
      <c r="C349" s="73"/>
      <c r="D349" s="7" t="s">
        <v>27</v>
      </c>
      <c r="E349" s="73"/>
      <c r="F349" s="135">
        <v>1.1999999999999999E-3</v>
      </c>
      <c r="G349" s="18">
        <f>G346</f>
        <v>1037.7</v>
      </c>
      <c r="H349" s="139">
        <f t="shared" si="65"/>
        <v>1.2452399999999999</v>
      </c>
      <c r="I349" s="76"/>
      <c r="J349" s="135">
        <v>1.1999999999999999E-3</v>
      </c>
      <c r="K349" s="18">
        <f>K346</f>
        <v>1037.6000000000001</v>
      </c>
      <c r="L349" s="139">
        <f t="shared" si="66"/>
        <v>1.24512</v>
      </c>
      <c r="M349" s="76"/>
      <c r="N349" s="137">
        <f t="shared" si="54"/>
        <v>-1.1999999999989797E-4</v>
      </c>
      <c r="O349" s="87">
        <f t="shared" si="64"/>
        <v>-9.636696540417749E-5</v>
      </c>
    </row>
    <row r="350" spans="1:63" x14ac:dyDescent="0.3">
      <c r="B350" s="73" t="s">
        <v>45</v>
      </c>
      <c r="C350" s="73"/>
      <c r="D350" s="7" t="s">
        <v>24</v>
      </c>
      <c r="E350" s="73"/>
      <c r="F350" s="135">
        <v>0.25</v>
      </c>
      <c r="G350" s="81">
        <v>1</v>
      </c>
      <c r="H350" s="139">
        <f t="shared" si="65"/>
        <v>0.25</v>
      </c>
      <c r="I350" s="76"/>
      <c r="J350" s="135">
        <v>0.25</v>
      </c>
      <c r="K350" s="77">
        <v>1</v>
      </c>
      <c r="L350" s="139">
        <f t="shared" si="66"/>
        <v>0.25</v>
      </c>
      <c r="M350" s="76"/>
      <c r="N350" s="137">
        <f t="shared" si="54"/>
        <v>0</v>
      </c>
      <c r="O350" s="87">
        <f t="shared" si="64"/>
        <v>0</v>
      </c>
    </row>
    <row r="351" spans="1:63" x14ac:dyDescent="0.3">
      <c r="B351" s="73" t="s">
        <v>46</v>
      </c>
      <c r="C351" s="73"/>
      <c r="D351" s="7" t="s">
        <v>27</v>
      </c>
      <c r="E351" s="73"/>
      <c r="F351" s="135">
        <v>7.0000000000000001E-3</v>
      </c>
      <c r="G351" s="84">
        <f>F315</f>
        <v>1000</v>
      </c>
      <c r="H351" s="139">
        <f t="shared" si="65"/>
        <v>7</v>
      </c>
      <c r="I351" s="76"/>
      <c r="J351" s="135">
        <v>7.0000000000000001E-3</v>
      </c>
      <c r="K351" s="77">
        <f>F315</f>
        <v>1000</v>
      </c>
      <c r="L351" s="139">
        <f t="shared" si="66"/>
        <v>7</v>
      </c>
      <c r="M351" s="76"/>
      <c r="N351" s="137">
        <f t="shared" si="54"/>
        <v>0</v>
      </c>
      <c r="O351" s="87">
        <f t="shared" si="64"/>
        <v>0</v>
      </c>
    </row>
    <row r="352" spans="1:63" x14ac:dyDescent="0.3">
      <c r="B352" s="80" t="s">
        <v>47</v>
      </c>
      <c r="C352" s="73"/>
      <c r="D352" s="7" t="s">
        <v>27</v>
      </c>
      <c r="E352" s="73"/>
      <c r="F352" s="138">
        <v>6.7000000000000004E-2</v>
      </c>
      <c r="G352" s="27">
        <f>0.64*$F$315</f>
        <v>640</v>
      </c>
      <c r="H352" s="139">
        <f t="shared" si="65"/>
        <v>42.88</v>
      </c>
      <c r="I352" s="76"/>
      <c r="J352" s="138">
        <v>6.7000000000000004E-2</v>
      </c>
      <c r="K352" s="28">
        <f>G352</f>
        <v>640</v>
      </c>
      <c r="L352" s="139">
        <f t="shared" si="66"/>
        <v>42.88</v>
      </c>
      <c r="M352" s="76"/>
      <c r="N352" s="137">
        <f t="shared" si="54"/>
        <v>0</v>
      </c>
      <c r="O352" s="87">
        <f t="shared" si="64"/>
        <v>0</v>
      </c>
      <c r="S352" s="127"/>
    </row>
    <row r="353" spans="1:63" x14ac:dyDescent="0.3">
      <c r="B353" s="80" t="s">
        <v>48</v>
      </c>
      <c r="C353" s="73"/>
      <c r="D353" s="7" t="s">
        <v>27</v>
      </c>
      <c r="E353" s="73"/>
      <c r="F353" s="138">
        <v>0.104</v>
      </c>
      <c r="G353" s="27">
        <f>0.18*$F$315</f>
        <v>180</v>
      </c>
      <c r="H353" s="139">
        <f t="shared" si="65"/>
        <v>18.72</v>
      </c>
      <c r="I353" s="76"/>
      <c r="J353" s="138">
        <v>0.104</v>
      </c>
      <c r="K353" s="28">
        <f>G353</f>
        <v>180</v>
      </c>
      <c r="L353" s="139">
        <f t="shared" si="66"/>
        <v>18.72</v>
      </c>
      <c r="M353" s="76"/>
      <c r="N353" s="137">
        <f t="shared" si="54"/>
        <v>0</v>
      </c>
      <c r="O353" s="87">
        <f t="shared" si="64"/>
        <v>0</v>
      </c>
      <c r="S353" s="127"/>
    </row>
    <row r="354" spans="1:63" x14ac:dyDescent="0.3">
      <c r="B354" s="64" t="s">
        <v>49</v>
      </c>
      <c r="C354" s="73"/>
      <c r="D354" s="7" t="s">
        <v>27</v>
      </c>
      <c r="E354" s="73"/>
      <c r="F354" s="138">
        <v>0.124</v>
      </c>
      <c r="G354" s="27">
        <f>0.18*$F$315</f>
        <v>180</v>
      </c>
      <c r="H354" s="139">
        <f t="shared" si="65"/>
        <v>22.32</v>
      </c>
      <c r="I354" s="76"/>
      <c r="J354" s="138">
        <v>0.124</v>
      </c>
      <c r="K354" s="28">
        <f>G354</f>
        <v>180</v>
      </c>
      <c r="L354" s="139">
        <f t="shared" si="66"/>
        <v>22.32</v>
      </c>
      <c r="M354" s="76"/>
      <c r="N354" s="137">
        <f t="shared" si="54"/>
        <v>0</v>
      </c>
      <c r="O354" s="87">
        <f t="shared" si="64"/>
        <v>0</v>
      </c>
      <c r="S354" s="127"/>
    </row>
    <row r="355" spans="1:63" s="92" customFormat="1" x14ac:dyDescent="0.25">
      <c r="B355" s="89" t="s">
        <v>50</v>
      </c>
      <c r="C355" s="90"/>
      <c r="D355" s="29" t="s">
        <v>27</v>
      </c>
      <c r="E355" s="90"/>
      <c r="F355" s="138">
        <v>7.4999999999999997E-2</v>
      </c>
      <c r="G355" s="30">
        <f>IF(AND($T$1=1, F315&gt;=600), 600, IF(AND($T$1=1, AND(F315&lt;600, F315&gt;=0)), F315, IF(AND($T$1=2, F315&gt;=1000), 1000, IF(AND($T$1=2, AND(F315&lt;1000, F315&gt;=0)), F315))))</f>
        <v>600</v>
      </c>
      <c r="H355" s="139">
        <f t="shared" si="65"/>
        <v>45</v>
      </c>
      <c r="I355" s="91"/>
      <c r="J355" s="138">
        <v>7.4999999999999997E-2</v>
      </c>
      <c r="K355" s="31">
        <f>G355</f>
        <v>600</v>
      </c>
      <c r="L355" s="139">
        <f t="shared" si="66"/>
        <v>45</v>
      </c>
      <c r="M355" s="91"/>
      <c r="N355" s="140">
        <f t="shared" si="54"/>
        <v>0</v>
      </c>
      <c r="O355" s="87">
        <f t="shared" si="64"/>
        <v>0</v>
      </c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</row>
    <row r="356" spans="1:63" s="92" customFormat="1" ht="15" thickBot="1" x14ac:dyDescent="0.3">
      <c r="B356" s="89" t="s">
        <v>51</v>
      </c>
      <c r="C356" s="90"/>
      <c r="D356" s="29" t="s">
        <v>27</v>
      </c>
      <c r="E356" s="90"/>
      <c r="F356" s="138">
        <v>8.7999999999999995E-2</v>
      </c>
      <c r="G356" s="30">
        <f>IF(AND($T$1=1, F315&gt;=600), F315-600, IF(AND($T$1=1, AND(F315&lt;600, F315&gt;=0)), 0, IF(AND($T$1=2, F315&gt;=1000), F315-1000, IF(AND($T$1=2, AND(F315&lt;1000, F315&gt;=0)), 0))))</f>
        <v>400</v>
      </c>
      <c r="H356" s="139">
        <f t="shared" si="65"/>
        <v>35.199999999999996</v>
      </c>
      <c r="I356" s="91"/>
      <c r="J356" s="138">
        <v>8.7999999999999995E-2</v>
      </c>
      <c r="K356" s="31">
        <f>G356</f>
        <v>400</v>
      </c>
      <c r="L356" s="139">
        <f t="shared" si="66"/>
        <v>35.199999999999996</v>
      </c>
      <c r="M356" s="91"/>
      <c r="N356" s="140">
        <f t="shared" si="54"/>
        <v>0</v>
      </c>
      <c r="O356" s="87">
        <f t="shared" si="64"/>
        <v>0</v>
      </c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</row>
    <row r="357" spans="1:63" s="4" customFormat="1" ht="15" thickBot="1" x14ac:dyDescent="0.35">
      <c r="A357" s="60"/>
      <c r="B357" s="32"/>
      <c r="C357" s="33"/>
      <c r="D357" s="124"/>
      <c r="E357" s="33"/>
      <c r="F357" s="35"/>
      <c r="G357" s="36"/>
      <c r="H357" s="122"/>
      <c r="I357" s="123"/>
      <c r="J357" s="35"/>
      <c r="K357" s="39"/>
      <c r="L357" s="122"/>
      <c r="M357" s="123"/>
      <c r="N357" s="40"/>
      <c r="O357" s="41"/>
      <c r="P357" s="60"/>
      <c r="Q357" s="126"/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</row>
    <row r="358" spans="1:63" x14ac:dyDescent="0.3">
      <c r="B358" s="93" t="s">
        <v>52</v>
      </c>
      <c r="C358" s="73"/>
      <c r="D358" s="73"/>
      <c r="E358" s="73"/>
      <c r="F358" s="94"/>
      <c r="G358" s="95"/>
      <c r="H358" s="141">
        <f>SUM(H348:H354,H347)</f>
        <v>147.113854</v>
      </c>
      <c r="I358" s="96"/>
      <c r="J358" s="97"/>
      <c r="K358" s="97"/>
      <c r="L358" s="144">
        <f>SUM(L348:L354,L347)</f>
        <v>147.84459200000001</v>
      </c>
      <c r="M358" s="145"/>
      <c r="N358" s="146">
        <f>L358-H358</f>
        <v>0.73073800000000233</v>
      </c>
      <c r="O358" s="98">
        <f>IF((H358)=0,"",(N358/H358))</f>
        <v>4.9671596530942779E-3</v>
      </c>
      <c r="S358" s="127"/>
    </row>
    <row r="359" spans="1:63" x14ac:dyDescent="0.3">
      <c r="B359" s="99" t="s">
        <v>53</v>
      </c>
      <c r="C359" s="73"/>
      <c r="D359" s="73"/>
      <c r="E359" s="73"/>
      <c r="F359" s="100">
        <v>0.13</v>
      </c>
      <c r="G359" s="101"/>
      <c r="H359" s="142">
        <f>H358*F359</f>
        <v>19.12480102</v>
      </c>
      <c r="I359" s="102"/>
      <c r="J359" s="103">
        <v>0.13</v>
      </c>
      <c r="K359" s="102"/>
      <c r="L359" s="147">
        <f>L358*J359</f>
        <v>19.21979696</v>
      </c>
      <c r="M359" s="148"/>
      <c r="N359" s="149">
        <f>L359-H359</f>
        <v>9.4995940000000445E-2</v>
      </c>
      <c r="O359" s="104">
        <f>IF((H359)=0,"",(N359/H359))</f>
        <v>4.9671596530942858E-3</v>
      </c>
      <c r="S359" s="127"/>
    </row>
    <row r="360" spans="1:63" x14ac:dyDescent="0.3">
      <c r="B360" s="105" t="s">
        <v>54</v>
      </c>
      <c r="C360" s="73"/>
      <c r="D360" s="73"/>
      <c r="E360" s="73"/>
      <c r="F360" s="106"/>
      <c r="G360" s="101"/>
      <c r="H360" s="142">
        <f>H358+H359</f>
        <v>166.23865502000001</v>
      </c>
      <c r="I360" s="102"/>
      <c r="J360" s="102"/>
      <c r="K360" s="102"/>
      <c r="L360" s="147">
        <f>L358+L359</f>
        <v>167.06438896</v>
      </c>
      <c r="M360" s="148"/>
      <c r="N360" s="149">
        <f>L360-H360</f>
        <v>0.82573393999999212</v>
      </c>
      <c r="O360" s="104">
        <f>IF((H360)=0,"",(N360/H360))</f>
        <v>4.9671596530942146E-3</v>
      </c>
      <c r="S360" s="127"/>
    </row>
    <row r="361" spans="1:63" ht="14.4" customHeight="1" x14ac:dyDescent="0.3">
      <c r="B361" s="172" t="s">
        <v>55</v>
      </c>
      <c r="C361" s="172"/>
      <c r="D361" s="172"/>
      <c r="E361" s="73"/>
      <c r="F361" s="106"/>
      <c r="G361" s="101"/>
      <c r="H361" s="143">
        <f>ROUND(-H360*10%,2)</f>
        <v>-16.62</v>
      </c>
      <c r="I361" s="102"/>
      <c r="J361" s="102"/>
      <c r="K361" s="102"/>
      <c r="L361" s="150">
        <f>ROUND(-L360*10%,2)</f>
        <v>-16.71</v>
      </c>
      <c r="M361" s="148"/>
      <c r="N361" s="151">
        <f>L361-H361</f>
        <v>-8.9999999999999858E-2</v>
      </c>
      <c r="O361" s="107">
        <f>IF((H361)=0,"",(N361/H361))</f>
        <v>5.4151624548736373E-3</v>
      </c>
    </row>
    <row r="362" spans="1:63" s="4" customFormat="1" ht="15" thickBot="1" x14ac:dyDescent="0.35">
      <c r="A362" s="60"/>
      <c r="B362" s="173" t="s">
        <v>56</v>
      </c>
      <c r="C362" s="173"/>
      <c r="D362" s="173"/>
      <c r="E362" s="42"/>
      <c r="F362" s="43"/>
      <c r="G362" s="44"/>
      <c r="H362" s="45">
        <f>H360+H361</f>
        <v>149.61865502000001</v>
      </c>
      <c r="I362" s="46"/>
      <c r="J362" s="46"/>
      <c r="K362" s="46"/>
      <c r="L362" s="47">
        <f>L360+L361</f>
        <v>150.35438895999999</v>
      </c>
      <c r="M362" s="48"/>
      <c r="N362" s="49">
        <f>L362-H362</f>
        <v>0.73573393999998871</v>
      </c>
      <c r="O362" s="50">
        <f>IF((H362)=0,"",(N362/H362))</f>
        <v>4.9173944245230706E-3</v>
      </c>
      <c r="P362" s="60"/>
      <c r="Q362" s="126"/>
      <c r="R362" s="126"/>
      <c r="S362" s="126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</row>
    <row r="363" spans="1:63" s="4" customFormat="1" ht="15" thickBot="1" x14ac:dyDescent="0.35">
      <c r="A363" s="60"/>
      <c r="B363" s="32"/>
      <c r="C363" s="33"/>
      <c r="D363" s="34"/>
      <c r="E363" s="33"/>
      <c r="F363" s="35"/>
      <c r="G363" s="36"/>
      <c r="H363" s="37"/>
      <c r="I363" s="38"/>
      <c r="J363" s="35"/>
      <c r="K363" s="39"/>
      <c r="L363" s="37"/>
      <c r="M363" s="123"/>
      <c r="N363" s="40"/>
      <c r="O363" s="41"/>
      <c r="P363" s="60"/>
      <c r="Q363" s="126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</row>
    <row r="364" spans="1:63" s="92" customFormat="1" ht="13.2" x14ac:dyDescent="0.25">
      <c r="B364" s="108" t="s">
        <v>57</v>
      </c>
      <c r="C364" s="90"/>
      <c r="D364" s="90"/>
      <c r="E364" s="90"/>
      <c r="F364" s="109"/>
      <c r="G364" s="110"/>
      <c r="H364" s="152">
        <f>SUM(H355:H356,H347,H348:H351)</f>
        <v>143.39385399999998</v>
      </c>
      <c r="I364" s="111"/>
      <c r="J364" s="112"/>
      <c r="K364" s="112"/>
      <c r="L364" s="155">
        <f>SUM(L355:L356,L347,L348:L351)</f>
        <v>144.12459200000001</v>
      </c>
      <c r="M364" s="156"/>
      <c r="N364" s="157">
        <f>L364-H364</f>
        <v>0.73073800000003075</v>
      </c>
      <c r="O364" s="98">
        <f>IF((H364)=0,"",(N364/H364))</f>
        <v>5.0960203636065942E-3</v>
      </c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</row>
    <row r="365" spans="1:63" s="92" customFormat="1" ht="13.2" x14ac:dyDescent="0.25">
      <c r="B365" s="113" t="s">
        <v>53</v>
      </c>
      <c r="C365" s="90"/>
      <c r="D365" s="90"/>
      <c r="E365" s="90"/>
      <c r="F365" s="114">
        <v>0.13</v>
      </c>
      <c r="G365" s="110"/>
      <c r="H365" s="153">
        <f>H364*F365</f>
        <v>18.641201019999997</v>
      </c>
      <c r="I365" s="115"/>
      <c r="J365" s="116">
        <v>0.13</v>
      </c>
      <c r="K365" s="117"/>
      <c r="L365" s="158">
        <f>L364*J365</f>
        <v>18.736196960000001</v>
      </c>
      <c r="M365" s="159"/>
      <c r="N365" s="160">
        <f>L365-H365</f>
        <v>9.4995940000003998E-2</v>
      </c>
      <c r="O365" s="104">
        <f>IF((H365)=0,"",(N365/H365))</f>
        <v>5.0960203636065942E-3</v>
      </c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</row>
    <row r="366" spans="1:63" s="92" customFormat="1" ht="13.2" x14ac:dyDescent="0.25">
      <c r="B366" s="118" t="s">
        <v>54</v>
      </c>
      <c r="C366" s="90"/>
      <c r="D366" s="90"/>
      <c r="E366" s="90"/>
      <c r="F366" s="119"/>
      <c r="G366" s="120"/>
      <c r="H366" s="153">
        <f>H364+H365</f>
        <v>162.03505501999996</v>
      </c>
      <c r="I366" s="115"/>
      <c r="J366" s="115"/>
      <c r="K366" s="115"/>
      <c r="L366" s="158">
        <f>L364+L365</f>
        <v>162.86078896000001</v>
      </c>
      <c r="M366" s="159"/>
      <c r="N366" s="160">
        <f>L366-H366</f>
        <v>0.82573394000004896</v>
      </c>
      <c r="O366" s="104">
        <f>IF((H366)=0,"",(N366/H366))</f>
        <v>5.0960203636066827E-3</v>
      </c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</row>
    <row r="367" spans="1:63" s="92" customFormat="1" ht="13.2" customHeight="1" x14ac:dyDescent="0.25">
      <c r="B367" s="174" t="s">
        <v>55</v>
      </c>
      <c r="C367" s="174"/>
      <c r="D367" s="174"/>
      <c r="E367" s="90"/>
      <c r="F367" s="119"/>
      <c r="G367" s="120"/>
      <c r="H367" s="154">
        <f>ROUND(-H366*10%,2)</f>
        <v>-16.2</v>
      </c>
      <c r="I367" s="115"/>
      <c r="J367" s="115"/>
      <c r="K367" s="115"/>
      <c r="L367" s="161">
        <f>ROUND(-L366*10%,2)</f>
        <v>-16.29</v>
      </c>
      <c r="M367" s="159"/>
      <c r="N367" s="162">
        <f>L367-H367</f>
        <v>-8.9999999999999858E-2</v>
      </c>
      <c r="O367" s="107">
        <f>IF((H367)=0,"",(N367/H367))</f>
        <v>5.5555555555555471E-3</v>
      </c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</row>
    <row r="368" spans="1:63" s="4" customFormat="1" ht="15" thickBot="1" x14ac:dyDescent="0.35">
      <c r="A368" s="60"/>
      <c r="B368" s="173" t="s">
        <v>58</v>
      </c>
      <c r="C368" s="173"/>
      <c r="D368" s="173"/>
      <c r="E368" s="42"/>
      <c r="F368" s="43"/>
      <c r="G368" s="44"/>
      <c r="H368" s="45">
        <f>SUM(H366:H367)</f>
        <v>145.83505501999997</v>
      </c>
      <c r="I368" s="46"/>
      <c r="J368" s="46"/>
      <c r="K368" s="46"/>
      <c r="L368" s="47">
        <f>SUM(L366:L367)</f>
        <v>146.57078896000002</v>
      </c>
      <c r="M368" s="48"/>
      <c r="N368" s="49">
        <f>L368-H368</f>
        <v>0.73573394000004555</v>
      </c>
      <c r="O368" s="50">
        <f>IF((H368)=0,"",(N368/H368))</f>
        <v>5.0449731712251646E-3</v>
      </c>
      <c r="P368" s="60"/>
      <c r="Q368" s="126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</row>
    <row r="369" spans="1:63" s="4" customFormat="1" ht="15" thickBot="1" x14ac:dyDescent="0.35">
      <c r="A369" s="60"/>
      <c r="B369" s="32"/>
      <c r="C369" s="33"/>
      <c r="D369" s="34"/>
      <c r="E369" s="33"/>
      <c r="F369" s="35"/>
      <c r="G369" s="36"/>
      <c r="H369" s="122"/>
      <c r="I369" s="123"/>
      <c r="J369" s="35"/>
      <c r="K369" s="39"/>
      <c r="L369" s="37"/>
      <c r="M369" s="123"/>
      <c r="N369" s="40"/>
      <c r="O369" s="41"/>
      <c r="P369" s="60"/>
      <c r="Q369" s="126"/>
      <c r="R369" s="126"/>
      <c r="S369" s="126"/>
      <c r="T369" s="126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</row>
    <row r="370" spans="1:63" x14ac:dyDescent="0.3">
      <c r="L370" s="88"/>
    </row>
    <row r="371" spans="1:63" x14ac:dyDescent="0.3">
      <c r="B371" s="65" t="s">
        <v>59</v>
      </c>
      <c r="F371" s="51">
        <v>3.7699999999999997E-2</v>
      </c>
      <c r="J371" s="51">
        <f>+$J$149</f>
        <v>3.7600000000000001E-2</v>
      </c>
    </row>
    <row r="373" spans="1:63" x14ac:dyDescent="0.3">
      <c r="L373" s="56"/>
      <c r="M373" s="56"/>
      <c r="N373" s="56"/>
      <c r="O373" s="56"/>
      <c r="P373" s="56"/>
    </row>
    <row r="374" spans="1:63" ht="16.2" x14ac:dyDescent="0.3">
      <c r="A374" s="121" t="s">
        <v>60</v>
      </c>
    </row>
    <row r="376" spans="1:63" x14ac:dyDescent="0.3">
      <c r="A376" s="60" t="s">
        <v>61</v>
      </c>
    </row>
    <row r="377" spans="1:63" x14ac:dyDescent="0.3">
      <c r="A377" s="60" t="s">
        <v>62</v>
      </c>
    </row>
    <row r="379" spans="1:63" x14ac:dyDescent="0.3">
      <c r="B379" s="60" t="s">
        <v>63</v>
      </c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</row>
    <row r="381" spans="1:63" ht="18.75" customHeight="1" x14ac:dyDescent="0.3">
      <c r="B381" s="175" t="s">
        <v>6</v>
      </c>
      <c r="C381" s="175"/>
      <c r="D381" s="175"/>
      <c r="E381" s="175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56"/>
    </row>
    <row r="382" spans="1:63" ht="18.75" customHeight="1" x14ac:dyDescent="0.3">
      <c r="B382" s="175" t="s">
        <v>7</v>
      </c>
      <c r="C382" s="175"/>
      <c r="D382" s="175"/>
      <c r="E382" s="175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56"/>
    </row>
    <row r="383" spans="1:63" ht="7.5" customHeight="1" x14ac:dyDescent="0.3">
      <c r="L383" s="56"/>
      <c r="M383" s="56"/>
      <c r="N383" s="56"/>
      <c r="O383" s="56"/>
      <c r="P383" s="56"/>
    </row>
    <row r="384" spans="1:63" ht="7.5" customHeight="1" x14ac:dyDescent="0.3">
      <c r="L384" s="56"/>
      <c r="M384" s="56"/>
      <c r="N384" s="56"/>
      <c r="O384" s="56"/>
      <c r="P384" s="56"/>
    </row>
    <row r="385" spans="2:15" ht="15.6" x14ac:dyDescent="0.3">
      <c r="B385" s="61" t="s">
        <v>8</v>
      </c>
      <c r="D385" s="185" t="s">
        <v>67</v>
      </c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</row>
    <row r="386" spans="2:15" ht="7.5" customHeight="1" x14ac:dyDescent="0.3">
      <c r="B386" s="62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</row>
    <row r="387" spans="2:15" ht="15.6" x14ac:dyDescent="0.3">
      <c r="B387" s="61" t="s">
        <v>9</v>
      </c>
      <c r="D387" s="5" t="s">
        <v>10</v>
      </c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</row>
    <row r="388" spans="2:15" ht="15.6" x14ac:dyDescent="0.3">
      <c r="B388" s="62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</row>
    <row r="389" spans="2:15" x14ac:dyDescent="0.3">
      <c r="B389" s="64"/>
      <c r="D389" s="65" t="s">
        <v>11</v>
      </c>
      <c r="E389" s="65"/>
      <c r="F389" s="6">
        <v>1500</v>
      </c>
      <c r="G389" s="65" t="s">
        <v>12</v>
      </c>
    </row>
    <row r="390" spans="2:15" x14ac:dyDescent="0.3">
      <c r="B390" s="64"/>
      <c r="G390" s="65"/>
    </row>
    <row r="391" spans="2:15" x14ac:dyDescent="0.3">
      <c r="B391" s="64"/>
      <c r="D391" s="66"/>
      <c r="E391" s="66"/>
      <c r="F391" s="176" t="s">
        <v>13</v>
      </c>
      <c r="G391" s="177"/>
      <c r="H391" s="178"/>
      <c r="J391" s="176" t="s">
        <v>14</v>
      </c>
      <c r="K391" s="177"/>
      <c r="L391" s="178"/>
      <c r="N391" s="176" t="s">
        <v>15</v>
      </c>
      <c r="O391" s="178"/>
    </row>
    <row r="392" spans="2:15" x14ac:dyDescent="0.3">
      <c r="B392" s="64"/>
      <c r="D392" s="179" t="s">
        <v>16</v>
      </c>
      <c r="E392" s="67"/>
      <c r="F392" s="68" t="s">
        <v>17</v>
      </c>
      <c r="G392" s="68" t="s">
        <v>18</v>
      </c>
      <c r="H392" s="69" t="s">
        <v>19</v>
      </c>
      <c r="J392" s="68" t="s">
        <v>17</v>
      </c>
      <c r="K392" s="70" t="s">
        <v>18</v>
      </c>
      <c r="L392" s="69" t="s">
        <v>19</v>
      </c>
      <c r="N392" s="181" t="s">
        <v>20</v>
      </c>
      <c r="O392" s="183" t="s">
        <v>21</v>
      </c>
    </row>
    <row r="393" spans="2:15" x14ac:dyDescent="0.3">
      <c r="B393" s="64"/>
      <c r="D393" s="180"/>
      <c r="E393" s="67"/>
      <c r="F393" s="71" t="s">
        <v>22</v>
      </c>
      <c r="G393" s="71"/>
      <c r="H393" s="72" t="s">
        <v>22</v>
      </c>
      <c r="J393" s="71" t="s">
        <v>22</v>
      </c>
      <c r="K393" s="72"/>
      <c r="L393" s="72" t="s">
        <v>22</v>
      </c>
      <c r="N393" s="182"/>
      <c r="O393" s="184"/>
    </row>
    <row r="394" spans="2:15" x14ac:dyDescent="0.3">
      <c r="B394" s="73" t="s">
        <v>23</v>
      </c>
      <c r="C394" s="73"/>
      <c r="D394" s="7" t="s">
        <v>24</v>
      </c>
      <c r="E394" s="73"/>
      <c r="F394" s="129">
        <v>13.11</v>
      </c>
      <c r="G394" s="74">
        <v>1</v>
      </c>
      <c r="H394" s="75">
        <f t="shared" ref="H394:H409" si="67">G394*F394</f>
        <v>13.11</v>
      </c>
      <c r="I394" s="76"/>
      <c r="J394" s="171">
        <v>16.43</v>
      </c>
      <c r="K394" s="77">
        <v>1</v>
      </c>
      <c r="L394" s="75">
        <f t="shared" ref="L394:L409" si="68">K394*J394</f>
        <v>16.43</v>
      </c>
      <c r="M394" s="76"/>
      <c r="N394" s="78">
        <f t="shared" ref="N394:N430" si="69">L394-H394</f>
        <v>3.3200000000000003</v>
      </c>
      <c r="O394" s="79">
        <f t="shared" ref="O394:O416" si="70">IF((H394)=0,"",(N394/H394))</f>
        <v>0.25324180015255532</v>
      </c>
    </row>
    <row r="395" spans="2:15" x14ac:dyDescent="0.3">
      <c r="B395" s="73" t="s">
        <v>25</v>
      </c>
      <c r="C395" s="73"/>
      <c r="D395" s="7" t="s">
        <v>24</v>
      </c>
      <c r="E395" s="73"/>
      <c r="F395" s="133">
        <v>2.4900000000000002</v>
      </c>
      <c r="G395" s="74">
        <v>1</v>
      </c>
      <c r="H395" s="136">
        <f t="shared" si="67"/>
        <v>2.4900000000000002</v>
      </c>
      <c r="I395" s="76"/>
      <c r="J395" s="130"/>
      <c r="K395" s="77">
        <v>1</v>
      </c>
      <c r="L395" s="136">
        <f t="shared" si="68"/>
        <v>0</v>
      </c>
      <c r="M395" s="76"/>
      <c r="N395" s="137">
        <f t="shared" si="69"/>
        <v>-2.4900000000000002</v>
      </c>
      <c r="O395" s="79">
        <f t="shared" si="70"/>
        <v>-1</v>
      </c>
    </row>
    <row r="396" spans="2:15" x14ac:dyDescent="0.3">
      <c r="B396" s="9"/>
      <c r="C396" s="73"/>
      <c r="D396" s="7"/>
      <c r="E396" s="73"/>
      <c r="F396" s="134"/>
      <c r="G396" s="74">
        <v>1</v>
      </c>
      <c r="H396" s="136">
        <f t="shared" si="67"/>
        <v>0</v>
      </c>
      <c r="I396" s="76"/>
      <c r="J396" s="131"/>
      <c r="K396" s="77">
        <v>1</v>
      </c>
      <c r="L396" s="136">
        <f t="shared" si="68"/>
        <v>0</v>
      </c>
      <c r="M396" s="76"/>
      <c r="N396" s="137">
        <f t="shared" si="69"/>
        <v>0</v>
      </c>
      <c r="O396" s="79" t="str">
        <f t="shared" si="70"/>
        <v/>
      </c>
    </row>
    <row r="397" spans="2:15" x14ac:dyDescent="0.3">
      <c r="B397" s="9"/>
      <c r="C397" s="73"/>
      <c r="D397" s="7"/>
      <c r="E397" s="73"/>
      <c r="F397" s="134"/>
      <c r="G397" s="74">
        <v>1</v>
      </c>
      <c r="H397" s="136">
        <f t="shared" si="67"/>
        <v>0</v>
      </c>
      <c r="I397" s="76"/>
      <c r="J397" s="131"/>
      <c r="K397" s="77">
        <v>1</v>
      </c>
      <c r="L397" s="136">
        <f t="shared" si="68"/>
        <v>0</v>
      </c>
      <c r="M397" s="76"/>
      <c r="N397" s="137">
        <f t="shared" si="69"/>
        <v>0</v>
      </c>
      <c r="O397" s="79" t="str">
        <f t="shared" si="70"/>
        <v/>
      </c>
    </row>
    <row r="398" spans="2:15" x14ac:dyDescent="0.3">
      <c r="B398" s="10"/>
      <c r="C398" s="73"/>
      <c r="D398" s="7"/>
      <c r="E398" s="73"/>
      <c r="F398" s="134"/>
      <c r="G398" s="74">
        <v>1</v>
      </c>
      <c r="H398" s="136">
        <f t="shared" si="67"/>
        <v>0</v>
      </c>
      <c r="I398" s="76"/>
      <c r="J398" s="131"/>
      <c r="K398" s="77">
        <v>1</v>
      </c>
      <c r="L398" s="136">
        <f t="shared" si="68"/>
        <v>0</v>
      </c>
      <c r="M398" s="76"/>
      <c r="N398" s="137">
        <f t="shared" si="69"/>
        <v>0</v>
      </c>
      <c r="O398" s="79" t="str">
        <f t="shared" si="70"/>
        <v/>
      </c>
    </row>
    <row r="399" spans="2:15" x14ac:dyDescent="0.3">
      <c r="B399" s="10"/>
      <c r="C399" s="73"/>
      <c r="D399" s="7"/>
      <c r="E399" s="73"/>
      <c r="F399" s="134"/>
      <c r="G399" s="74">
        <v>1</v>
      </c>
      <c r="H399" s="136">
        <f t="shared" si="67"/>
        <v>0</v>
      </c>
      <c r="I399" s="76"/>
      <c r="J399" s="131"/>
      <c r="K399" s="77">
        <v>1</v>
      </c>
      <c r="L399" s="136">
        <f t="shared" si="68"/>
        <v>0</v>
      </c>
      <c r="M399" s="76"/>
      <c r="N399" s="137">
        <f t="shared" si="69"/>
        <v>0</v>
      </c>
      <c r="O399" s="79" t="str">
        <f t="shared" si="70"/>
        <v/>
      </c>
    </row>
    <row r="400" spans="2:15" x14ac:dyDescent="0.3">
      <c r="B400" s="73" t="s">
        <v>26</v>
      </c>
      <c r="C400" s="73"/>
      <c r="D400" s="7" t="s">
        <v>27</v>
      </c>
      <c r="E400" s="73"/>
      <c r="F400" s="135">
        <v>1.43E-2</v>
      </c>
      <c r="G400" s="74">
        <f>$F$389</f>
        <v>1500</v>
      </c>
      <c r="H400" s="136">
        <f t="shared" si="67"/>
        <v>21.45</v>
      </c>
      <c r="I400" s="76"/>
      <c r="J400" s="132">
        <v>1.7899999999999999E-2</v>
      </c>
      <c r="K400" s="74">
        <f>$F$389</f>
        <v>1500</v>
      </c>
      <c r="L400" s="136">
        <f t="shared" si="68"/>
        <v>26.849999999999998</v>
      </c>
      <c r="M400" s="76"/>
      <c r="N400" s="137">
        <f t="shared" si="69"/>
        <v>5.3999999999999986</v>
      </c>
      <c r="O400" s="79">
        <f t="shared" si="70"/>
        <v>0.25174825174825172</v>
      </c>
    </row>
    <row r="401" spans="1:63" x14ac:dyDescent="0.3">
      <c r="B401" s="73" t="s">
        <v>28</v>
      </c>
      <c r="C401" s="73"/>
      <c r="D401" s="7" t="s">
        <v>24</v>
      </c>
      <c r="E401" s="73"/>
      <c r="F401" s="135">
        <v>-0.03</v>
      </c>
      <c r="G401" s="74">
        <v>1</v>
      </c>
      <c r="H401" s="136">
        <f t="shared" si="67"/>
        <v>-0.03</v>
      </c>
      <c r="I401" s="76"/>
      <c r="J401" s="132"/>
      <c r="K401" s="74">
        <v>1</v>
      </c>
      <c r="L401" s="136">
        <f t="shared" si="68"/>
        <v>0</v>
      </c>
      <c r="M401" s="76"/>
      <c r="N401" s="137">
        <f t="shared" si="69"/>
        <v>0.03</v>
      </c>
      <c r="O401" s="79">
        <f t="shared" si="70"/>
        <v>-1</v>
      </c>
    </row>
    <row r="402" spans="1:63" x14ac:dyDescent="0.3">
      <c r="B402" s="73" t="s">
        <v>29</v>
      </c>
      <c r="C402" s="73"/>
      <c r="D402" s="7" t="s">
        <v>27</v>
      </c>
      <c r="E402" s="73"/>
      <c r="F402" s="135">
        <v>2.9999999999999997E-4</v>
      </c>
      <c r="G402" s="74">
        <f t="shared" ref="G402:G404" si="71">$F$389</f>
        <v>1500</v>
      </c>
      <c r="H402" s="136">
        <f t="shared" si="67"/>
        <v>0.44999999999999996</v>
      </c>
      <c r="I402" s="76"/>
      <c r="J402" s="132">
        <v>2.0000000000000001E-4</v>
      </c>
      <c r="K402" s="74">
        <f t="shared" ref="K402:K404" si="72">$F$389</f>
        <v>1500</v>
      </c>
      <c r="L402" s="136">
        <f t="shared" si="68"/>
        <v>0.3</v>
      </c>
      <c r="M402" s="76"/>
      <c r="N402" s="137">
        <f t="shared" si="69"/>
        <v>-0.14999999999999997</v>
      </c>
      <c r="O402" s="79">
        <f t="shared" si="70"/>
        <v>-0.33333333333333331</v>
      </c>
    </row>
    <row r="403" spans="1:63" x14ac:dyDescent="0.3">
      <c r="B403" s="11" t="s">
        <v>30</v>
      </c>
      <c r="C403" s="73"/>
      <c r="D403" s="7" t="s">
        <v>27</v>
      </c>
      <c r="E403" s="73"/>
      <c r="F403" s="135">
        <v>1.8E-3</v>
      </c>
      <c r="G403" s="74">
        <f t="shared" si="71"/>
        <v>1500</v>
      </c>
      <c r="H403" s="136">
        <f t="shared" si="67"/>
        <v>2.6999999999999997</v>
      </c>
      <c r="I403" s="76"/>
      <c r="J403" s="132"/>
      <c r="K403" s="74">
        <f t="shared" si="72"/>
        <v>1500</v>
      </c>
      <c r="L403" s="136">
        <f t="shared" si="68"/>
        <v>0</v>
      </c>
      <c r="M403" s="76"/>
      <c r="N403" s="137">
        <f t="shared" si="69"/>
        <v>-2.6999999999999997</v>
      </c>
      <c r="O403" s="79">
        <f t="shared" si="70"/>
        <v>-1</v>
      </c>
    </row>
    <row r="404" spans="1:63" x14ac:dyDescent="0.3">
      <c r="B404" s="11" t="s">
        <v>31</v>
      </c>
      <c r="C404" s="73"/>
      <c r="D404" s="7" t="s">
        <v>27</v>
      </c>
      <c r="E404" s="73"/>
      <c r="F404" s="135">
        <v>-2.9999999999999997E-4</v>
      </c>
      <c r="G404" s="74">
        <f t="shared" si="71"/>
        <v>1500</v>
      </c>
      <c r="H404" s="136">
        <f t="shared" si="67"/>
        <v>-0.44999999999999996</v>
      </c>
      <c r="I404" s="76"/>
      <c r="J404" s="132"/>
      <c r="K404" s="74">
        <f t="shared" si="72"/>
        <v>1500</v>
      </c>
      <c r="L404" s="136">
        <f t="shared" si="68"/>
        <v>0</v>
      </c>
      <c r="M404" s="76"/>
      <c r="N404" s="137">
        <f t="shared" si="69"/>
        <v>0.44999999999999996</v>
      </c>
      <c r="O404" s="79">
        <f t="shared" si="70"/>
        <v>-1</v>
      </c>
    </row>
    <row r="405" spans="1:63" x14ac:dyDescent="0.3">
      <c r="B405" s="11" t="s">
        <v>32</v>
      </c>
      <c r="C405" s="73"/>
      <c r="D405" s="7" t="s">
        <v>24</v>
      </c>
      <c r="E405" s="73"/>
      <c r="F405" s="135">
        <v>0</v>
      </c>
      <c r="G405" s="74">
        <v>1</v>
      </c>
      <c r="H405" s="136">
        <f t="shared" si="67"/>
        <v>0</v>
      </c>
      <c r="I405" s="76"/>
      <c r="J405" s="132">
        <v>0.76</v>
      </c>
      <c r="K405" s="74">
        <v>1</v>
      </c>
      <c r="L405" s="136">
        <f t="shared" si="68"/>
        <v>0.76</v>
      </c>
      <c r="M405" s="76"/>
      <c r="N405" s="137">
        <f t="shared" si="69"/>
        <v>0.76</v>
      </c>
      <c r="O405" s="79" t="str">
        <f t="shared" si="70"/>
        <v/>
      </c>
    </row>
    <row r="406" spans="1:63" x14ac:dyDescent="0.3">
      <c r="B406" s="12" t="s">
        <v>33</v>
      </c>
      <c r="C406" s="73"/>
      <c r="D406" s="7"/>
      <c r="E406" s="73"/>
      <c r="F406" s="134"/>
      <c r="G406" s="74">
        <f t="shared" ref="G406:G409" si="73">$F$389</f>
        <v>1500</v>
      </c>
      <c r="H406" s="136">
        <f t="shared" si="67"/>
        <v>0</v>
      </c>
      <c r="I406" s="76"/>
      <c r="J406" s="132">
        <v>-1E-4</v>
      </c>
      <c r="K406" s="74">
        <f t="shared" ref="K406:K409" si="74">$F$389</f>
        <v>1500</v>
      </c>
      <c r="L406" s="136">
        <f t="shared" si="68"/>
        <v>-0.15</v>
      </c>
      <c r="M406" s="76"/>
      <c r="N406" s="137">
        <f t="shared" si="69"/>
        <v>-0.15</v>
      </c>
      <c r="O406" s="79" t="str">
        <f t="shared" si="70"/>
        <v/>
      </c>
    </row>
    <row r="407" spans="1:63" x14ac:dyDescent="0.3">
      <c r="B407" s="12" t="s">
        <v>77</v>
      </c>
      <c r="C407" s="73"/>
      <c r="D407" s="7"/>
      <c r="E407" s="73"/>
      <c r="F407" s="134"/>
      <c r="G407" s="74">
        <f t="shared" si="73"/>
        <v>1500</v>
      </c>
      <c r="H407" s="136">
        <f t="shared" si="67"/>
        <v>0</v>
      </c>
      <c r="I407" s="76"/>
      <c r="J407" s="132">
        <v>2.0000000000000001E-4</v>
      </c>
      <c r="K407" s="74">
        <f t="shared" si="74"/>
        <v>1500</v>
      </c>
      <c r="L407" s="136">
        <f t="shared" si="68"/>
        <v>0.3</v>
      </c>
      <c r="M407" s="76"/>
      <c r="N407" s="137">
        <f t="shared" si="69"/>
        <v>0.3</v>
      </c>
      <c r="O407" s="79" t="str">
        <f t="shared" si="70"/>
        <v/>
      </c>
    </row>
    <row r="408" spans="1:63" x14ac:dyDescent="0.3">
      <c r="B408" s="12"/>
      <c r="C408" s="73"/>
      <c r="D408" s="7"/>
      <c r="E408" s="73"/>
      <c r="F408" s="131"/>
      <c r="G408" s="74">
        <f t="shared" si="73"/>
        <v>1500</v>
      </c>
      <c r="H408" s="136">
        <f t="shared" si="67"/>
        <v>0</v>
      </c>
      <c r="I408" s="76"/>
      <c r="J408" s="131"/>
      <c r="K408" s="74">
        <f t="shared" si="74"/>
        <v>1500</v>
      </c>
      <c r="L408" s="136">
        <f t="shared" si="68"/>
        <v>0</v>
      </c>
      <c r="M408" s="76"/>
      <c r="N408" s="137">
        <f t="shared" si="69"/>
        <v>0</v>
      </c>
      <c r="O408" s="79" t="str">
        <f t="shared" si="70"/>
        <v/>
      </c>
    </row>
    <row r="409" spans="1:63" x14ac:dyDescent="0.3">
      <c r="B409" s="12"/>
      <c r="C409" s="73"/>
      <c r="D409" s="7"/>
      <c r="E409" s="73"/>
      <c r="F409" s="131"/>
      <c r="G409" s="74">
        <f t="shared" si="73"/>
        <v>1500</v>
      </c>
      <c r="H409" s="136">
        <f t="shared" si="67"/>
        <v>0</v>
      </c>
      <c r="I409" s="76"/>
      <c r="J409" s="131"/>
      <c r="K409" s="74">
        <f t="shared" si="74"/>
        <v>1500</v>
      </c>
      <c r="L409" s="136">
        <f t="shared" si="68"/>
        <v>0</v>
      </c>
      <c r="M409" s="76"/>
      <c r="N409" s="137">
        <f t="shared" si="69"/>
        <v>0</v>
      </c>
      <c r="O409" s="79" t="str">
        <f t="shared" si="70"/>
        <v/>
      </c>
    </row>
    <row r="410" spans="1:63" s="4" customFormat="1" x14ac:dyDescent="0.3">
      <c r="A410" s="60"/>
      <c r="B410" s="19" t="s">
        <v>34</v>
      </c>
      <c r="C410" s="20"/>
      <c r="D410" s="20"/>
      <c r="E410" s="20"/>
      <c r="F410" s="21"/>
      <c r="G410" s="22"/>
      <c r="H410" s="23">
        <f>SUM(H394:H409)</f>
        <v>39.72</v>
      </c>
      <c r="I410" s="13"/>
      <c r="J410" s="14"/>
      <c r="K410" s="24"/>
      <c r="L410" s="23">
        <f>SUM(L394:L409)</f>
        <v>44.489999999999995</v>
      </c>
      <c r="M410" s="13"/>
      <c r="N410" s="15">
        <f t="shared" si="69"/>
        <v>4.769999999999996</v>
      </c>
      <c r="O410" s="16">
        <f t="shared" si="70"/>
        <v>0.12009063444108752</v>
      </c>
      <c r="P410" s="60"/>
      <c r="Q410" s="126"/>
      <c r="R410" s="126"/>
      <c r="S410" s="126"/>
      <c r="T410" s="126"/>
      <c r="U410" s="126"/>
      <c r="V410" s="126"/>
      <c r="W410" s="126"/>
      <c r="X410" s="126"/>
      <c r="Y410" s="126"/>
      <c r="Z410" s="126"/>
      <c r="AA410" s="126"/>
      <c r="AB410" s="126"/>
      <c r="AC410" s="126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</row>
    <row r="411" spans="1:63" x14ac:dyDescent="0.3">
      <c r="B411" s="17" t="s">
        <v>35</v>
      </c>
      <c r="C411" s="73"/>
      <c r="D411" s="7" t="s">
        <v>27</v>
      </c>
      <c r="E411" s="73"/>
      <c r="F411" s="135">
        <v>2.9999999999999997E-4</v>
      </c>
      <c r="G411" s="74">
        <f>$F$389</f>
        <v>1500</v>
      </c>
      <c r="H411" s="136">
        <f t="shared" ref="H411:H417" si="75">G411*F411</f>
        <v>0.44999999999999996</v>
      </c>
      <c r="I411" s="76"/>
      <c r="J411" s="135">
        <v>-6.9999999999999999E-4</v>
      </c>
      <c r="K411" s="74">
        <f>$F$389</f>
        <v>1500</v>
      </c>
      <c r="L411" s="136">
        <f t="shared" ref="L411:L417" si="76">K411*J411</f>
        <v>-1.05</v>
      </c>
      <c r="M411" s="76"/>
      <c r="N411" s="137">
        <f t="shared" si="69"/>
        <v>-1.5</v>
      </c>
      <c r="O411" s="79">
        <f t="shared" si="70"/>
        <v>-3.3333333333333335</v>
      </c>
    </row>
    <row r="412" spans="1:63" x14ac:dyDescent="0.3">
      <c r="B412" s="17"/>
      <c r="C412" s="73"/>
      <c r="D412" s="7"/>
      <c r="E412" s="73"/>
      <c r="F412" s="8"/>
      <c r="G412" s="74">
        <f t="shared" ref="G412:G415" si="77">$F$389</f>
        <v>1500</v>
      </c>
      <c r="H412" s="136">
        <f t="shared" si="75"/>
        <v>0</v>
      </c>
      <c r="I412" s="82"/>
      <c r="J412" s="8"/>
      <c r="K412" s="74">
        <f t="shared" ref="K412:K415" si="78">$F$389</f>
        <v>1500</v>
      </c>
      <c r="L412" s="136">
        <f t="shared" si="76"/>
        <v>0</v>
      </c>
      <c r="M412" s="83"/>
      <c r="N412" s="137">
        <f t="shared" si="69"/>
        <v>0</v>
      </c>
      <c r="O412" s="79" t="str">
        <f t="shared" si="70"/>
        <v/>
      </c>
    </row>
    <row r="413" spans="1:63" x14ac:dyDescent="0.3">
      <c r="B413" s="17"/>
      <c r="C413" s="73"/>
      <c r="D413" s="7"/>
      <c r="E413" s="73"/>
      <c r="F413" s="8"/>
      <c r="G413" s="74">
        <f t="shared" si="77"/>
        <v>1500</v>
      </c>
      <c r="H413" s="136">
        <f t="shared" si="75"/>
        <v>0</v>
      </c>
      <c r="I413" s="82"/>
      <c r="J413" s="8"/>
      <c r="K413" s="74">
        <f t="shared" si="78"/>
        <v>1500</v>
      </c>
      <c r="L413" s="136">
        <f t="shared" si="76"/>
        <v>0</v>
      </c>
      <c r="M413" s="83"/>
      <c r="N413" s="137">
        <f t="shared" si="69"/>
        <v>0</v>
      </c>
      <c r="O413" s="79" t="str">
        <f t="shared" si="70"/>
        <v/>
      </c>
    </row>
    <row r="414" spans="1:63" x14ac:dyDescent="0.3">
      <c r="B414" s="17"/>
      <c r="C414" s="73"/>
      <c r="D414" s="7"/>
      <c r="E414" s="73"/>
      <c r="F414" s="8"/>
      <c r="G414" s="74">
        <f t="shared" si="77"/>
        <v>1500</v>
      </c>
      <c r="H414" s="136">
        <f t="shared" si="75"/>
        <v>0</v>
      </c>
      <c r="I414" s="82"/>
      <c r="J414" s="8"/>
      <c r="K414" s="74">
        <f t="shared" si="78"/>
        <v>1500</v>
      </c>
      <c r="L414" s="136">
        <f t="shared" si="76"/>
        <v>0</v>
      </c>
      <c r="M414" s="83"/>
      <c r="N414" s="137">
        <f t="shared" si="69"/>
        <v>0</v>
      </c>
      <c r="O414" s="79" t="str">
        <f t="shared" si="70"/>
        <v/>
      </c>
    </row>
    <row r="415" spans="1:63" x14ac:dyDescent="0.3">
      <c r="B415" s="80" t="s">
        <v>36</v>
      </c>
      <c r="C415" s="73"/>
      <c r="D415" s="7" t="s">
        <v>27</v>
      </c>
      <c r="E415" s="73"/>
      <c r="F415" s="135">
        <v>2.0000000000000001E-4</v>
      </c>
      <c r="G415" s="74">
        <f t="shared" si="77"/>
        <v>1500</v>
      </c>
      <c r="H415" s="136">
        <f t="shared" si="75"/>
        <v>0.3</v>
      </c>
      <c r="I415" s="76"/>
      <c r="J415" s="135">
        <v>4.0000000000000002E-4</v>
      </c>
      <c r="K415" s="74">
        <f t="shared" si="78"/>
        <v>1500</v>
      </c>
      <c r="L415" s="136">
        <f t="shared" si="76"/>
        <v>0.6</v>
      </c>
      <c r="M415" s="76"/>
      <c r="N415" s="137">
        <f t="shared" si="69"/>
        <v>0.3</v>
      </c>
      <c r="O415" s="79">
        <f t="shared" si="70"/>
        <v>1</v>
      </c>
    </row>
    <row r="416" spans="1:63" x14ac:dyDescent="0.3">
      <c r="B416" s="80" t="s">
        <v>37</v>
      </c>
      <c r="C416" s="73"/>
      <c r="D416" s="7" t="s">
        <v>27</v>
      </c>
      <c r="E416" s="73"/>
      <c r="F416" s="138">
        <f>IF(ISBLANK(D387)=TRUE, 0, IF(D387="TOU", 0.64*$F426+0.18*$F427+0.18*$F428, IF(AND(D387="non-TOU", G430&gt;0), F430,F429)))</f>
        <v>8.3919999999999995E-2</v>
      </c>
      <c r="G416" s="18">
        <f>$F$389*(1+$F$445)-$F$389</f>
        <v>56.550000000000182</v>
      </c>
      <c r="H416" s="136">
        <f t="shared" si="75"/>
        <v>4.7456760000000147</v>
      </c>
      <c r="I416" s="76"/>
      <c r="J416" s="138">
        <f>0.64*$F426+0.18*$F427+0.18*$F428</f>
        <v>8.3919999999999995E-2</v>
      </c>
      <c r="K416" s="18">
        <f>$F$389*(1+$J$445)-$F$389</f>
        <v>56.400000000000091</v>
      </c>
      <c r="L416" s="136">
        <f t="shared" si="76"/>
        <v>4.7330880000000075</v>
      </c>
      <c r="M416" s="76"/>
      <c r="N416" s="137">
        <f t="shared" si="69"/>
        <v>-1.2588000000007149E-2</v>
      </c>
      <c r="O416" s="79">
        <f t="shared" si="70"/>
        <v>-2.6525198939007025E-3</v>
      </c>
    </row>
    <row r="417" spans="1:63" x14ac:dyDescent="0.3">
      <c r="B417" s="80" t="s">
        <v>38</v>
      </c>
      <c r="C417" s="73"/>
      <c r="D417" s="7" t="s">
        <v>24</v>
      </c>
      <c r="E417" s="73"/>
      <c r="F417" s="138">
        <v>0.79</v>
      </c>
      <c r="G417" s="74">
        <v>1</v>
      </c>
      <c r="H417" s="136">
        <f t="shared" si="75"/>
        <v>0.79</v>
      </c>
      <c r="I417" s="76"/>
      <c r="J417" s="138">
        <v>0.79</v>
      </c>
      <c r="K417" s="81">
        <v>1</v>
      </c>
      <c r="L417" s="136">
        <f t="shared" si="76"/>
        <v>0.79</v>
      </c>
      <c r="M417" s="76"/>
      <c r="N417" s="137">
        <f t="shared" si="69"/>
        <v>0</v>
      </c>
      <c r="O417" s="79"/>
    </row>
    <row r="418" spans="1:63" s="4" customFormat="1" x14ac:dyDescent="0.3">
      <c r="A418" s="60"/>
      <c r="B418" s="19" t="s">
        <v>39</v>
      </c>
      <c r="C418" s="20"/>
      <c r="D418" s="20"/>
      <c r="E418" s="20"/>
      <c r="F418" s="21"/>
      <c r="G418" s="22"/>
      <c r="H418" s="23">
        <f>SUM(H411:H417)+H410</f>
        <v>46.005676000000015</v>
      </c>
      <c r="I418" s="13"/>
      <c r="J418" s="22"/>
      <c r="K418" s="24"/>
      <c r="L418" s="23">
        <f>SUM(L411:L417)+L410</f>
        <v>49.563088</v>
      </c>
      <c r="M418" s="13"/>
      <c r="N418" s="15">
        <f t="shared" si="69"/>
        <v>3.5574119999999851</v>
      </c>
      <c r="O418" s="16">
        <f t="shared" ref="O418:O430" si="79">IF((H418)=0,"",(N418/H418))</f>
        <v>7.7325502183686723E-2</v>
      </c>
      <c r="P418" s="60"/>
      <c r="Q418" s="126"/>
      <c r="R418" s="126"/>
      <c r="S418" s="126"/>
      <c r="T418" s="126"/>
      <c r="U418" s="126"/>
      <c r="V418" s="126"/>
      <c r="W418" s="126"/>
      <c r="X418" s="126"/>
      <c r="Y418" s="126"/>
      <c r="Z418" s="126"/>
      <c r="AA418" s="126"/>
      <c r="AB418" s="126"/>
      <c r="AC418" s="126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</row>
    <row r="419" spans="1:63" x14ac:dyDescent="0.3">
      <c r="B419" s="76" t="s">
        <v>40</v>
      </c>
      <c r="C419" s="76"/>
      <c r="D419" s="25" t="s">
        <v>27</v>
      </c>
      <c r="E419" s="76"/>
      <c r="F419" s="135">
        <v>8.0000000000000002E-3</v>
      </c>
      <c r="G419" s="18">
        <f>F389*(1+F445)</f>
        <v>1556.5500000000002</v>
      </c>
      <c r="H419" s="136">
        <f>G419*F419</f>
        <v>12.452400000000003</v>
      </c>
      <c r="I419" s="76"/>
      <c r="J419" s="135">
        <v>7.4999999999999997E-3</v>
      </c>
      <c r="K419" s="18">
        <f>F389*(1+J445)</f>
        <v>1556.4</v>
      </c>
      <c r="L419" s="136">
        <f>K419*J419</f>
        <v>11.673</v>
      </c>
      <c r="M419" s="76"/>
      <c r="N419" s="136">
        <f t="shared" si="69"/>
        <v>-0.77940000000000254</v>
      </c>
      <c r="O419" s="79">
        <f t="shared" si="79"/>
        <v>-6.2590344030066677E-2</v>
      </c>
    </row>
    <row r="420" spans="1:63" x14ac:dyDescent="0.3">
      <c r="B420" s="85" t="s">
        <v>41</v>
      </c>
      <c r="C420" s="76"/>
      <c r="D420" s="25" t="s">
        <v>27</v>
      </c>
      <c r="E420" s="76"/>
      <c r="F420" s="135">
        <v>5.4999999999999997E-3</v>
      </c>
      <c r="G420" s="18">
        <f>G419</f>
        <v>1556.5500000000002</v>
      </c>
      <c r="H420" s="136">
        <f>G420*F420</f>
        <v>8.5610250000000008</v>
      </c>
      <c r="I420" s="76"/>
      <c r="J420" s="135">
        <v>3.8999999999999998E-3</v>
      </c>
      <c r="K420" s="18">
        <f>K419</f>
        <v>1556.4</v>
      </c>
      <c r="L420" s="136">
        <f>K420*J420</f>
        <v>6.06996</v>
      </c>
      <c r="M420" s="76"/>
      <c r="N420" s="136">
        <f t="shared" si="69"/>
        <v>-2.4910650000000008</v>
      </c>
      <c r="O420" s="79">
        <f t="shared" si="79"/>
        <v>-0.2909774238481958</v>
      </c>
    </row>
    <row r="421" spans="1:63" s="4" customFormat="1" x14ac:dyDescent="0.3">
      <c r="A421" s="60"/>
      <c r="B421" s="19" t="s">
        <v>42</v>
      </c>
      <c r="C421" s="20"/>
      <c r="D421" s="20"/>
      <c r="E421" s="20"/>
      <c r="F421" s="21"/>
      <c r="G421" s="22"/>
      <c r="H421" s="23">
        <f>SUM(H418:H420)</f>
        <v>67.01910100000002</v>
      </c>
      <c r="I421" s="13"/>
      <c r="J421" s="26"/>
      <c r="K421" s="22"/>
      <c r="L421" s="23">
        <f>SUM(L418:L420)</f>
        <v>67.306048000000004</v>
      </c>
      <c r="M421" s="13"/>
      <c r="N421" s="15">
        <f t="shared" si="69"/>
        <v>0.28694699999998363</v>
      </c>
      <c r="O421" s="16">
        <f t="shared" si="79"/>
        <v>4.2815704137837297E-3</v>
      </c>
      <c r="P421" s="60"/>
      <c r="Q421" s="126"/>
      <c r="R421" s="126"/>
      <c r="S421" s="126"/>
      <c r="T421" s="126"/>
      <c r="U421" s="126"/>
      <c r="V421" s="126"/>
      <c r="W421" s="126"/>
      <c r="X421" s="126"/>
      <c r="Y421" s="126"/>
      <c r="Z421" s="126"/>
      <c r="AA421" s="126"/>
      <c r="AB421" s="126"/>
      <c r="AC421" s="126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</row>
    <row r="422" spans="1:63" x14ac:dyDescent="0.3">
      <c r="B422" s="86" t="s">
        <v>43</v>
      </c>
      <c r="C422" s="73"/>
      <c r="D422" s="7" t="s">
        <v>27</v>
      </c>
      <c r="E422" s="73"/>
      <c r="F422" s="135">
        <v>4.4000000000000003E-3</v>
      </c>
      <c r="G422" s="18">
        <f>G420</f>
        <v>1556.5500000000002</v>
      </c>
      <c r="H422" s="139">
        <f t="shared" ref="H422:H430" si="80">G422*F422</f>
        <v>6.8488200000000008</v>
      </c>
      <c r="I422" s="76"/>
      <c r="J422" s="135">
        <v>4.4000000000000003E-3</v>
      </c>
      <c r="K422" s="18">
        <f>K420</f>
        <v>1556.4</v>
      </c>
      <c r="L422" s="139">
        <f t="shared" ref="L422:L430" si="81">K422*J422</f>
        <v>6.8481600000000009</v>
      </c>
      <c r="M422" s="76"/>
      <c r="N422" s="137">
        <f t="shared" si="69"/>
        <v>-6.599999999998829E-4</v>
      </c>
      <c r="O422" s="87">
        <f t="shared" si="79"/>
        <v>-9.6366965404242312E-5</v>
      </c>
    </row>
    <row r="423" spans="1:63" x14ac:dyDescent="0.3">
      <c r="B423" s="86" t="s">
        <v>44</v>
      </c>
      <c r="C423" s="73"/>
      <c r="D423" s="7" t="s">
        <v>27</v>
      </c>
      <c r="E423" s="73"/>
      <c r="F423" s="135">
        <v>1.1999999999999999E-3</v>
      </c>
      <c r="G423" s="18">
        <f>G420</f>
        <v>1556.5500000000002</v>
      </c>
      <c r="H423" s="139">
        <f t="shared" si="80"/>
        <v>1.8678600000000001</v>
      </c>
      <c r="I423" s="76"/>
      <c r="J423" s="135">
        <v>1.1999999999999999E-3</v>
      </c>
      <c r="K423" s="18">
        <f>K420</f>
        <v>1556.4</v>
      </c>
      <c r="L423" s="139">
        <f t="shared" si="81"/>
        <v>1.86768</v>
      </c>
      <c r="M423" s="76"/>
      <c r="N423" s="137">
        <f t="shared" si="69"/>
        <v>-1.8000000000006899E-4</v>
      </c>
      <c r="O423" s="87">
        <f t="shared" si="79"/>
        <v>-9.6366965404296359E-5</v>
      </c>
    </row>
    <row r="424" spans="1:63" x14ac:dyDescent="0.3">
      <c r="B424" s="73" t="s">
        <v>45</v>
      </c>
      <c r="C424" s="73"/>
      <c r="D424" s="7" t="s">
        <v>24</v>
      </c>
      <c r="E424" s="73"/>
      <c r="F424" s="135">
        <v>0.25</v>
      </c>
      <c r="G424" s="81">
        <v>1</v>
      </c>
      <c r="H424" s="139">
        <f t="shared" si="80"/>
        <v>0.25</v>
      </c>
      <c r="I424" s="76"/>
      <c r="J424" s="135">
        <v>0.25</v>
      </c>
      <c r="K424" s="77">
        <v>1</v>
      </c>
      <c r="L424" s="139">
        <f t="shared" si="81"/>
        <v>0.25</v>
      </c>
      <c r="M424" s="76"/>
      <c r="N424" s="137">
        <f t="shared" si="69"/>
        <v>0</v>
      </c>
      <c r="O424" s="87">
        <f t="shared" si="79"/>
        <v>0</v>
      </c>
    </row>
    <row r="425" spans="1:63" x14ac:dyDescent="0.3">
      <c r="B425" s="73" t="s">
        <v>46</v>
      </c>
      <c r="C425" s="73"/>
      <c r="D425" s="7" t="s">
        <v>27</v>
      </c>
      <c r="E425" s="73"/>
      <c r="F425" s="135">
        <v>7.0000000000000001E-3</v>
      </c>
      <c r="G425" s="84">
        <f>F389</f>
        <v>1500</v>
      </c>
      <c r="H425" s="139">
        <f t="shared" si="80"/>
        <v>10.5</v>
      </c>
      <c r="I425" s="76"/>
      <c r="J425" s="135">
        <v>7.0000000000000001E-3</v>
      </c>
      <c r="K425" s="77">
        <f>F389</f>
        <v>1500</v>
      </c>
      <c r="L425" s="139">
        <f t="shared" si="81"/>
        <v>10.5</v>
      </c>
      <c r="M425" s="76"/>
      <c r="N425" s="137">
        <f t="shared" si="69"/>
        <v>0</v>
      </c>
      <c r="O425" s="87">
        <f t="shared" si="79"/>
        <v>0</v>
      </c>
    </row>
    <row r="426" spans="1:63" x14ac:dyDescent="0.3">
      <c r="B426" s="80" t="s">
        <v>47</v>
      </c>
      <c r="C426" s="73"/>
      <c r="D426" s="7" t="s">
        <v>27</v>
      </c>
      <c r="E426" s="73"/>
      <c r="F426" s="138">
        <v>6.7000000000000004E-2</v>
      </c>
      <c r="G426" s="27">
        <f>0.64*$F$389</f>
        <v>960</v>
      </c>
      <c r="H426" s="139">
        <f t="shared" si="80"/>
        <v>64.320000000000007</v>
      </c>
      <c r="I426" s="76"/>
      <c r="J426" s="138">
        <v>6.7000000000000004E-2</v>
      </c>
      <c r="K426" s="28">
        <f>G426</f>
        <v>960</v>
      </c>
      <c r="L426" s="139">
        <f t="shared" si="81"/>
        <v>64.320000000000007</v>
      </c>
      <c r="M426" s="76"/>
      <c r="N426" s="137">
        <f t="shared" si="69"/>
        <v>0</v>
      </c>
      <c r="O426" s="87">
        <f t="shared" si="79"/>
        <v>0</v>
      </c>
      <c r="S426" s="127"/>
    </row>
    <row r="427" spans="1:63" x14ac:dyDescent="0.3">
      <c r="B427" s="80" t="s">
        <v>48</v>
      </c>
      <c r="C427" s="73"/>
      <c r="D427" s="7" t="s">
        <v>27</v>
      </c>
      <c r="E427" s="73"/>
      <c r="F427" s="138">
        <v>0.104</v>
      </c>
      <c r="G427" s="27">
        <f>0.18*$F$389</f>
        <v>270</v>
      </c>
      <c r="H427" s="139">
        <f t="shared" si="80"/>
        <v>28.08</v>
      </c>
      <c r="I427" s="76"/>
      <c r="J427" s="138">
        <v>0.104</v>
      </c>
      <c r="K427" s="28">
        <f>G427</f>
        <v>270</v>
      </c>
      <c r="L427" s="139">
        <f t="shared" si="81"/>
        <v>28.08</v>
      </c>
      <c r="M427" s="76"/>
      <c r="N427" s="137">
        <f t="shared" si="69"/>
        <v>0</v>
      </c>
      <c r="O427" s="87">
        <f t="shared" si="79"/>
        <v>0</v>
      </c>
      <c r="S427" s="127"/>
    </row>
    <row r="428" spans="1:63" x14ac:dyDescent="0.3">
      <c r="B428" s="64" t="s">
        <v>49</v>
      </c>
      <c r="C428" s="73"/>
      <c r="D428" s="7" t="s">
        <v>27</v>
      </c>
      <c r="E428" s="73"/>
      <c r="F428" s="138">
        <v>0.124</v>
      </c>
      <c r="G428" s="27">
        <f>0.18*$F$389</f>
        <v>270</v>
      </c>
      <c r="H428" s="139">
        <f t="shared" si="80"/>
        <v>33.479999999999997</v>
      </c>
      <c r="I428" s="76"/>
      <c r="J428" s="138">
        <v>0.124</v>
      </c>
      <c r="K428" s="28">
        <f>G428</f>
        <v>270</v>
      </c>
      <c r="L428" s="139">
        <f t="shared" si="81"/>
        <v>33.479999999999997</v>
      </c>
      <c r="M428" s="76"/>
      <c r="N428" s="137">
        <f t="shared" si="69"/>
        <v>0</v>
      </c>
      <c r="O428" s="87">
        <f t="shared" si="79"/>
        <v>0</v>
      </c>
      <c r="S428" s="127"/>
    </row>
    <row r="429" spans="1:63" s="92" customFormat="1" x14ac:dyDescent="0.25">
      <c r="B429" s="89" t="s">
        <v>50</v>
      </c>
      <c r="C429" s="90"/>
      <c r="D429" s="29" t="s">
        <v>27</v>
      </c>
      <c r="E429" s="90"/>
      <c r="F429" s="138">
        <v>7.4999999999999997E-2</v>
      </c>
      <c r="G429" s="30">
        <f>IF(AND($T$1=1, F389&gt;=600), 600, IF(AND($T$1=1, AND(F389&lt;600, F389&gt;=0)), F389, IF(AND($T$1=2, F389&gt;=1000), 1000, IF(AND($T$1=2, AND(F389&lt;1000, F389&gt;=0)), F389))))</f>
        <v>600</v>
      </c>
      <c r="H429" s="139">
        <f t="shared" si="80"/>
        <v>45</v>
      </c>
      <c r="I429" s="91"/>
      <c r="J429" s="138">
        <v>7.4999999999999997E-2</v>
      </c>
      <c r="K429" s="31">
        <f>G429</f>
        <v>600</v>
      </c>
      <c r="L429" s="139">
        <f t="shared" si="81"/>
        <v>45</v>
      </c>
      <c r="M429" s="91"/>
      <c r="N429" s="140">
        <f t="shared" si="69"/>
        <v>0</v>
      </c>
      <c r="O429" s="87">
        <f t="shared" si="79"/>
        <v>0</v>
      </c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</row>
    <row r="430" spans="1:63" s="92" customFormat="1" ht="15" thickBot="1" x14ac:dyDescent="0.3">
      <c r="B430" s="89" t="s">
        <v>51</v>
      </c>
      <c r="C430" s="90"/>
      <c r="D430" s="29" t="s">
        <v>27</v>
      </c>
      <c r="E430" s="90"/>
      <c r="F430" s="138">
        <v>8.7999999999999995E-2</v>
      </c>
      <c r="G430" s="30">
        <f>IF(AND($T$1=1, F389&gt;=600), F389-600, IF(AND($T$1=1, AND(F389&lt;600, F389&gt;=0)), 0, IF(AND($T$1=2, F389&gt;=1000), F389-1000, IF(AND($T$1=2, AND(F389&lt;1000, F389&gt;=0)), 0))))</f>
        <v>900</v>
      </c>
      <c r="H430" s="139">
        <f t="shared" si="80"/>
        <v>79.199999999999989</v>
      </c>
      <c r="I430" s="91"/>
      <c r="J430" s="138">
        <v>8.7999999999999995E-2</v>
      </c>
      <c r="K430" s="31">
        <f>G430</f>
        <v>900</v>
      </c>
      <c r="L430" s="139">
        <f t="shared" si="81"/>
        <v>79.199999999999989</v>
      </c>
      <c r="M430" s="91"/>
      <c r="N430" s="140">
        <f t="shared" si="69"/>
        <v>0</v>
      </c>
      <c r="O430" s="87">
        <f t="shared" si="79"/>
        <v>0</v>
      </c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</row>
    <row r="431" spans="1:63" s="4" customFormat="1" ht="15" thickBot="1" x14ac:dyDescent="0.35">
      <c r="A431" s="60"/>
      <c r="B431" s="32"/>
      <c r="C431" s="33"/>
      <c r="D431" s="124"/>
      <c r="E431" s="33"/>
      <c r="F431" s="35"/>
      <c r="G431" s="36"/>
      <c r="H431" s="122"/>
      <c r="I431" s="123"/>
      <c r="J431" s="35"/>
      <c r="K431" s="39"/>
      <c r="L431" s="122"/>
      <c r="M431" s="123"/>
      <c r="N431" s="40"/>
      <c r="O431" s="41"/>
      <c r="P431" s="60"/>
      <c r="Q431" s="126"/>
      <c r="R431" s="126"/>
      <c r="S431" s="126"/>
      <c r="T431" s="126"/>
      <c r="U431" s="126"/>
      <c r="V431" s="126"/>
      <c r="W431" s="126"/>
      <c r="X431" s="126"/>
      <c r="Y431" s="126"/>
      <c r="Z431" s="126"/>
      <c r="AA431" s="126"/>
      <c r="AB431" s="126"/>
      <c r="AC431" s="126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</row>
    <row r="432" spans="1:63" x14ac:dyDescent="0.3">
      <c r="B432" s="93" t="s">
        <v>52</v>
      </c>
      <c r="C432" s="73"/>
      <c r="D432" s="73"/>
      <c r="E432" s="73"/>
      <c r="F432" s="94"/>
      <c r="G432" s="95"/>
      <c r="H432" s="141">
        <f>SUM(H422:H428,H421)</f>
        <v>212.36578100000003</v>
      </c>
      <c r="I432" s="96"/>
      <c r="J432" s="97"/>
      <c r="K432" s="97"/>
      <c r="L432" s="144">
        <f>SUM(L422:L428,L421)</f>
        <v>212.65188800000001</v>
      </c>
      <c r="M432" s="145"/>
      <c r="N432" s="146">
        <f>L432-H432</f>
        <v>0.28610699999998701</v>
      </c>
      <c r="O432" s="98">
        <f>IF((H432)=0,"",(N432/H432))</f>
        <v>1.3472368224897164E-3</v>
      </c>
      <c r="S432" s="127"/>
    </row>
    <row r="433" spans="1:63" x14ac:dyDescent="0.3">
      <c r="B433" s="99" t="s">
        <v>53</v>
      </c>
      <c r="C433" s="73"/>
      <c r="D433" s="73"/>
      <c r="E433" s="73"/>
      <c r="F433" s="100">
        <v>0.13</v>
      </c>
      <c r="G433" s="101"/>
      <c r="H433" s="142">
        <f>H432*F433</f>
        <v>27.607551530000006</v>
      </c>
      <c r="I433" s="102"/>
      <c r="J433" s="103">
        <v>0.13</v>
      </c>
      <c r="K433" s="102"/>
      <c r="L433" s="147">
        <f>L432*J433</f>
        <v>27.644745440000001</v>
      </c>
      <c r="M433" s="148"/>
      <c r="N433" s="149">
        <f>L433-H433</f>
        <v>3.7193909999995611E-2</v>
      </c>
      <c r="O433" s="104">
        <f>IF((H433)=0,"",(N433/H433))</f>
        <v>1.3472368224896184E-3</v>
      </c>
      <c r="S433" s="127"/>
    </row>
    <row r="434" spans="1:63" x14ac:dyDescent="0.3">
      <c r="B434" s="105" t="s">
        <v>54</v>
      </c>
      <c r="C434" s="73"/>
      <c r="D434" s="73"/>
      <c r="E434" s="73"/>
      <c r="F434" s="106"/>
      <c r="G434" s="101"/>
      <c r="H434" s="142">
        <f>H432+H433</f>
        <v>239.97333253000002</v>
      </c>
      <c r="I434" s="102"/>
      <c r="J434" s="102"/>
      <c r="K434" s="102"/>
      <c r="L434" s="147">
        <f>L432+L433</f>
        <v>240.29663344000002</v>
      </c>
      <c r="M434" s="148"/>
      <c r="N434" s="149">
        <f>L434-H434</f>
        <v>0.32330091000000039</v>
      </c>
      <c r="O434" s="104">
        <f>IF((H434)=0,"",(N434/H434))</f>
        <v>1.3472368224897791E-3</v>
      </c>
      <c r="S434" s="127"/>
    </row>
    <row r="435" spans="1:63" ht="14.4" customHeight="1" x14ac:dyDescent="0.3">
      <c r="B435" s="172" t="s">
        <v>55</v>
      </c>
      <c r="C435" s="172"/>
      <c r="D435" s="172"/>
      <c r="E435" s="73"/>
      <c r="F435" s="106"/>
      <c r="G435" s="101"/>
      <c r="H435" s="143">
        <f>ROUND(-H434*10%,2)</f>
        <v>-24</v>
      </c>
      <c r="I435" s="102"/>
      <c r="J435" s="102"/>
      <c r="K435" s="102"/>
      <c r="L435" s="150">
        <f>ROUND(-L434*10%,2)</f>
        <v>-24.03</v>
      </c>
      <c r="M435" s="148"/>
      <c r="N435" s="151">
        <f>L435-H435</f>
        <v>-3.0000000000001137E-2</v>
      </c>
      <c r="O435" s="107">
        <f>IF((H435)=0,"",(N435/H435))</f>
        <v>1.2500000000000473E-3</v>
      </c>
    </row>
    <row r="436" spans="1:63" s="4" customFormat="1" ht="15" thickBot="1" x14ac:dyDescent="0.35">
      <c r="A436" s="60"/>
      <c r="B436" s="173" t="s">
        <v>56</v>
      </c>
      <c r="C436" s="173"/>
      <c r="D436" s="173"/>
      <c r="E436" s="42"/>
      <c r="F436" s="43"/>
      <c r="G436" s="44"/>
      <c r="H436" s="45">
        <f>H434+H435</f>
        <v>215.97333253000002</v>
      </c>
      <c r="I436" s="46"/>
      <c r="J436" s="46"/>
      <c r="K436" s="46"/>
      <c r="L436" s="47">
        <f>L434+L435</f>
        <v>216.26663344000002</v>
      </c>
      <c r="M436" s="48"/>
      <c r="N436" s="49">
        <f>L436-H436</f>
        <v>0.29330090999999925</v>
      </c>
      <c r="O436" s="50">
        <f>IF((H436)=0,"",(N436/H436))</f>
        <v>1.3580422479208536E-3</v>
      </c>
      <c r="P436" s="60"/>
      <c r="Q436" s="126"/>
      <c r="R436" s="126"/>
      <c r="S436" s="126"/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</row>
    <row r="437" spans="1:63" s="4" customFormat="1" ht="15" thickBot="1" x14ac:dyDescent="0.35">
      <c r="A437" s="60"/>
      <c r="B437" s="32"/>
      <c r="C437" s="33"/>
      <c r="D437" s="34"/>
      <c r="E437" s="33"/>
      <c r="F437" s="35"/>
      <c r="G437" s="36"/>
      <c r="H437" s="37"/>
      <c r="I437" s="38"/>
      <c r="J437" s="35"/>
      <c r="K437" s="39"/>
      <c r="L437" s="37"/>
      <c r="M437" s="123"/>
      <c r="N437" s="40"/>
      <c r="O437" s="41"/>
      <c r="P437" s="60"/>
      <c r="Q437" s="126"/>
      <c r="R437" s="126"/>
      <c r="S437" s="126"/>
      <c r="T437" s="126"/>
      <c r="U437" s="126"/>
      <c r="V437" s="126"/>
      <c r="W437" s="126"/>
      <c r="X437" s="126"/>
      <c r="Y437" s="126"/>
      <c r="Z437" s="126"/>
      <c r="AA437" s="126"/>
      <c r="AB437" s="126"/>
      <c r="AC437" s="126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</row>
    <row r="438" spans="1:63" s="92" customFormat="1" ht="13.2" x14ac:dyDescent="0.25">
      <c r="B438" s="108" t="s">
        <v>57</v>
      </c>
      <c r="C438" s="90"/>
      <c r="D438" s="90"/>
      <c r="E438" s="90"/>
      <c r="F438" s="109"/>
      <c r="G438" s="110"/>
      <c r="H438" s="152">
        <f>SUM(H429:H430,H421,H422:H425)</f>
        <v>210.68578100000002</v>
      </c>
      <c r="I438" s="111"/>
      <c r="J438" s="112"/>
      <c r="K438" s="112"/>
      <c r="L438" s="155">
        <f>SUM(L429:L430,L421,L422:L425)</f>
        <v>210.97188800000001</v>
      </c>
      <c r="M438" s="156"/>
      <c r="N438" s="157">
        <f>L438-H438</f>
        <v>0.28610699999998701</v>
      </c>
      <c r="O438" s="98">
        <f>IF((H438)=0,"",(N438/H438))</f>
        <v>1.3579796350850415E-3</v>
      </c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</row>
    <row r="439" spans="1:63" s="92" customFormat="1" ht="13.2" x14ac:dyDescent="0.25">
      <c r="B439" s="113" t="s">
        <v>53</v>
      </c>
      <c r="C439" s="90"/>
      <c r="D439" s="90"/>
      <c r="E439" s="90"/>
      <c r="F439" s="114">
        <v>0.13</v>
      </c>
      <c r="G439" s="110"/>
      <c r="H439" s="153">
        <f>H438*F439</f>
        <v>27.389151530000003</v>
      </c>
      <c r="I439" s="115"/>
      <c r="J439" s="116">
        <v>0.13</v>
      </c>
      <c r="K439" s="117"/>
      <c r="L439" s="158">
        <f>L438*J439</f>
        <v>27.426345440000002</v>
      </c>
      <c r="M439" s="159"/>
      <c r="N439" s="160">
        <f>L439-H439</f>
        <v>3.7193909999999164E-2</v>
      </c>
      <c r="O439" s="104">
        <f>IF((H439)=0,"",(N439/H439))</f>
        <v>1.3579796350850727E-3</v>
      </c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</row>
    <row r="440" spans="1:63" s="92" customFormat="1" ht="13.2" x14ac:dyDescent="0.25">
      <c r="B440" s="118" t="s">
        <v>54</v>
      </c>
      <c r="C440" s="90"/>
      <c r="D440" s="90"/>
      <c r="E440" s="90"/>
      <c r="F440" s="119"/>
      <c r="G440" s="120"/>
      <c r="H440" s="153">
        <f>H438+H439</f>
        <v>238.07493253000001</v>
      </c>
      <c r="I440" s="115"/>
      <c r="J440" s="115"/>
      <c r="K440" s="115"/>
      <c r="L440" s="158">
        <f>L438+L439</f>
        <v>238.39823344000001</v>
      </c>
      <c r="M440" s="159"/>
      <c r="N440" s="160">
        <f>L440-H440</f>
        <v>0.32330091000000039</v>
      </c>
      <c r="O440" s="104">
        <f>IF((H440)=0,"",(N440/H440))</f>
        <v>1.357979635085105E-3</v>
      </c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</row>
    <row r="441" spans="1:63" s="92" customFormat="1" ht="13.2" customHeight="1" x14ac:dyDescent="0.25">
      <c r="B441" s="174" t="s">
        <v>55</v>
      </c>
      <c r="C441" s="174"/>
      <c r="D441" s="174"/>
      <c r="E441" s="90"/>
      <c r="F441" s="119"/>
      <c r="G441" s="120"/>
      <c r="H441" s="154">
        <f>ROUND(-H440*10%,2)</f>
        <v>-23.81</v>
      </c>
      <c r="I441" s="115"/>
      <c r="J441" s="115"/>
      <c r="K441" s="115"/>
      <c r="L441" s="161">
        <f>ROUND(-L440*10%,2)</f>
        <v>-23.84</v>
      </c>
      <c r="M441" s="159"/>
      <c r="N441" s="162">
        <f>L441-H441</f>
        <v>-3.0000000000001137E-2</v>
      </c>
      <c r="O441" s="107">
        <f>IF((H441)=0,"",(N441/H441))</f>
        <v>1.2599748005040377E-3</v>
      </c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</row>
    <row r="442" spans="1:63" s="4" customFormat="1" ht="15" thickBot="1" x14ac:dyDescent="0.35">
      <c r="A442" s="60"/>
      <c r="B442" s="173" t="s">
        <v>58</v>
      </c>
      <c r="C442" s="173"/>
      <c r="D442" s="173"/>
      <c r="E442" s="42"/>
      <c r="F442" s="43"/>
      <c r="G442" s="44"/>
      <c r="H442" s="45">
        <f>SUM(H440:H441)</f>
        <v>214.26493253000001</v>
      </c>
      <c r="I442" s="46"/>
      <c r="J442" s="46"/>
      <c r="K442" s="46"/>
      <c r="L442" s="47">
        <f>SUM(L440:L441)</f>
        <v>214.55823344000001</v>
      </c>
      <c r="M442" s="48"/>
      <c r="N442" s="49">
        <f>L442-H442</f>
        <v>0.29330090999999925</v>
      </c>
      <c r="O442" s="50">
        <f>IF((H442)=0,"",(N442/H442))</f>
        <v>1.3688703351349065E-3</v>
      </c>
      <c r="P442" s="60"/>
      <c r="Q442" s="126"/>
      <c r="R442" s="126"/>
      <c r="S442" s="126"/>
      <c r="T442" s="126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</row>
    <row r="443" spans="1:63" s="4" customFormat="1" ht="15" thickBot="1" x14ac:dyDescent="0.35">
      <c r="A443" s="60"/>
      <c r="B443" s="32"/>
      <c r="C443" s="33"/>
      <c r="D443" s="34"/>
      <c r="E443" s="33"/>
      <c r="F443" s="35"/>
      <c r="G443" s="36"/>
      <c r="H443" s="122"/>
      <c r="I443" s="123"/>
      <c r="J443" s="35"/>
      <c r="K443" s="39"/>
      <c r="L443" s="37"/>
      <c r="M443" s="123"/>
      <c r="N443" s="40"/>
      <c r="O443" s="41"/>
      <c r="P443" s="60"/>
      <c r="Q443" s="126"/>
      <c r="R443" s="126"/>
      <c r="S443" s="126"/>
      <c r="T443" s="126"/>
      <c r="U443" s="126"/>
      <c r="V443" s="126"/>
      <c r="W443" s="126"/>
      <c r="X443" s="126"/>
      <c r="Y443" s="126"/>
      <c r="Z443" s="126"/>
      <c r="AA443" s="126"/>
      <c r="AB443" s="126"/>
      <c r="AC443" s="126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</row>
    <row r="444" spans="1:63" x14ac:dyDescent="0.3">
      <c r="L444" s="88"/>
    </row>
    <row r="445" spans="1:63" x14ac:dyDescent="0.3">
      <c r="B445" s="65" t="s">
        <v>59</v>
      </c>
      <c r="F445" s="51">
        <v>3.7699999999999997E-2</v>
      </c>
      <c r="J445" s="51">
        <f>+$J$149</f>
        <v>3.7600000000000001E-2</v>
      </c>
    </row>
    <row r="447" spans="1:63" x14ac:dyDescent="0.3">
      <c r="L447" s="56"/>
      <c r="M447" s="56"/>
      <c r="N447" s="56"/>
      <c r="O447" s="56"/>
      <c r="P447" s="56"/>
    </row>
    <row r="448" spans="1:63" ht="16.2" x14ac:dyDescent="0.3">
      <c r="A448" s="121" t="s">
        <v>60</v>
      </c>
    </row>
    <row r="450" spans="1:29" x14ac:dyDescent="0.3">
      <c r="A450" s="60" t="s">
        <v>61</v>
      </c>
    </row>
    <row r="451" spans="1:29" x14ac:dyDescent="0.3">
      <c r="A451" s="60" t="s">
        <v>62</v>
      </c>
    </row>
    <row r="453" spans="1:29" x14ac:dyDescent="0.3">
      <c r="B453" s="60" t="s">
        <v>63</v>
      </c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</row>
    <row r="455" spans="1:29" ht="18.75" customHeight="1" x14ac:dyDescent="0.3">
      <c r="B455" s="175" t="s">
        <v>6</v>
      </c>
      <c r="C455" s="175"/>
      <c r="D455" s="175"/>
      <c r="E455" s="175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56"/>
    </row>
    <row r="456" spans="1:29" ht="18.75" customHeight="1" x14ac:dyDescent="0.3">
      <c r="B456" s="175" t="s">
        <v>7</v>
      </c>
      <c r="C456" s="175"/>
      <c r="D456" s="175"/>
      <c r="E456" s="175"/>
      <c r="F456" s="175"/>
      <c r="G456" s="175"/>
      <c r="H456" s="175"/>
      <c r="I456" s="175"/>
      <c r="J456" s="175"/>
      <c r="K456" s="175"/>
      <c r="L456" s="175"/>
      <c r="M456" s="175"/>
      <c r="N456" s="175"/>
      <c r="O456" s="175"/>
      <c r="P456" s="56"/>
    </row>
    <row r="457" spans="1:29" ht="7.5" customHeight="1" x14ac:dyDescent="0.3">
      <c r="L457" s="56"/>
      <c r="M457" s="56"/>
      <c r="N457" s="56"/>
      <c r="O457" s="56"/>
      <c r="P457" s="56"/>
    </row>
    <row r="458" spans="1:29" ht="7.5" customHeight="1" x14ac:dyDescent="0.3">
      <c r="L458" s="56"/>
      <c r="M458" s="56"/>
      <c r="N458" s="56"/>
      <c r="O458" s="56"/>
      <c r="P458" s="56"/>
    </row>
    <row r="459" spans="1:29" ht="15.6" x14ac:dyDescent="0.3">
      <c r="B459" s="61" t="s">
        <v>8</v>
      </c>
      <c r="D459" s="185" t="s">
        <v>67</v>
      </c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</row>
    <row r="460" spans="1:29" ht="7.5" customHeight="1" x14ac:dyDescent="0.3">
      <c r="B460" s="62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</row>
    <row r="461" spans="1:29" ht="15.6" x14ac:dyDescent="0.3">
      <c r="B461" s="61" t="s">
        <v>9</v>
      </c>
      <c r="D461" s="5" t="s">
        <v>10</v>
      </c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</row>
    <row r="462" spans="1:29" ht="15.6" x14ac:dyDescent="0.3">
      <c r="B462" s="62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</row>
    <row r="463" spans="1:29" x14ac:dyDescent="0.3">
      <c r="B463" s="64"/>
      <c r="D463" s="65" t="s">
        <v>11</v>
      </c>
      <c r="E463" s="65"/>
      <c r="F463" s="6">
        <v>2000</v>
      </c>
      <c r="G463" s="65" t="s">
        <v>12</v>
      </c>
    </row>
    <row r="464" spans="1:29" x14ac:dyDescent="0.3">
      <c r="B464" s="64"/>
      <c r="G464" s="65"/>
    </row>
    <row r="465" spans="2:15" x14ac:dyDescent="0.3">
      <c r="B465" s="64"/>
      <c r="D465" s="66"/>
      <c r="E465" s="66"/>
      <c r="F465" s="176" t="s">
        <v>13</v>
      </c>
      <c r="G465" s="177"/>
      <c r="H465" s="178"/>
      <c r="J465" s="176" t="s">
        <v>14</v>
      </c>
      <c r="K465" s="177"/>
      <c r="L465" s="178"/>
      <c r="N465" s="176" t="s">
        <v>15</v>
      </c>
      <c r="O465" s="178"/>
    </row>
    <row r="466" spans="2:15" x14ac:dyDescent="0.3">
      <c r="B466" s="64"/>
      <c r="D466" s="179" t="s">
        <v>16</v>
      </c>
      <c r="E466" s="67"/>
      <c r="F466" s="68" t="s">
        <v>17</v>
      </c>
      <c r="G466" s="68" t="s">
        <v>18</v>
      </c>
      <c r="H466" s="69" t="s">
        <v>19</v>
      </c>
      <c r="J466" s="68" t="s">
        <v>17</v>
      </c>
      <c r="K466" s="70" t="s">
        <v>18</v>
      </c>
      <c r="L466" s="69" t="s">
        <v>19</v>
      </c>
      <c r="N466" s="181" t="s">
        <v>20</v>
      </c>
      <c r="O466" s="183" t="s">
        <v>21</v>
      </c>
    </row>
    <row r="467" spans="2:15" x14ac:dyDescent="0.3">
      <c r="B467" s="64"/>
      <c r="D467" s="180"/>
      <c r="E467" s="67"/>
      <c r="F467" s="71" t="s">
        <v>22</v>
      </c>
      <c r="G467" s="71"/>
      <c r="H467" s="72" t="s">
        <v>22</v>
      </c>
      <c r="J467" s="71" t="s">
        <v>22</v>
      </c>
      <c r="K467" s="72"/>
      <c r="L467" s="72" t="s">
        <v>22</v>
      </c>
      <c r="N467" s="182"/>
      <c r="O467" s="184"/>
    </row>
    <row r="468" spans="2:15" x14ac:dyDescent="0.3">
      <c r="B468" s="73" t="s">
        <v>23</v>
      </c>
      <c r="C468" s="73"/>
      <c r="D468" s="7" t="s">
        <v>24</v>
      </c>
      <c r="E468" s="73"/>
      <c r="F468" s="129">
        <v>13.11</v>
      </c>
      <c r="G468" s="74">
        <v>1</v>
      </c>
      <c r="H468" s="75">
        <f t="shared" ref="H468:H483" si="82">G468*F468</f>
        <v>13.11</v>
      </c>
      <c r="I468" s="76"/>
      <c r="J468" s="171">
        <v>16.43</v>
      </c>
      <c r="K468" s="77">
        <v>1</v>
      </c>
      <c r="L468" s="75">
        <f t="shared" ref="L468:L483" si="83">K468*J468</f>
        <v>16.43</v>
      </c>
      <c r="M468" s="76"/>
      <c r="N468" s="78">
        <f t="shared" ref="N468:N504" si="84">L468-H468</f>
        <v>3.3200000000000003</v>
      </c>
      <c r="O468" s="79">
        <f t="shared" ref="O468:O490" si="85">IF((H468)=0,"",(N468/H468))</f>
        <v>0.25324180015255532</v>
      </c>
    </row>
    <row r="469" spans="2:15" x14ac:dyDescent="0.3">
      <c r="B469" s="73" t="s">
        <v>25</v>
      </c>
      <c r="C469" s="73"/>
      <c r="D469" s="7" t="s">
        <v>24</v>
      </c>
      <c r="E469" s="73"/>
      <c r="F469" s="133">
        <v>2.4900000000000002</v>
      </c>
      <c r="G469" s="74">
        <v>1</v>
      </c>
      <c r="H469" s="136">
        <f t="shared" si="82"/>
        <v>2.4900000000000002</v>
      </c>
      <c r="I469" s="76"/>
      <c r="J469" s="130"/>
      <c r="K469" s="77">
        <v>1</v>
      </c>
      <c r="L469" s="136">
        <f t="shared" si="83"/>
        <v>0</v>
      </c>
      <c r="M469" s="76"/>
      <c r="N469" s="137">
        <f t="shared" si="84"/>
        <v>-2.4900000000000002</v>
      </c>
      <c r="O469" s="79">
        <f t="shared" si="85"/>
        <v>-1</v>
      </c>
    </row>
    <row r="470" spans="2:15" x14ac:dyDescent="0.3">
      <c r="B470" s="9"/>
      <c r="C470" s="73"/>
      <c r="D470" s="7"/>
      <c r="E470" s="73"/>
      <c r="F470" s="134"/>
      <c r="G470" s="74">
        <v>1</v>
      </c>
      <c r="H470" s="136">
        <f t="shared" si="82"/>
        <v>0</v>
      </c>
      <c r="I470" s="76"/>
      <c r="J470" s="131"/>
      <c r="K470" s="77">
        <v>1</v>
      </c>
      <c r="L470" s="136">
        <f t="shared" si="83"/>
        <v>0</v>
      </c>
      <c r="M470" s="76"/>
      <c r="N470" s="137">
        <f t="shared" si="84"/>
        <v>0</v>
      </c>
      <c r="O470" s="79" t="str">
        <f t="shared" si="85"/>
        <v/>
      </c>
    </row>
    <row r="471" spans="2:15" x14ac:dyDescent="0.3">
      <c r="B471" s="9"/>
      <c r="C471" s="73"/>
      <c r="D471" s="7"/>
      <c r="E471" s="73"/>
      <c r="F471" s="134"/>
      <c r="G471" s="74">
        <v>1</v>
      </c>
      <c r="H471" s="136">
        <f t="shared" si="82"/>
        <v>0</v>
      </c>
      <c r="I471" s="76"/>
      <c r="J471" s="131"/>
      <c r="K471" s="77">
        <v>1</v>
      </c>
      <c r="L471" s="136">
        <f t="shared" si="83"/>
        <v>0</v>
      </c>
      <c r="M471" s="76"/>
      <c r="N471" s="137">
        <f t="shared" si="84"/>
        <v>0</v>
      </c>
      <c r="O471" s="79" t="str">
        <f t="shared" si="85"/>
        <v/>
      </c>
    </row>
    <row r="472" spans="2:15" x14ac:dyDescent="0.3">
      <c r="B472" s="10"/>
      <c r="C472" s="73"/>
      <c r="D472" s="7"/>
      <c r="E472" s="73"/>
      <c r="F472" s="134"/>
      <c r="G472" s="74">
        <v>1</v>
      </c>
      <c r="H472" s="136">
        <f t="shared" si="82"/>
        <v>0</v>
      </c>
      <c r="I472" s="76"/>
      <c r="J472" s="131"/>
      <c r="K472" s="77">
        <v>1</v>
      </c>
      <c r="L472" s="136">
        <f t="shared" si="83"/>
        <v>0</v>
      </c>
      <c r="M472" s="76"/>
      <c r="N472" s="137">
        <f t="shared" si="84"/>
        <v>0</v>
      </c>
      <c r="O472" s="79" t="str">
        <f t="shared" si="85"/>
        <v/>
      </c>
    </row>
    <row r="473" spans="2:15" x14ac:dyDescent="0.3">
      <c r="B473" s="10"/>
      <c r="C473" s="73"/>
      <c r="D473" s="7"/>
      <c r="E473" s="73"/>
      <c r="F473" s="134"/>
      <c r="G473" s="74">
        <v>1</v>
      </c>
      <c r="H473" s="136">
        <f t="shared" si="82"/>
        <v>0</v>
      </c>
      <c r="I473" s="76"/>
      <c r="J473" s="131"/>
      <c r="K473" s="77">
        <v>1</v>
      </c>
      <c r="L473" s="136">
        <f t="shared" si="83"/>
        <v>0</v>
      </c>
      <c r="M473" s="76"/>
      <c r="N473" s="137">
        <f t="shared" si="84"/>
        <v>0</v>
      </c>
      <c r="O473" s="79" t="str">
        <f t="shared" si="85"/>
        <v/>
      </c>
    </row>
    <row r="474" spans="2:15" x14ac:dyDescent="0.3">
      <c r="B474" s="73" t="s">
        <v>26</v>
      </c>
      <c r="C474" s="73"/>
      <c r="D474" s="7" t="s">
        <v>27</v>
      </c>
      <c r="E474" s="73"/>
      <c r="F474" s="135">
        <v>1.43E-2</v>
      </c>
      <c r="G474" s="74">
        <f>$F$463</f>
        <v>2000</v>
      </c>
      <c r="H474" s="136">
        <f t="shared" si="82"/>
        <v>28.6</v>
      </c>
      <c r="I474" s="76"/>
      <c r="J474" s="132">
        <v>1.7899999999999999E-2</v>
      </c>
      <c r="K474" s="74">
        <f>$F$463</f>
        <v>2000</v>
      </c>
      <c r="L474" s="136">
        <f t="shared" si="83"/>
        <v>35.799999999999997</v>
      </c>
      <c r="M474" s="76"/>
      <c r="N474" s="137">
        <f t="shared" si="84"/>
        <v>7.1999999999999957</v>
      </c>
      <c r="O474" s="79">
        <f t="shared" si="85"/>
        <v>0.25174825174825161</v>
      </c>
    </row>
    <row r="475" spans="2:15" x14ac:dyDescent="0.3">
      <c r="B475" s="73" t="s">
        <v>28</v>
      </c>
      <c r="C475" s="73"/>
      <c r="D475" s="7" t="s">
        <v>24</v>
      </c>
      <c r="E475" s="73"/>
      <c r="F475" s="135">
        <v>-0.03</v>
      </c>
      <c r="G475" s="74">
        <v>1</v>
      </c>
      <c r="H475" s="136">
        <f t="shared" si="82"/>
        <v>-0.03</v>
      </c>
      <c r="I475" s="76"/>
      <c r="J475" s="132"/>
      <c r="K475" s="74">
        <v>1</v>
      </c>
      <c r="L475" s="136">
        <f t="shared" si="83"/>
        <v>0</v>
      </c>
      <c r="M475" s="76"/>
      <c r="N475" s="137">
        <f t="shared" si="84"/>
        <v>0.03</v>
      </c>
      <c r="O475" s="79">
        <f t="shared" si="85"/>
        <v>-1</v>
      </c>
    </row>
    <row r="476" spans="2:15" x14ac:dyDescent="0.3">
      <c r="B476" s="73" t="s">
        <v>29</v>
      </c>
      <c r="C476" s="73"/>
      <c r="D476" s="7" t="s">
        <v>27</v>
      </c>
      <c r="E476" s="73"/>
      <c r="F476" s="135">
        <v>2.9999999999999997E-4</v>
      </c>
      <c r="G476" s="74">
        <f t="shared" ref="G476:G478" si="86">$F$463</f>
        <v>2000</v>
      </c>
      <c r="H476" s="136">
        <f t="shared" si="82"/>
        <v>0.6</v>
      </c>
      <c r="I476" s="76"/>
      <c r="J476" s="132">
        <v>2.0000000000000001E-4</v>
      </c>
      <c r="K476" s="74">
        <f t="shared" ref="K476:K478" si="87">$F$463</f>
        <v>2000</v>
      </c>
      <c r="L476" s="136">
        <f t="shared" si="83"/>
        <v>0.4</v>
      </c>
      <c r="M476" s="76"/>
      <c r="N476" s="137">
        <f t="shared" si="84"/>
        <v>-0.19999999999999996</v>
      </c>
      <c r="O476" s="79">
        <f t="shared" si="85"/>
        <v>-0.33333333333333326</v>
      </c>
    </row>
    <row r="477" spans="2:15" x14ac:dyDescent="0.3">
      <c r="B477" s="11" t="s">
        <v>30</v>
      </c>
      <c r="C477" s="73"/>
      <c r="D477" s="7" t="s">
        <v>27</v>
      </c>
      <c r="E477" s="73"/>
      <c r="F477" s="135">
        <v>1.8E-3</v>
      </c>
      <c r="G477" s="74">
        <f t="shared" si="86"/>
        <v>2000</v>
      </c>
      <c r="H477" s="136">
        <f t="shared" si="82"/>
        <v>3.6</v>
      </c>
      <c r="I477" s="76"/>
      <c r="J477" s="132"/>
      <c r="K477" s="74">
        <f t="shared" si="87"/>
        <v>2000</v>
      </c>
      <c r="L477" s="136">
        <f t="shared" si="83"/>
        <v>0</v>
      </c>
      <c r="M477" s="76"/>
      <c r="N477" s="137">
        <f t="shared" si="84"/>
        <v>-3.6</v>
      </c>
      <c r="O477" s="79">
        <f t="shared" si="85"/>
        <v>-1</v>
      </c>
    </row>
    <row r="478" spans="2:15" x14ac:dyDescent="0.3">
      <c r="B478" s="11" t="s">
        <v>31</v>
      </c>
      <c r="C478" s="73"/>
      <c r="D478" s="7" t="s">
        <v>27</v>
      </c>
      <c r="E478" s="73"/>
      <c r="F478" s="135">
        <v>-2.9999999999999997E-4</v>
      </c>
      <c r="G478" s="74">
        <f t="shared" si="86"/>
        <v>2000</v>
      </c>
      <c r="H478" s="136">
        <f t="shared" si="82"/>
        <v>-0.6</v>
      </c>
      <c r="I478" s="76"/>
      <c r="J478" s="132"/>
      <c r="K478" s="74">
        <f t="shared" si="87"/>
        <v>2000</v>
      </c>
      <c r="L478" s="136">
        <f t="shared" si="83"/>
        <v>0</v>
      </c>
      <c r="M478" s="76"/>
      <c r="N478" s="137">
        <f t="shared" si="84"/>
        <v>0.6</v>
      </c>
      <c r="O478" s="79">
        <f t="shared" si="85"/>
        <v>-1</v>
      </c>
    </row>
    <row r="479" spans="2:15" x14ac:dyDescent="0.3">
      <c r="B479" s="11" t="s">
        <v>32</v>
      </c>
      <c r="C479" s="73"/>
      <c r="D479" s="7" t="s">
        <v>24</v>
      </c>
      <c r="E479" s="73"/>
      <c r="F479" s="135">
        <v>0</v>
      </c>
      <c r="G479" s="74">
        <v>1</v>
      </c>
      <c r="H479" s="136">
        <f t="shared" si="82"/>
        <v>0</v>
      </c>
      <c r="I479" s="76"/>
      <c r="J479" s="132">
        <v>0.76</v>
      </c>
      <c r="K479" s="74">
        <v>1</v>
      </c>
      <c r="L479" s="136">
        <f t="shared" si="83"/>
        <v>0.76</v>
      </c>
      <c r="M479" s="76"/>
      <c r="N479" s="137">
        <f t="shared" si="84"/>
        <v>0.76</v>
      </c>
      <c r="O479" s="79" t="str">
        <f t="shared" si="85"/>
        <v/>
      </c>
    </row>
    <row r="480" spans="2:15" x14ac:dyDescent="0.3">
      <c r="B480" s="12" t="s">
        <v>33</v>
      </c>
      <c r="C480" s="73"/>
      <c r="D480" s="7"/>
      <c r="E480" s="73"/>
      <c r="F480" s="134"/>
      <c r="G480" s="74">
        <f t="shared" ref="G480:G483" si="88">$F$463</f>
        <v>2000</v>
      </c>
      <c r="H480" s="136">
        <f t="shared" si="82"/>
        <v>0</v>
      </c>
      <c r="I480" s="76"/>
      <c r="J480" s="132">
        <v>-1E-4</v>
      </c>
      <c r="K480" s="74">
        <f t="shared" ref="K480:K483" si="89">$F$463</f>
        <v>2000</v>
      </c>
      <c r="L480" s="136">
        <f t="shared" si="83"/>
        <v>-0.2</v>
      </c>
      <c r="M480" s="76"/>
      <c r="N480" s="137">
        <f t="shared" si="84"/>
        <v>-0.2</v>
      </c>
      <c r="O480" s="79" t="str">
        <f t="shared" si="85"/>
        <v/>
      </c>
    </row>
    <row r="481" spans="1:63" x14ac:dyDescent="0.3">
      <c r="B481" s="12" t="s">
        <v>77</v>
      </c>
      <c r="C481" s="73"/>
      <c r="D481" s="7"/>
      <c r="E481" s="73"/>
      <c r="F481" s="134"/>
      <c r="G481" s="74">
        <f t="shared" si="88"/>
        <v>2000</v>
      </c>
      <c r="H481" s="136">
        <f t="shared" si="82"/>
        <v>0</v>
      </c>
      <c r="I481" s="76"/>
      <c r="J481" s="132">
        <v>2.0000000000000001E-4</v>
      </c>
      <c r="K481" s="74">
        <f t="shared" si="89"/>
        <v>2000</v>
      </c>
      <c r="L481" s="136">
        <f t="shared" si="83"/>
        <v>0.4</v>
      </c>
      <c r="M481" s="76"/>
      <c r="N481" s="137">
        <f t="shared" si="84"/>
        <v>0.4</v>
      </c>
      <c r="O481" s="79" t="str">
        <f t="shared" si="85"/>
        <v/>
      </c>
    </row>
    <row r="482" spans="1:63" x14ac:dyDescent="0.3">
      <c r="B482" s="12"/>
      <c r="C482" s="73"/>
      <c r="D482" s="7"/>
      <c r="E482" s="73"/>
      <c r="F482" s="131"/>
      <c r="G482" s="74">
        <f t="shared" si="88"/>
        <v>2000</v>
      </c>
      <c r="H482" s="136">
        <f t="shared" si="82"/>
        <v>0</v>
      </c>
      <c r="I482" s="76"/>
      <c r="J482" s="131"/>
      <c r="K482" s="74">
        <f t="shared" si="89"/>
        <v>2000</v>
      </c>
      <c r="L482" s="136">
        <f t="shared" si="83"/>
        <v>0</v>
      </c>
      <c r="M482" s="76"/>
      <c r="N482" s="137">
        <f t="shared" si="84"/>
        <v>0</v>
      </c>
      <c r="O482" s="79" t="str">
        <f t="shared" si="85"/>
        <v/>
      </c>
    </row>
    <row r="483" spans="1:63" x14ac:dyDescent="0.3">
      <c r="B483" s="12"/>
      <c r="C483" s="73"/>
      <c r="D483" s="7"/>
      <c r="E483" s="73"/>
      <c r="F483" s="131"/>
      <c r="G483" s="74">
        <f t="shared" si="88"/>
        <v>2000</v>
      </c>
      <c r="H483" s="136">
        <f t="shared" si="82"/>
        <v>0</v>
      </c>
      <c r="I483" s="76"/>
      <c r="J483" s="131"/>
      <c r="K483" s="74">
        <f t="shared" si="89"/>
        <v>2000</v>
      </c>
      <c r="L483" s="136">
        <f t="shared" si="83"/>
        <v>0</v>
      </c>
      <c r="M483" s="76"/>
      <c r="N483" s="137">
        <f t="shared" si="84"/>
        <v>0</v>
      </c>
      <c r="O483" s="79" t="str">
        <f t="shared" si="85"/>
        <v/>
      </c>
    </row>
    <row r="484" spans="1:63" s="4" customFormat="1" x14ac:dyDescent="0.3">
      <c r="A484" s="60"/>
      <c r="B484" s="19" t="s">
        <v>34</v>
      </c>
      <c r="C484" s="20"/>
      <c r="D484" s="20"/>
      <c r="E484" s="20"/>
      <c r="F484" s="21"/>
      <c r="G484" s="22"/>
      <c r="H484" s="23">
        <f>SUM(H468:H483)</f>
        <v>47.77</v>
      </c>
      <c r="I484" s="13"/>
      <c r="J484" s="14"/>
      <c r="K484" s="24"/>
      <c r="L484" s="23">
        <f>SUM(L468:L483)</f>
        <v>53.589999999999989</v>
      </c>
      <c r="M484" s="13"/>
      <c r="N484" s="15">
        <f t="shared" si="84"/>
        <v>5.8199999999999861</v>
      </c>
      <c r="O484" s="16">
        <f t="shared" si="85"/>
        <v>0.12183378689554084</v>
      </c>
      <c r="P484" s="60"/>
      <c r="Q484" s="126"/>
      <c r="R484" s="126"/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</row>
    <row r="485" spans="1:63" x14ac:dyDescent="0.3">
      <c r="B485" s="17" t="s">
        <v>35</v>
      </c>
      <c r="C485" s="73"/>
      <c r="D485" s="7" t="s">
        <v>27</v>
      </c>
      <c r="E485" s="73"/>
      <c r="F485" s="135">
        <v>2.9999999999999997E-4</v>
      </c>
      <c r="G485" s="74">
        <f t="shared" ref="G485:G489" si="90">$F$463</f>
        <v>2000</v>
      </c>
      <c r="H485" s="136">
        <f t="shared" ref="H485:H491" si="91">G485*F485</f>
        <v>0.6</v>
      </c>
      <c r="I485" s="76"/>
      <c r="J485" s="135">
        <v>-6.9999999999999999E-4</v>
      </c>
      <c r="K485" s="74">
        <f t="shared" ref="K485:K489" si="92">$F$463</f>
        <v>2000</v>
      </c>
      <c r="L485" s="136">
        <f t="shared" ref="L485:L491" si="93">K485*J485</f>
        <v>-1.4</v>
      </c>
      <c r="M485" s="76"/>
      <c r="N485" s="137">
        <f t="shared" si="84"/>
        <v>-2</v>
      </c>
      <c r="O485" s="79">
        <f t="shared" si="85"/>
        <v>-3.3333333333333335</v>
      </c>
    </row>
    <row r="486" spans="1:63" x14ac:dyDescent="0.3">
      <c r="B486" s="17"/>
      <c r="C486" s="73"/>
      <c r="D486" s="7"/>
      <c r="E486" s="73"/>
      <c r="F486" s="8"/>
      <c r="G486" s="74">
        <f t="shared" si="90"/>
        <v>2000</v>
      </c>
      <c r="H486" s="136">
        <f t="shared" si="91"/>
        <v>0</v>
      </c>
      <c r="I486" s="82"/>
      <c r="J486" s="8"/>
      <c r="K486" s="74">
        <f t="shared" si="92"/>
        <v>2000</v>
      </c>
      <c r="L486" s="136">
        <f t="shared" si="93"/>
        <v>0</v>
      </c>
      <c r="M486" s="83"/>
      <c r="N486" s="137">
        <f t="shared" si="84"/>
        <v>0</v>
      </c>
      <c r="O486" s="79" t="str">
        <f t="shared" si="85"/>
        <v/>
      </c>
    </row>
    <row r="487" spans="1:63" x14ac:dyDescent="0.3">
      <c r="B487" s="17"/>
      <c r="C487" s="73"/>
      <c r="D487" s="7"/>
      <c r="E487" s="73"/>
      <c r="F487" s="8"/>
      <c r="G487" s="74">
        <f t="shared" si="90"/>
        <v>2000</v>
      </c>
      <c r="H487" s="136">
        <f t="shared" si="91"/>
        <v>0</v>
      </c>
      <c r="I487" s="82"/>
      <c r="J487" s="8"/>
      <c r="K487" s="74">
        <f t="shared" si="92"/>
        <v>2000</v>
      </c>
      <c r="L487" s="136">
        <f t="shared" si="93"/>
        <v>0</v>
      </c>
      <c r="M487" s="83"/>
      <c r="N487" s="137">
        <f t="shared" si="84"/>
        <v>0</v>
      </c>
      <c r="O487" s="79" t="str">
        <f t="shared" si="85"/>
        <v/>
      </c>
    </row>
    <row r="488" spans="1:63" x14ac:dyDescent="0.3">
      <c r="B488" s="17"/>
      <c r="C488" s="73"/>
      <c r="D488" s="7"/>
      <c r="E488" s="73"/>
      <c r="F488" s="8"/>
      <c r="G488" s="74">
        <f t="shared" si="90"/>
        <v>2000</v>
      </c>
      <c r="H488" s="136">
        <f t="shared" si="91"/>
        <v>0</v>
      </c>
      <c r="I488" s="82"/>
      <c r="J488" s="8"/>
      <c r="K488" s="74">
        <f t="shared" si="92"/>
        <v>2000</v>
      </c>
      <c r="L488" s="136">
        <f t="shared" si="93"/>
        <v>0</v>
      </c>
      <c r="M488" s="83"/>
      <c r="N488" s="137">
        <f t="shared" si="84"/>
        <v>0</v>
      </c>
      <c r="O488" s="79" t="str">
        <f t="shared" si="85"/>
        <v/>
      </c>
    </row>
    <row r="489" spans="1:63" x14ac:dyDescent="0.3">
      <c r="B489" s="80" t="s">
        <v>36</v>
      </c>
      <c r="C489" s="73"/>
      <c r="D489" s="7" t="s">
        <v>27</v>
      </c>
      <c r="E489" s="73"/>
      <c r="F489" s="135">
        <v>2.0000000000000001E-4</v>
      </c>
      <c r="G489" s="74">
        <f t="shared" si="90"/>
        <v>2000</v>
      </c>
      <c r="H489" s="136">
        <f t="shared" si="91"/>
        <v>0.4</v>
      </c>
      <c r="I489" s="76"/>
      <c r="J489" s="135">
        <v>4.0000000000000002E-4</v>
      </c>
      <c r="K489" s="74">
        <f t="shared" si="92"/>
        <v>2000</v>
      </c>
      <c r="L489" s="136">
        <f t="shared" si="93"/>
        <v>0.8</v>
      </c>
      <c r="M489" s="76"/>
      <c r="N489" s="137">
        <f t="shared" si="84"/>
        <v>0.4</v>
      </c>
      <c r="O489" s="79">
        <f t="shared" si="85"/>
        <v>1</v>
      </c>
    </row>
    <row r="490" spans="1:63" x14ac:dyDescent="0.3">
      <c r="B490" s="80" t="s">
        <v>37</v>
      </c>
      <c r="C490" s="73"/>
      <c r="D490" s="7" t="s">
        <v>27</v>
      </c>
      <c r="E490" s="73"/>
      <c r="F490" s="138">
        <f>IF(ISBLANK(D461)=TRUE, 0, IF(D461="TOU", 0.64*$F500+0.18*$F501+0.18*$F502, IF(AND(D461="non-TOU", G504&gt;0), F504,F503)))</f>
        <v>8.3919999999999995E-2</v>
      </c>
      <c r="G490" s="18">
        <f>$F$463*(1+$F$519)-$F$463</f>
        <v>75.400000000000091</v>
      </c>
      <c r="H490" s="136">
        <f t="shared" si="91"/>
        <v>6.3275680000000074</v>
      </c>
      <c r="I490" s="76"/>
      <c r="J490" s="138">
        <f>0.64*$F500+0.18*$F501+0.18*$F502</f>
        <v>8.3919999999999995E-2</v>
      </c>
      <c r="K490" s="18">
        <f>$F$463*(1+$J$519)-$F$463</f>
        <v>75.200000000000273</v>
      </c>
      <c r="L490" s="136">
        <f t="shared" si="93"/>
        <v>6.3107840000000222</v>
      </c>
      <c r="M490" s="76"/>
      <c r="N490" s="137">
        <f t="shared" si="84"/>
        <v>-1.6783999999985255E-2</v>
      </c>
      <c r="O490" s="79">
        <f t="shared" si="85"/>
        <v>-2.6525198938968709E-3</v>
      </c>
    </row>
    <row r="491" spans="1:63" x14ac:dyDescent="0.3">
      <c r="B491" s="80" t="s">
        <v>38</v>
      </c>
      <c r="C491" s="73"/>
      <c r="D491" s="7" t="s">
        <v>24</v>
      </c>
      <c r="E491" s="73"/>
      <c r="F491" s="138">
        <v>0.79</v>
      </c>
      <c r="G491" s="74">
        <v>1</v>
      </c>
      <c r="H491" s="136">
        <f t="shared" si="91"/>
        <v>0.79</v>
      </c>
      <c r="I491" s="76"/>
      <c r="J491" s="138">
        <v>0.79</v>
      </c>
      <c r="K491" s="81">
        <v>1</v>
      </c>
      <c r="L491" s="136">
        <f t="shared" si="93"/>
        <v>0.79</v>
      </c>
      <c r="M491" s="76"/>
      <c r="N491" s="137">
        <f t="shared" si="84"/>
        <v>0</v>
      </c>
      <c r="O491" s="79"/>
    </row>
    <row r="492" spans="1:63" s="4" customFormat="1" x14ac:dyDescent="0.3">
      <c r="A492" s="60"/>
      <c r="B492" s="19" t="s">
        <v>39</v>
      </c>
      <c r="C492" s="20"/>
      <c r="D492" s="20"/>
      <c r="E492" s="20"/>
      <c r="F492" s="21"/>
      <c r="G492" s="22"/>
      <c r="H492" s="23">
        <f>SUM(H485:H491)+H484</f>
        <v>55.887568000000009</v>
      </c>
      <c r="I492" s="13"/>
      <c r="J492" s="22"/>
      <c r="K492" s="24"/>
      <c r="L492" s="23">
        <f>SUM(L485:L491)+L484</f>
        <v>60.090784000000014</v>
      </c>
      <c r="M492" s="13"/>
      <c r="N492" s="15">
        <f t="shared" si="84"/>
        <v>4.2032160000000047</v>
      </c>
      <c r="O492" s="16">
        <f t="shared" ref="O492:O504" si="94">IF((H492)=0,"",(N492/H492))</f>
        <v>7.5208425601915693E-2</v>
      </c>
      <c r="P492" s="60"/>
      <c r="Q492" s="126"/>
      <c r="R492" s="126"/>
      <c r="S492" s="126"/>
      <c r="T492" s="126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</row>
    <row r="493" spans="1:63" x14ac:dyDescent="0.3">
      <c r="B493" s="76" t="s">
        <v>40</v>
      </c>
      <c r="C493" s="76"/>
      <c r="D493" s="25" t="s">
        <v>27</v>
      </c>
      <c r="E493" s="76"/>
      <c r="F493" s="135">
        <v>8.0000000000000002E-3</v>
      </c>
      <c r="G493" s="18">
        <f>F463*(1+F519)</f>
        <v>2075.4</v>
      </c>
      <c r="H493" s="136">
        <f>G493*F493</f>
        <v>16.603200000000001</v>
      </c>
      <c r="I493" s="76"/>
      <c r="J493" s="135">
        <v>7.4999999999999997E-3</v>
      </c>
      <c r="K493" s="18">
        <f>F463*(1+J519)</f>
        <v>2075.2000000000003</v>
      </c>
      <c r="L493" s="136">
        <f>K493*J493</f>
        <v>15.564000000000002</v>
      </c>
      <c r="M493" s="76"/>
      <c r="N493" s="136">
        <f t="shared" si="84"/>
        <v>-1.0391999999999992</v>
      </c>
      <c r="O493" s="79">
        <f t="shared" si="94"/>
        <v>-6.2590344030066442E-2</v>
      </c>
    </row>
    <row r="494" spans="1:63" x14ac:dyDescent="0.3">
      <c r="B494" s="85" t="s">
        <v>41</v>
      </c>
      <c r="C494" s="76"/>
      <c r="D494" s="25" t="s">
        <v>27</v>
      </c>
      <c r="E494" s="76"/>
      <c r="F494" s="135">
        <v>5.4999999999999997E-3</v>
      </c>
      <c r="G494" s="18">
        <f>G493</f>
        <v>2075.4</v>
      </c>
      <c r="H494" s="136">
        <f>G494*F494</f>
        <v>11.4147</v>
      </c>
      <c r="I494" s="76"/>
      <c r="J494" s="135">
        <v>3.8999999999999998E-3</v>
      </c>
      <c r="K494" s="18">
        <f>K493</f>
        <v>2075.2000000000003</v>
      </c>
      <c r="L494" s="136">
        <f>K494*J494</f>
        <v>8.09328</v>
      </c>
      <c r="M494" s="76"/>
      <c r="N494" s="136">
        <f t="shared" si="84"/>
        <v>-3.3214199999999998</v>
      </c>
      <c r="O494" s="79">
        <f t="shared" si="94"/>
        <v>-0.29097742384819575</v>
      </c>
    </row>
    <row r="495" spans="1:63" s="4" customFormat="1" x14ac:dyDescent="0.3">
      <c r="A495" s="60"/>
      <c r="B495" s="19" t="s">
        <v>42</v>
      </c>
      <c r="C495" s="20"/>
      <c r="D495" s="20"/>
      <c r="E495" s="20"/>
      <c r="F495" s="21"/>
      <c r="G495" s="22"/>
      <c r="H495" s="23">
        <f>SUM(H492:H494)</f>
        <v>83.905467999999999</v>
      </c>
      <c r="I495" s="13"/>
      <c r="J495" s="26"/>
      <c r="K495" s="22"/>
      <c r="L495" s="23">
        <f>SUM(L492:L494)</f>
        <v>83.748064000000028</v>
      </c>
      <c r="M495" s="13"/>
      <c r="N495" s="15">
        <f t="shared" si="84"/>
        <v>-0.15740399999997123</v>
      </c>
      <c r="O495" s="16">
        <f t="shared" si="94"/>
        <v>-1.875968321873507E-3</v>
      </c>
      <c r="P495" s="60"/>
      <c r="Q495" s="126"/>
      <c r="R495" s="126"/>
      <c r="S495" s="126"/>
      <c r="T495" s="126"/>
      <c r="U495" s="126"/>
      <c r="V495" s="126"/>
      <c r="W495" s="126"/>
      <c r="X495" s="126"/>
      <c r="Y495" s="126"/>
      <c r="Z495" s="126"/>
      <c r="AA495" s="126"/>
      <c r="AB495" s="126"/>
      <c r="AC495" s="126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</row>
    <row r="496" spans="1:63" x14ac:dyDescent="0.3">
      <c r="B496" s="86" t="s">
        <v>43</v>
      </c>
      <c r="C496" s="73"/>
      <c r="D496" s="7" t="s">
        <v>27</v>
      </c>
      <c r="E496" s="73"/>
      <c r="F496" s="135">
        <v>4.4000000000000003E-3</v>
      </c>
      <c r="G496" s="18">
        <f>G494</f>
        <v>2075.4</v>
      </c>
      <c r="H496" s="139">
        <f t="shared" ref="H496:H504" si="95">G496*F496</f>
        <v>9.1317600000000017</v>
      </c>
      <c r="I496" s="76"/>
      <c r="J496" s="135">
        <v>4.4000000000000003E-3</v>
      </c>
      <c r="K496" s="18">
        <f>K494</f>
        <v>2075.2000000000003</v>
      </c>
      <c r="L496" s="139">
        <f t="shared" ref="L496:L504" si="96">K496*J496</f>
        <v>9.1308800000000012</v>
      </c>
      <c r="M496" s="76"/>
      <c r="N496" s="137">
        <f t="shared" si="84"/>
        <v>-8.8000000000043599E-4</v>
      </c>
      <c r="O496" s="87">
        <f t="shared" si="94"/>
        <v>-9.6366965404307147E-5</v>
      </c>
    </row>
    <row r="497" spans="1:63" x14ac:dyDescent="0.3">
      <c r="B497" s="86" t="s">
        <v>44</v>
      </c>
      <c r="C497" s="73"/>
      <c r="D497" s="7" t="s">
        <v>27</v>
      </c>
      <c r="E497" s="73"/>
      <c r="F497" s="135">
        <v>1.1999999999999999E-3</v>
      </c>
      <c r="G497" s="18">
        <f>G494</f>
        <v>2075.4</v>
      </c>
      <c r="H497" s="139">
        <f t="shared" si="95"/>
        <v>2.4904799999999998</v>
      </c>
      <c r="I497" s="76"/>
      <c r="J497" s="135">
        <v>1.1999999999999999E-3</v>
      </c>
      <c r="K497" s="18">
        <f>K494</f>
        <v>2075.2000000000003</v>
      </c>
      <c r="L497" s="139">
        <f t="shared" si="96"/>
        <v>2.49024</v>
      </c>
      <c r="M497" s="76"/>
      <c r="N497" s="137">
        <f t="shared" si="84"/>
        <v>-2.3999999999979593E-4</v>
      </c>
      <c r="O497" s="87">
        <f t="shared" si="94"/>
        <v>-9.636696540417749E-5</v>
      </c>
    </row>
    <row r="498" spans="1:63" x14ac:dyDescent="0.3">
      <c r="B498" s="73" t="s">
        <v>45</v>
      </c>
      <c r="C498" s="73"/>
      <c r="D498" s="7" t="s">
        <v>24</v>
      </c>
      <c r="E498" s="73"/>
      <c r="F498" s="135">
        <v>0.25</v>
      </c>
      <c r="G498" s="81">
        <v>1</v>
      </c>
      <c r="H498" s="139">
        <f t="shared" si="95"/>
        <v>0.25</v>
      </c>
      <c r="I498" s="76"/>
      <c r="J498" s="135">
        <v>0.25</v>
      </c>
      <c r="K498" s="77">
        <v>1</v>
      </c>
      <c r="L498" s="139">
        <f t="shared" si="96"/>
        <v>0.25</v>
      </c>
      <c r="M498" s="76"/>
      <c r="N498" s="137">
        <f t="shared" si="84"/>
        <v>0</v>
      </c>
      <c r="O498" s="87">
        <f t="shared" si="94"/>
        <v>0</v>
      </c>
    </row>
    <row r="499" spans="1:63" x14ac:dyDescent="0.3">
      <c r="B499" s="73" t="s">
        <v>46</v>
      </c>
      <c r="C499" s="73"/>
      <c r="D499" s="7" t="s">
        <v>27</v>
      </c>
      <c r="E499" s="73"/>
      <c r="F499" s="135">
        <v>7.0000000000000001E-3</v>
      </c>
      <c r="G499" s="84">
        <f>F463</f>
        <v>2000</v>
      </c>
      <c r="H499" s="139">
        <f t="shared" si="95"/>
        <v>14</v>
      </c>
      <c r="I499" s="76"/>
      <c r="J499" s="135">
        <v>7.0000000000000001E-3</v>
      </c>
      <c r="K499" s="77">
        <f>F463</f>
        <v>2000</v>
      </c>
      <c r="L499" s="139">
        <f t="shared" si="96"/>
        <v>14</v>
      </c>
      <c r="M499" s="76"/>
      <c r="N499" s="137">
        <f t="shared" si="84"/>
        <v>0</v>
      </c>
      <c r="O499" s="87">
        <f t="shared" si="94"/>
        <v>0</v>
      </c>
    </row>
    <row r="500" spans="1:63" x14ac:dyDescent="0.3">
      <c r="B500" s="80" t="s">
        <v>47</v>
      </c>
      <c r="C500" s="73"/>
      <c r="D500" s="7" t="s">
        <v>27</v>
      </c>
      <c r="E500" s="73"/>
      <c r="F500" s="138">
        <v>6.7000000000000004E-2</v>
      </c>
      <c r="G500" s="27">
        <f>0.64*$F$463</f>
        <v>1280</v>
      </c>
      <c r="H500" s="139">
        <f t="shared" si="95"/>
        <v>85.76</v>
      </c>
      <c r="I500" s="76"/>
      <c r="J500" s="138">
        <v>6.7000000000000004E-2</v>
      </c>
      <c r="K500" s="28">
        <f>G500</f>
        <v>1280</v>
      </c>
      <c r="L500" s="139">
        <f t="shared" si="96"/>
        <v>85.76</v>
      </c>
      <c r="M500" s="76"/>
      <c r="N500" s="137">
        <f t="shared" si="84"/>
        <v>0</v>
      </c>
      <c r="O500" s="87">
        <f t="shared" si="94"/>
        <v>0</v>
      </c>
      <c r="S500" s="127"/>
    </row>
    <row r="501" spans="1:63" x14ac:dyDescent="0.3">
      <c r="B501" s="80" t="s">
        <v>48</v>
      </c>
      <c r="C501" s="73"/>
      <c r="D501" s="7" t="s">
        <v>27</v>
      </c>
      <c r="E501" s="73"/>
      <c r="F501" s="138">
        <v>0.104</v>
      </c>
      <c r="G501" s="27">
        <f>0.18*$F$463</f>
        <v>360</v>
      </c>
      <c r="H501" s="139">
        <f t="shared" si="95"/>
        <v>37.44</v>
      </c>
      <c r="I501" s="76"/>
      <c r="J501" s="138">
        <v>0.104</v>
      </c>
      <c r="K501" s="28">
        <f>G501</f>
        <v>360</v>
      </c>
      <c r="L501" s="139">
        <f t="shared" si="96"/>
        <v>37.44</v>
      </c>
      <c r="M501" s="76"/>
      <c r="N501" s="137">
        <f t="shared" si="84"/>
        <v>0</v>
      </c>
      <c r="O501" s="87">
        <f t="shared" si="94"/>
        <v>0</v>
      </c>
      <c r="S501" s="127"/>
    </row>
    <row r="502" spans="1:63" x14ac:dyDescent="0.3">
      <c r="B502" s="64" t="s">
        <v>49</v>
      </c>
      <c r="C502" s="73"/>
      <c r="D502" s="7" t="s">
        <v>27</v>
      </c>
      <c r="E502" s="73"/>
      <c r="F502" s="138">
        <v>0.124</v>
      </c>
      <c r="G502" s="27">
        <f>0.18*$F$463</f>
        <v>360</v>
      </c>
      <c r="H502" s="139">
        <f t="shared" si="95"/>
        <v>44.64</v>
      </c>
      <c r="I502" s="76"/>
      <c r="J502" s="138">
        <v>0.124</v>
      </c>
      <c r="K502" s="28">
        <f>G502</f>
        <v>360</v>
      </c>
      <c r="L502" s="139">
        <f t="shared" si="96"/>
        <v>44.64</v>
      </c>
      <c r="M502" s="76"/>
      <c r="N502" s="137">
        <f t="shared" si="84"/>
        <v>0</v>
      </c>
      <c r="O502" s="87">
        <f t="shared" si="94"/>
        <v>0</v>
      </c>
      <c r="S502" s="127"/>
    </row>
    <row r="503" spans="1:63" s="92" customFormat="1" x14ac:dyDescent="0.25">
      <c r="B503" s="89" t="s">
        <v>50</v>
      </c>
      <c r="C503" s="90"/>
      <c r="D503" s="29" t="s">
        <v>27</v>
      </c>
      <c r="E503" s="90"/>
      <c r="F503" s="138">
        <v>7.4999999999999997E-2</v>
      </c>
      <c r="G503" s="30">
        <f>IF(AND($T$1=1, F463&gt;=600), 600, IF(AND($T$1=1, AND(F463&lt;600, F463&gt;=0)), F463, IF(AND($T$1=2, F463&gt;=1000), 1000, IF(AND($T$1=2, AND(F463&lt;1000, F463&gt;=0)), F463))))</f>
        <v>600</v>
      </c>
      <c r="H503" s="139">
        <f t="shared" si="95"/>
        <v>45</v>
      </c>
      <c r="I503" s="91"/>
      <c r="J503" s="138">
        <v>7.4999999999999997E-2</v>
      </c>
      <c r="K503" s="31">
        <f>G503</f>
        <v>600</v>
      </c>
      <c r="L503" s="139">
        <f t="shared" si="96"/>
        <v>45</v>
      </c>
      <c r="M503" s="91"/>
      <c r="N503" s="140">
        <f t="shared" si="84"/>
        <v>0</v>
      </c>
      <c r="O503" s="87">
        <f t="shared" si="94"/>
        <v>0</v>
      </c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  <c r="AC503" s="128"/>
    </row>
    <row r="504" spans="1:63" s="92" customFormat="1" ht="15" thickBot="1" x14ac:dyDescent="0.3">
      <c r="B504" s="89" t="s">
        <v>51</v>
      </c>
      <c r="C504" s="90"/>
      <c r="D504" s="29" t="s">
        <v>27</v>
      </c>
      <c r="E504" s="90"/>
      <c r="F504" s="138">
        <v>8.7999999999999995E-2</v>
      </c>
      <c r="G504" s="30">
        <f>IF(AND($T$1=1, F463&gt;=600), F463-600, IF(AND($T$1=1, AND(F463&lt;600, F463&gt;=0)), 0, IF(AND($T$1=2, F463&gt;=1000), F463-1000, IF(AND($T$1=2, AND(F463&lt;1000, F463&gt;=0)), 0))))</f>
        <v>1400</v>
      </c>
      <c r="H504" s="139">
        <f t="shared" si="95"/>
        <v>123.19999999999999</v>
      </c>
      <c r="I504" s="91"/>
      <c r="J504" s="138">
        <v>8.7999999999999995E-2</v>
      </c>
      <c r="K504" s="31">
        <f>G504</f>
        <v>1400</v>
      </c>
      <c r="L504" s="139">
        <f t="shared" si="96"/>
        <v>123.19999999999999</v>
      </c>
      <c r="M504" s="91"/>
      <c r="N504" s="140">
        <f t="shared" si="84"/>
        <v>0</v>
      </c>
      <c r="O504" s="87">
        <f t="shared" si="94"/>
        <v>0</v>
      </c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  <c r="AC504" s="128"/>
    </row>
    <row r="505" spans="1:63" s="4" customFormat="1" ht="15" thickBot="1" x14ac:dyDescent="0.35">
      <c r="A505" s="60"/>
      <c r="B505" s="32"/>
      <c r="C505" s="33"/>
      <c r="D505" s="124"/>
      <c r="E505" s="33"/>
      <c r="F505" s="35"/>
      <c r="G505" s="36"/>
      <c r="H505" s="122"/>
      <c r="I505" s="123"/>
      <c r="J505" s="35"/>
      <c r="K505" s="39"/>
      <c r="L505" s="122"/>
      <c r="M505" s="123"/>
      <c r="N505" s="40"/>
      <c r="O505" s="41"/>
      <c r="P505" s="60"/>
      <c r="Q505" s="126"/>
      <c r="R505" s="126"/>
      <c r="S505" s="126"/>
      <c r="T505" s="126"/>
      <c r="U505" s="126"/>
      <c r="V505" s="126"/>
      <c r="W505" s="126"/>
      <c r="X505" s="126"/>
      <c r="Y505" s="126"/>
      <c r="Z505" s="126"/>
      <c r="AA505" s="126"/>
      <c r="AB505" s="126"/>
      <c r="AC505" s="126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</row>
    <row r="506" spans="1:63" x14ac:dyDescent="0.3">
      <c r="B506" s="93" t="s">
        <v>52</v>
      </c>
      <c r="C506" s="73"/>
      <c r="D506" s="73"/>
      <c r="E506" s="73"/>
      <c r="F506" s="94"/>
      <c r="G506" s="95"/>
      <c r="H506" s="141">
        <f>SUM(H496:H502,H495)</f>
        <v>277.61770799999999</v>
      </c>
      <c r="I506" s="96"/>
      <c r="J506" s="97"/>
      <c r="K506" s="97"/>
      <c r="L506" s="144">
        <f>SUM(L496:L502,L495)</f>
        <v>277.45918400000005</v>
      </c>
      <c r="M506" s="145"/>
      <c r="N506" s="146">
        <f>L506-H506</f>
        <v>-0.15852399999994304</v>
      </c>
      <c r="O506" s="98">
        <f>IF((H506)=0,"",(N506/H506))</f>
        <v>-5.7101544833711778E-4</v>
      </c>
      <c r="S506" s="127"/>
    </row>
    <row r="507" spans="1:63" x14ac:dyDescent="0.3">
      <c r="B507" s="99" t="s">
        <v>53</v>
      </c>
      <c r="C507" s="73"/>
      <c r="D507" s="73"/>
      <c r="E507" s="73"/>
      <c r="F507" s="100">
        <v>0.13</v>
      </c>
      <c r="G507" s="101"/>
      <c r="H507" s="142">
        <f>H506*F507</f>
        <v>36.090302039999997</v>
      </c>
      <c r="I507" s="102"/>
      <c r="J507" s="103">
        <v>0.13</v>
      </c>
      <c r="K507" s="102"/>
      <c r="L507" s="147">
        <f>L506*J507</f>
        <v>36.069693920000006</v>
      </c>
      <c r="M507" s="148"/>
      <c r="N507" s="149">
        <f>L507-H507</f>
        <v>-2.0608119999991459E-2</v>
      </c>
      <c r="O507" s="104">
        <f>IF((H507)=0,"",(N507/H507))</f>
        <v>-5.7101544833708634E-4</v>
      </c>
      <c r="S507" s="127"/>
    </row>
    <row r="508" spans="1:63" x14ac:dyDescent="0.3">
      <c r="B508" s="105" t="s">
        <v>54</v>
      </c>
      <c r="C508" s="73"/>
      <c r="D508" s="73"/>
      <c r="E508" s="73"/>
      <c r="F508" s="106"/>
      <c r="G508" s="101"/>
      <c r="H508" s="142">
        <f>H506+H507</f>
        <v>313.70801003999998</v>
      </c>
      <c r="I508" s="102"/>
      <c r="J508" s="102"/>
      <c r="K508" s="102"/>
      <c r="L508" s="147">
        <f>L506+L507</f>
        <v>313.52887792000007</v>
      </c>
      <c r="M508" s="148"/>
      <c r="N508" s="149">
        <f>L508-H508</f>
        <v>-0.17913211999990608</v>
      </c>
      <c r="O508" s="104">
        <f>IF((H508)=0,"",(N508/H508))</f>
        <v>-5.7101544833702356E-4</v>
      </c>
      <c r="S508" s="127"/>
    </row>
    <row r="509" spans="1:63" ht="14.4" customHeight="1" x14ac:dyDescent="0.3">
      <c r="B509" s="172" t="s">
        <v>55</v>
      </c>
      <c r="C509" s="172"/>
      <c r="D509" s="172"/>
      <c r="E509" s="73"/>
      <c r="F509" s="106"/>
      <c r="G509" s="101"/>
      <c r="H509" s="143">
        <f>ROUND(-H508*10%,2)</f>
        <v>-31.37</v>
      </c>
      <c r="I509" s="102"/>
      <c r="J509" s="102"/>
      <c r="K509" s="102"/>
      <c r="L509" s="150">
        <f>ROUND(-L508*10%,2)</f>
        <v>-31.35</v>
      </c>
      <c r="M509" s="148"/>
      <c r="N509" s="151">
        <f>L509-H509</f>
        <v>1.9999999999999574E-2</v>
      </c>
      <c r="O509" s="107">
        <f>IF((H509)=0,"",(N509/H509))</f>
        <v>-6.3755180108382447E-4</v>
      </c>
    </row>
    <row r="510" spans="1:63" s="4" customFormat="1" ht="15" thickBot="1" x14ac:dyDescent="0.35">
      <c r="A510" s="60"/>
      <c r="B510" s="173" t="s">
        <v>56</v>
      </c>
      <c r="C510" s="173"/>
      <c r="D510" s="173"/>
      <c r="E510" s="42"/>
      <c r="F510" s="43"/>
      <c r="G510" s="44"/>
      <c r="H510" s="45">
        <f>H508+H509</f>
        <v>282.33801003999997</v>
      </c>
      <c r="I510" s="46"/>
      <c r="J510" s="46"/>
      <c r="K510" s="46"/>
      <c r="L510" s="47">
        <f>L508+L509</f>
        <v>282.17887792000005</v>
      </c>
      <c r="M510" s="48"/>
      <c r="N510" s="49">
        <f>L510-H510</f>
        <v>-0.15913211999992427</v>
      </c>
      <c r="O510" s="50">
        <f>IF((H510)=0,"",(N510/H510))</f>
        <v>-5.6362272999437577E-4</v>
      </c>
      <c r="P510" s="60"/>
      <c r="Q510" s="126"/>
      <c r="R510" s="126"/>
      <c r="S510" s="126"/>
      <c r="T510" s="126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</row>
    <row r="511" spans="1:63" s="4" customFormat="1" ht="15" thickBot="1" x14ac:dyDescent="0.35">
      <c r="A511" s="60"/>
      <c r="B511" s="32"/>
      <c r="C511" s="33"/>
      <c r="D511" s="34"/>
      <c r="E511" s="33"/>
      <c r="F511" s="35"/>
      <c r="G511" s="36"/>
      <c r="H511" s="37"/>
      <c r="I511" s="38"/>
      <c r="J511" s="35"/>
      <c r="K511" s="39"/>
      <c r="L511" s="37"/>
      <c r="M511" s="123"/>
      <c r="N511" s="40"/>
      <c r="O511" s="41"/>
      <c r="P511" s="60"/>
      <c r="Q511" s="126"/>
      <c r="R511" s="126"/>
      <c r="S511" s="126"/>
      <c r="T511" s="126"/>
      <c r="U511" s="126"/>
      <c r="V511" s="126"/>
      <c r="W511" s="126"/>
      <c r="X511" s="126"/>
      <c r="Y511" s="126"/>
      <c r="Z511" s="126"/>
      <c r="AA511" s="126"/>
      <c r="AB511" s="126"/>
      <c r="AC511" s="126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</row>
    <row r="512" spans="1:63" s="92" customFormat="1" ht="13.2" x14ac:dyDescent="0.25">
      <c r="B512" s="108" t="s">
        <v>57</v>
      </c>
      <c r="C512" s="90"/>
      <c r="D512" s="90"/>
      <c r="E512" s="90"/>
      <c r="F512" s="109"/>
      <c r="G512" s="110"/>
      <c r="H512" s="152">
        <f>SUM(H503:H504,H495,H496:H499)</f>
        <v>277.97770799999995</v>
      </c>
      <c r="I512" s="111"/>
      <c r="J512" s="112"/>
      <c r="K512" s="112"/>
      <c r="L512" s="155">
        <f>SUM(L503:L504,L495,L496:L499)</f>
        <v>277.81918400000006</v>
      </c>
      <c r="M512" s="156"/>
      <c r="N512" s="157">
        <f>L512-H512</f>
        <v>-0.1585239999998862</v>
      </c>
      <c r="O512" s="98">
        <f>IF((H512)=0,"",(N512/H512))</f>
        <v>-5.7027594457281523E-4</v>
      </c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  <c r="AC512" s="128"/>
    </row>
    <row r="513" spans="1:63" s="92" customFormat="1" ht="13.2" x14ac:dyDescent="0.25">
      <c r="B513" s="113" t="s">
        <v>53</v>
      </c>
      <c r="C513" s="90"/>
      <c r="D513" s="90"/>
      <c r="E513" s="90"/>
      <c r="F513" s="114">
        <v>0.13</v>
      </c>
      <c r="G513" s="110"/>
      <c r="H513" s="153">
        <f>H512*F513</f>
        <v>36.137102039999995</v>
      </c>
      <c r="I513" s="115"/>
      <c r="J513" s="116">
        <v>0.13</v>
      </c>
      <c r="K513" s="117"/>
      <c r="L513" s="158">
        <f>L512*J513</f>
        <v>36.116493920000011</v>
      </c>
      <c r="M513" s="159"/>
      <c r="N513" s="160">
        <f>L513-H513</f>
        <v>-2.0608119999984353E-2</v>
      </c>
      <c r="O513" s="104">
        <f>IF((H513)=0,"",(N513/H513))</f>
        <v>-5.702759445727917E-4</v>
      </c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  <c r="AC513" s="128"/>
    </row>
    <row r="514" spans="1:63" s="92" customFormat="1" ht="13.2" x14ac:dyDescent="0.25">
      <c r="B514" s="118" t="s">
        <v>54</v>
      </c>
      <c r="C514" s="90"/>
      <c r="D514" s="90"/>
      <c r="E514" s="90"/>
      <c r="F514" s="119"/>
      <c r="G514" s="120"/>
      <c r="H514" s="153">
        <f>H512+H513</f>
        <v>314.11481003999995</v>
      </c>
      <c r="I514" s="115"/>
      <c r="J514" s="115"/>
      <c r="K514" s="115"/>
      <c r="L514" s="158">
        <f>L512+L513</f>
        <v>313.9356779200001</v>
      </c>
      <c r="M514" s="159"/>
      <c r="N514" s="160">
        <f>L514-H514</f>
        <v>-0.17913211999984924</v>
      </c>
      <c r="O514" s="104">
        <f>IF((H514)=0,"",(N514/H514))</f>
        <v>-5.7027594457274464E-4</v>
      </c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  <c r="AC514" s="128"/>
    </row>
    <row r="515" spans="1:63" s="92" customFormat="1" ht="13.2" customHeight="1" x14ac:dyDescent="0.25">
      <c r="B515" s="174" t="s">
        <v>55</v>
      </c>
      <c r="C515" s="174"/>
      <c r="D515" s="174"/>
      <c r="E515" s="90"/>
      <c r="F515" s="119"/>
      <c r="G515" s="120"/>
      <c r="H515" s="154">
        <f>ROUND(-H514*10%,2)</f>
        <v>-31.41</v>
      </c>
      <c r="I515" s="115"/>
      <c r="J515" s="115"/>
      <c r="K515" s="115"/>
      <c r="L515" s="161">
        <f>ROUND(-L514*10%,2)</f>
        <v>-31.39</v>
      </c>
      <c r="M515" s="159"/>
      <c r="N515" s="162">
        <f>L515-H515</f>
        <v>1.9999999999999574E-2</v>
      </c>
      <c r="O515" s="107">
        <f>IF((H515)=0,"",(N515/H515))</f>
        <v>-6.3673989175420487E-4</v>
      </c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</row>
    <row r="516" spans="1:63" s="4" customFormat="1" ht="15" thickBot="1" x14ac:dyDescent="0.35">
      <c r="A516" s="60"/>
      <c r="B516" s="173" t="s">
        <v>58</v>
      </c>
      <c r="C516" s="173"/>
      <c r="D516" s="173"/>
      <c r="E516" s="42"/>
      <c r="F516" s="43"/>
      <c r="G516" s="44"/>
      <c r="H516" s="45">
        <f>SUM(H514:H515)</f>
        <v>282.70481003999993</v>
      </c>
      <c r="I516" s="46"/>
      <c r="J516" s="46"/>
      <c r="K516" s="46"/>
      <c r="L516" s="47">
        <f>SUM(L514:L515)</f>
        <v>282.54567792000012</v>
      </c>
      <c r="M516" s="48"/>
      <c r="N516" s="49">
        <f>L516-H516</f>
        <v>-0.15913211999981058</v>
      </c>
      <c r="O516" s="50">
        <f>IF((H516)=0,"",(N516/H516))</f>
        <v>-5.6289144842387002E-4</v>
      </c>
      <c r="P516" s="60"/>
      <c r="Q516" s="126"/>
      <c r="R516" s="126"/>
      <c r="S516" s="126"/>
      <c r="T516" s="126"/>
      <c r="U516" s="126"/>
      <c r="V516" s="126"/>
      <c r="W516" s="126"/>
      <c r="X516" s="126"/>
      <c r="Y516" s="126"/>
      <c r="Z516" s="126"/>
      <c r="AA516" s="126"/>
      <c r="AB516" s="126"/>
      <c r="AC516" s="126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</row>
    <row r="517" spans="1:63" s="4" customFormat="1" ht="15" thickBot="1" x14ac:dyDescent="0.35">
      <c r="A517" s="60"/>
      <c r="B517" s="32"/>
      <c r="C517" s="33"/>
      <c r="D517" s="34"/>
      <c r="E517" s="33"/>
      <c r="F517" s="35"/>
      <c r="G517" s="36"/>
      <c r="H517" s="122"/>
      <c r="I517" s="123"/>
      <c r="J517" s="35"/>
      <c r="K517" s="39"/>
      <c r="L517" s="37"/>
      <c r="M517" s="123"/>
      <c r="N517" s="40"/>
      <c r="O517" s="41"/>
      <c r="P517" s="60"/>
      <c r="Q517" s="126"/>
      <c r="R517" s="126"/>
      <c r="S517" s="126"/>
      <c r="T517" s="126"/>
      <c r="U517" s="126"/>
      <c r="V517" s="126"/>
      <c r="W517" s="126"/>
      <c r="X517" s="126"/>
      <c r="Y517" s="126"/>
      <c r="Z517" s="126"/>
      <c r="AA517" s="126"/>
      <c r="AB517" s="126"/>
      <c r="AC517" s="126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</row>
    <row r="518" spans="1:63" x14ac:dyDescent="0.3">
      <c r="L518" s="88"/>
    </row>
    <row r="519" spans="1:63" x14ac:dyDescent="0.3">
      <c r="B519" s="65" t="s">
        <v>59</v>
      </c>
      <c r="F519" s="51">
        <v>3.7699999999999997E-2</v>
      </c>
      <c r="J519" s="51">
        <f>+$J$149</f>
        <v>3.7600000000000001E-2</v>
      </c>
    </row>
    <row r="521" spans="1:63" x14ac:dyDescent="0.3">
      <c r="L521" s="56"/>
      <c r="M521" s="56"/>
      <c r="N521" s="56"/>
      <c r="O521" s="56"/>
      <c r="P521" s="56"/>
    </row>
    <row r="522" spans="1:63" ht="16.2" x14ac:dyDescent="0.3">
      <c r="A522" s="121" t="s">
        <v>60</v>
      </c>
    </row>
    <row r="524" spans="1:63" x14ac:dyDescent="0.3">
      <c r="A524" s="60" t="s">
        <v>61</v>
      </c>
    </row>
    <row r="525" spans="1:63" x14ac:dyDescent="0.3">
      <c r="A525" s="60" t="s">
        <v>62</v>
      </c>
    </row>
    <row r="527" spans="1:63" x14ac:dyDescent="0.3">
      <c r="B527" s="60" t="s">
        <v>63</v>
      </c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</row>
  </sheetData>
  <mergeCells count="92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D89:O89"/>
    <mergeCell ref="F95:H95"/>
    <mergeCell ref="J95:L95"/>
    <mergeCell ref="N95:O95"/>
    <mergeCell ref="D96:D97"/>
    <mergeCell ref="N96:N97"/>
    <mergeCell ref="O96:O97"/>
    <mergeCell ref="B139:D139"/>
    <mergeCell ref="B140:D140"/>
    <mergeCell ref="B145:D145"/>
    <mergeCell ref="B146:D146"/>
    <mergeCell ref="D163:O163"/>
    <mergeCell ref="F169:H169"/>
    <mergeCell ref="J169:L169"/>
    <mergeCell ref="N169:O169"/>
    <mergeCell ref="D170:D171"/>
    <mergeCell ref="N170:N171"/>
    <mergeCell ref="O170:O171"/>
    <mergeCell ref="B213:D213"/>
    <mergeCell ref="B214:D214"/>
    <mergeCell ref="B219:D219"/>
    <mergeCell ref="B220:D220"/>
    <mergeCell ref="D237:O237"/>
    <mergeCell ref="F243:H243"/>
    <mergeCell ref="J243:L243"/>
    <mergeCell ref="N243:O243"/>
    <mergeCell ref="D244:D245"/>
    <mergeCell ref="N244:N245"/>
    <mergeCell ref="O244:O245"/>
    <mergeCell ref="B287:D287"/>
    <mergeCell ref="B288:D288"/>
    <mergeCell ref="B293:D293"/>
    <mergeCell ref="B294:D294"/>
    <mergeCell ref="D311:O311"/>
    <mergeCell ref="F317:H317"/>
    <mergeCell ref="J317:L317"/>
    <mergeCell ref="N317:O317"/>
    <mergeCell ref="D318:D319"/>
    <mergeCell ref="N318:N319"/>
    <mergeCell ref="O318:O319"/>
    <mergeCell ref="B361:D361"/>
    <mergeCell ref="B362:D362"/>
    <mergeCell ref="B367:D367"/>
    <mergeCell ref="B368:D368"/>
    <mergeCell ref="D385:O385"/>
    <mergeCell ref="F391:H391"/>
    <mergeCell ref="J391:L391"/>
    <mergeCell ref="N391:O391"/>
    <mergeCell ref="D392:D393"/>
    <mergeCell ref="N392:N393"/>
    <mergeCell ref="O392:O393"/>
    <mergeCell ref="B435:D435"/>
    <mergeCell ref="B436:D436"/>
    <mergeCell ref="B441:D441"/>
    <mergeCell ref="B442:D442"/>
    <mergeCell ref="D459:O459"/>
    <mergeCell ref="F465:H465"/>
    <mergeCell ref="J465:L465"/>
    <mergeCell ref="N465:O465"/>
    <mergeCell ref="D466:D467"/>
    <mergeCell ref="N466:N467"/>
    <mergeCell ref="O466:O467"/>
    <mergeCell ref="B509:D509"/>
    <mergeCell ref="B510:D510"/>
    <mergeCell ref="B515:D515"/>
    <mergeCell ref="B516:D516"/>
    <mergeCell ref="B85:O85"/>
    <mergeCell ref="B86:O86"/>
    <mergeCell ref="B159:O159"/>
    <mergeCell ref="B160:O160"/>
    <mergeCell ref="B233:O233"/>
    <mergeCell ref="B234:O234"/>
    <mergeCell ref="B307:O307"/>
    <mergeCell ref="B308:O308"/>
    <mergeCell ref="B381:O381"/>
    <mergeCell ref="B382:O382"/>
    <mergeCell ref="B455:O455"/>
    <mergeCell ref="B456:O456"/>
  </mergeCells>
  <dataValidations count="3">
    <dataValidation type="list" allowBlank="1" showInputMessage="1" showErrorMessage="1" sqref="D16 D91 D165 D239 D313 D387 D461">
      <formula1>"TOU, non-TOU"</formula1>
    </dataValidation>
    <dataValidation type="list" allowBlank="1" showInputMessage="1" showErrorMessage="1" sqref="E72 E66 E147 E141 E221 E215 E295 E289 E369 E363 E443 E437 E517 E511 E48:E49 E40:E46 E23:E38 E51:E60 E123:E124 E115:E121 E98:E113 E126:E135 E197:E198 E189:E195 E172:E187 E200:E209 E271:E272 E263:E269 E246:E261 E274:E283 E345:E346 E337:E343 E320:E335 E348:E357 E419:E420 E411:E417 E394:E409 E422:E431 E493:E494 E485:E491 E468:E483 E496:E505">
      <formula1>#REF!</formula1>
    </dataValidation>
    <dataValidation type="list" allowBlank="1" showInputMessage="1" showErrorMessage="1" prompt="Select Charge Unit - monthly, per kWh, per kW" sqref="D48:D49 D40:D46 D66 D23:D38 D72 D51:D60 D123:D124 D115:D121 D141 D98:D113 D147 D126:D135 D197:D198 D189:D195 D215 D172:D187 D221 D200:D209 D271:D272 D263:D269 D289 D246:D261 D295 D274:D283 D345:D346 D337:D343 D363 D320:D335 D369 D348:D357 D419:D420 D411:D417 D437 D394:D409 D443 D422:D431 D493:D494 D485:D491 D511 D468:D483 D517 D496:D505">
      <formula1>"Monthly, per kWh, per kW"</formula1>
    </dataValidation>
  </dataValidations>
  <pageMargins left="0.7" right="0.7" top="0.75" bottom="0.75" header="0.3" footer="0.3"/>
  <pageSetup scale="51" orientation="portrait" r:id="rId1"/>
  <rowBreaks count="6" manualBreakCount="6">
    <brk id="83" max="15" man="1"/>
    <brk id="158" max="15" man="1"/>
    <brk id="232" max="15" man="1"/>
    <brk id="306" max="15" man="1"/>
    <brk id="380" max="15" man="1"/>
    <brk id="4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7" r:id="rId4" name="Option Button 19">
              <controlPr defaultSize="0" autoFill="0" autoLine="0" autoPict="0">
                <anchor moveWithCells="1">
                  <from>
                    <xdr:col>6</xdr:col>
                    <xdr:colOff>480060</xdr:colOff>
                    <xdr:row>16</xdr:row>
                    <xdr:rowOff>175260</xdr:rowOff>
                  </from>
                  <to>
                    <xdr:col>8</xdr:col>
                    <xdr:colOff>182880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" name="Option Button 20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14</xdr:col>
                    <xdr:colOff>838200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Option Button 21">
              <controlPr defaultSize="0" autoFill="0" autoLine="0" autoPict="0">
                <anchor moveWithCells="1">
                  <from>
                    <xdr:col>6</xdr:col>
                    <xdr:colOff>480060</xdr:colOff>
                    <xdr:row>91</xdr:row>
                    <xdr:rowOff>175260</xdr:rowOff>
                  </from>
                  <to>
                    <xdr:col>8</xdr:col>
                    <xdr:colOff>182880</xdr:colOff>
                    <xdr:row>93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Option Button 22">
              <controlPr defaultSize="0" autoFill="0" autoLine="0" autoPict="0">
                <anchor moveWithCells="1">
                  <from>
                    <xdr:col>9</xdr:col>
                    <xdr:colOff>365760</xdr:colOff>
                    <xdr:row>91</xdr:row>
                    <xdr:rowOff>114300</xdr:rowOff>
                  </from>
                  <to>
                    <xdr:col>14</xdr:col>
                    <xdr:colOff>838200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Option Button 37">
              <controlPr defaultSize="0" autoFill="0" autoLine="0" autoPict="0">
                <anchor moveWithCells="1">
                  <from>
                    <xdr:col>6</xdr:col>
                    <xdr:colOff>480060</xdr:colOff>
                    <xdr:row>165</xdr:row>
                    <xdr:rowOff>175260</xdr:rowOff>
                  </from>
                  <to>
                    <xdr:col>8</xdr:col>
                    <xdr:colOff>182880</xdr:colOff>
                    <xdr:row>167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Option Button 38">
              <controlPr defaultSize="0" autoFill="0" autoLine="0" autoPict="0">
                <anchor moveWithCells="1">
                  <from>
                    <xdr:col>9</xdr:col>
                    <xdr:colOff>365760</xdr:colOff>
                    <xdr:row>165</xdr:row>
                    <xdr:rowOff>114300</xdr:rowOff>
                  </from>
                  <to>
                    <xdr:col>14</xdr:col>
                    <xdr:colOff>838200</xdr:colOff>
                    <xdr:row>167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0" name="Option Button 53">
              <controlPr defaultSize="0" autoFill="0" autoLine="0" autoPict="0">
                <anchor moveWithCells="1">
                  <from>
                    <xdr:col>6</xdr:col>
                    <xdr:colOff>480060</xdr:colOff>
                    <xdr:row>239</xdr:row>
                    <xdr:rowOff>175260</xdr:rowOff>
                  </from>
                  <to>
                    <xdr:col>8</xdr:col>
                    <xdr:colOff>182880</xdr:colOff>
                    <xdr:row>241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1" name="Option Button 54">
              <controlPr defaultSize="0" autoFill="0" autoLine="0" autoPict="0">
                <anchor moveWithCells="1">
                  <from>
                    <xdr:col>9</xdr:col>
                    <xdr:colOff>365760</xdr:colOff>
                    <xdr:row>239</xdr:row>
                    <xdr:rowOff>114300</xdr:rowOff>
                  </from>
                  <to>
                    <xdr:col>14</xdr:col>
                    <xdr:colOff>838200</xdr:colOff>
                    <xdr:row>241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2" name="Option Button 69">
              <controlPr defaultSize="0" autoFill="0" autoLine="0" autoPict="0">
                <anchor moveWithCells="1">
                  <from>
                    <xdr:col>6</xdr:col>
                    <xdr:colOff>480060</xdr:colOff>
                    <xdr:row>313</xdr:row>
                    <xdr:rowOff>175260</xdr:rowOff>
                  </from>
                  <to>
                    <xdr:col>8</xdr:col>
                    <xdr:colOff>182880</xdr:colOff>
                    <xdr:row>315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3" name="Option Button 70">
              <controlPr defaultSize="0" autoFill="0" autoLine="0" autoPict="0">
                <anchor moveWithCells="1">
                  <from>
                    <xdr:col>9</xdr:col>
                    <xdr:colOff>365760</xdr:colOff>
                    <xdr:row>313</xdr:row>
                    <xdr:rowOff>114300</xdr:rowOff>
                  </from>
                  <to>
                    <xdr:col>14</xdr:col>
                    <xdr:colOff>838200</xdr:colOff>
                    <xdr:row>315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4" name="Option Button 85">
              <controlPr defaultSize="0" autoFill="0" autoLine="0" autoPict="0">
                <anchor moveWithCells="1">
                  <from>
                    <xdr:col>6</xdr:col>
                    <xdr:colOff>480060</xdr:colOff>
                    <xdr:row>387</xdr:row>
                    <xdr:rowOff>175260</xdr:rowOff>
                  </from>
                  <to>
                    <xdr:col>8</xdr:col>
                    <xdr:colOff>182880</xdr:colOff>
                    <xdr:row>389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5" name="Option Button 86">
              <controlPr defaultSize="0" autoFill="0" autoLine="0" autoPict="0">
                <anchor moveWithCells="1">
                  <from>
                    <xdr:col>9</xdr:col>
                    <xdr:colOff>365760</xdr:colOff>
                    <xdr:row>387</xdr:row>
                    <xdr:rowOff>114300</xdr:rowOff>
                  </from>
                  <to>
                    <xdr:col>14</xdr:col>
                    <xdr:colOff>838200</xdr:colOff>
                    <xdr:row>389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6" name="Option Button 101">
              <controlPr defaultSize="0" autoFill="0" autoLine="0" autoPict="0">
                <anchor moveWithCells="1">
                  <from>
                    <xdr:col>6</xdr:col>
                    <xdr:colOff>480060</xdr:colOff>
                    <xdr:row>461</xdr:row>
                    <xdr:rowOff>175260</xdr:rowOff>
                  </from>
                  <to>
                    <xdr:col>8</xdr:col>
                    <xdr:colOff>182880</xdr:colOff>
                    <xdr:row>463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7" name="Option Button 102">
              <controlPr defaultSize="0" autoFill="0" autoLine="0" autoPict="0">
                <anchor moveWithCells="1">
                  <from>
                    <xdr:col>9</xdr:col>
                    <xdr:colOff>365760</xdr:colOff>
                    <xdr:row>461</xdr:row>
                    <xdr:rowOff>114300</xdr:rowOff>
                  </from>
                  <to>
                    <xdr:col>14</xdr:col>
                    <xdr:colOff>838200</xdr:colOff>
                    <xdr:row>463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382"/>
  <sheetViews>
    <sheetView view="pageBreakPreview" topLeftCell="A363" zoomScale="80" zoomScaleNormal="80" zoomScaleSheetLayoutView="80" workbookViewId="0">
      <selection activeCell="K351" sqref="K351"/>
    </sheetView>
  </sheetViews>
  <sheetFormatPr defaultColWidth="9.109375" defaultRowHeight="14.4" x14ac:dyDescent="0.3"/>
  <cols>
    <col min="1" max="1" width="2.33203125" style="60" customWidth="1"/>
    <col min="2" max="2" width="44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4.33203125" style="60" bestFit="1" customWidth="1"/>
    <col min="9" max="9" width="2.88671875" style="60" customWidth="1"/>
    <col min="10" max="10" width="12.109375" style="60" customWidth="1"/>
    <col min="11" max="11" width="12" style="60" customWidth="1"/>
    <col min="12" max="12" width="14" style="60" bestFit="1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0.33203125" style="60" customWidth="1"/>
    <col min="17" max="17" width="9.109375" style="60"/>
    <col min="18" max="18" width="9.109375" style="60" customWidth="1"/>
    <col min="19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78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9.2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66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10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ht="15" customHeight="1" x14ac:dyDescent="0.3">
      <c r="B18" s="64"/>
      <c r="D18" s="65" t="s">
        <v>11</v>
      </c>
      <c r="E18" s="65"/>
      <c r="F18" s="6">
        <v>2000</v>
      </c>
      <c r="G18" s="65" t="s">
        <v>12</v>
      </c>
    </row>
    <row r="19" spans="2:29" x14ac:dyDescent="0.3">
      <c r="B19" s="64"/>
      <c r="G19" s="65"/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32.24</v>
      </c>
      <c r="G23" s="74">
        <v>1</v>
      </c>
      <c r="H23" s="75">
        <f t="shared" ref="H23:H38" si="0">G23*F23</f>
        <v>32.24</v>
      </c>
      <c r="I23" s="76"/>
      <c r="J23" s="129">
        <v>39.4</v>
      </c>
      <c r="K23" s="77">
        <v>1</v>
      </c>
      <c r="L23" s="75">
        <f t="shared" ref="L23:L38" si="1">K23*J23</f>
        <v>39.4</v>
      </c>
      <c r="M23" s="76"/>
      <c r="N23" s="78">
        <f t="shared" ref="N23:N59" si="2">L23-H23</f>
        <v>7.1599999999999966</v>
      </c>
      <c r="O23" s="79">
        <f t="shared" ref="O23:O45" si="3">IF((H23)=0,"",(N23/H23))</f>
        <v>0.22208436724565744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>
        <v>7.33</v>
      </c>
      <c r="G24" s="74">
        <v>1</v>
      </c>
      <c r="H24" s="136">
        <f t="shared" si="0"/>
        <v>7.33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-7.33</v>
      </c>
      <c r="O24" s="79">
        <f t="shared" si="3"/>
        <v>-1</v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27</v>
      </c>
      <c r="E29" s="73"/>
      <c r="F29" s="135">
        <v>1.4200000000000001E-2</v>
      </c>
      <c r="G29" s="74">
        <f>$F18</f>
        <v>2000</v>
      </c>
      <c r="H29" s="136">
        <f t="shared" si="0"/>
        <v>28.400000000000002</v>
      </c>
      <c r="I29" s="76"/>
      <c r="J29" s="132">
        <v>1.7399999999999999E-2</v>
      </c>
      <c r="K29" s="74">
        <f>$F18</f>
        <v>2000</v>
      </c>
      <c r="L29" s="136">
        <f t="shared" si="1"/>
        <v>34.799999999999997</v>
      </c>
      <c r="M29" s="76"/>
      <c r="N29" s="137">
        <f t="shared" si="2"/>
        <v>6.399999999999995</v>
      </c>
      <c r="O29" s="79">
        <f t="shared" si="3"/>
        <v>0.22535211267605615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>
        <v>4.63</v>
      </c>
      <c r="G30" s="74">
        <v>1</v>
      </c>
      <c r="H30" s="136">
        <f t="shared" si="0"/>
        <v>4.63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-4.63</v>
      </c>
      <c r="O30" s="79">
        <f t="shared" si="3"/>
        <v>-1</v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27</v>
      </c>
      <c r="E31" s="73"/>
      <c r="F31" s="135">
        <v>0</v>
      </c>
      <c r="G31" s="74">
        <f>$F18</f>
        <v>2000</v>
      </c>
      <c r="H31" s="136">
        <f t="shared" si="0"/>
        <v>0</v>
      </c>
      <c r="I31" s="76"/>
      <c r="J31" s="132">
        <v>1E-4</v>
      </c>
      <c r="K31" s="74">
        <f>$F18</f>
        <v>2000</v>
      </c>
      <c r="L31" s="136">
        <f t="shared" si="1"/>
        <v>0.2</v>
      </c>
      <c r="M31" s="76"/>
      <c r="N31" s="137">
        <f t="shared" si="2"/>
        <v>0.2</v>
      </c>
      <c r="O31" s="79" t="str">
        <f t="shared" si="3"/>
        <v/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27</v>
      </c>
      <c r="E32" s="73"/>
      <c r="F32" s="135">
        <v>1.5E-3</v>
      </c>
      <c r="G32" s="74">
        <f>$F18</f>
        <v>2000</v>
      </c>
      <c r="H32" s="136">
        <f t="shared" si="0"/>
        <v>3</v>
      </c>
      <c r="I32" s="76"/>
      <c r="J32" s="132"/>
      <c r="K32" s="74">
        <f>$F18</f>
        <v>2000</v>
      </c>
      <c r="L32" s="136">
        <f t="shared" si="1"/>
        <v>0</v>
      </c>
      <c r="M32" s="76"/>
      <c r="N32" s="137">
        <f t="shared" si="2"/>
        <v>-3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27</v>
      </c>
      <c r="E33" s="73"/>
      <c r="F33" s="135">
        <v>-2.9999999999999997E-4</v>
      </c>
      <c r="G33" s="74">
        <f>$F18</f>
        <v>2000</v>
      </c>
      <c r="H33" s="136">
        <f t="shared" si="0"/>
        <v>-0.6</v>
      </c>
      <c r="I33" s="76"/>
      <c r="J33" s="132"/>
      <c r="K33" s="74">
        <f>$F18</f>
        <v>2000</v>
      </c>
      <c r="L33" s="136">
        <f t="shared" si="1"/>
        <v>0</v>
      </c>
      <c r="M33" s="76"/>
      <c r="N33" s="137">
        <f t="shared" si="2"/>
        <v>0.6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32</v>
      </c>
      <c r="C34" s="73"/>
      <c r="D34" s="7" t="s">
        <v>24</v>
      </c>
      <c r="E34" s="73"/>
      <c r="F34" s="135"/>
      <c r="G34" s="74">
        <v>1</v>
      </c>
      <c r="H34" s="136">
        <f t="shared" si="0"/>
        <v>0</v>
      </c>
      <c r="I34" s="76"/>
      <c r="J34" s="132">
        <v>2.19</v>
      </c>
      <c r="K34" s="74">
        <v>1</v>
      </c>
      <c r="L34" s="136">
        <f t="shared" si="1"/>
        <v>2.19</v>
      </c>
      <c r="M34" s="76"/>
      <c r="N34" s="137">
        <f t="shared" si="2"/>
        <v>2.19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">
        <v>33</v>
      </c>
      <c r="C35" s="73"/>
      <c r="D35" s="7" t="s">
        <v>27</v>
      </c>
      <c r="E35" s="73"/>
      <c r="F35" s="134"/>
      <c r="G35" s="74">
        <f>$F18</f>
        <v>2000</v>
      </c>
      <c r="H35" s="136">
        <f t="shared" si="0"/>
        <v>0</v>
      </c>
      <c r="I35" s="76"/>
      <c r="J35" s="132">
        <v>-1E-4</v>
      </c>
      <c r="K35" s="74">
        <f>$F18</f>
        <v>2000</v>
      </c>
      <c r="L35" s="136">
        <f t="shared" si="1"/>
        <v>-0.2</v>
      </c>
      <c r="M35" s="76"/>
      <c r="N35" s="137">
        <f t="shared" si="2"/>
        <v>-0.2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">
        <v>77</v>
      </c>
      <c r="C36" s="73"/>
      <c r="D36" s="7" t="s">
        <v>27</v>
      </c>
      <c r="E36" s="73"/>
      <c r="F36" s="134"/>
      <c r="G36" s="74">
        <f>$F18</f>
        <v>2000</v>
      </c>
      <c r="H36" s="136">
        <f t="shared" si="0"/>
        <v>0</v>
      </c>
      <c r="I36" s="76"/>
      <c r="J36" s="132">
        <v>2.0000000000000001E-4</v>
      </c>
      <c r="K36" s="74">
        <f>$F18</f>
        <v>2000</v>
      </c>
      <c r="L36" s="136">
        <f t="shared" si="1"/>
        <v>0.4</v>
      </c>
      <c r="M36" s="76"/>
      <c r="N36" s="137">
        <f t="shared" si="2"/>
        <v>0.4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>$F18</f>
        <v>2000</v>
      </c>
      <c r="H37" s="136">
        <f t="shared" si="0"/>
        <v>0</v>
      </c>
      <c r="I37" s="76"/>
      <c r="J37" s="131"/>
      <c r="K37" s="74">
        <f>$F18</f>
        <v>2000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2000</v>
      </c>
      <c r="H38" s="136">
        <f t="shared" si="0"/>
        <v>0</v>
      </c>
      <c r="I38" s="76"/>
      <c r="J38" s="131"/>
      <c r="K38" s="74">
        <f>$F18</f>
        <v>2000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34</v>
      </c>
      <c r="C39" s="20"/>
      <c r="D39" s="20"/>
      <c r="E39" s="20"/>
      <c r="F39" s="21"/>
      <c r="G39" s="22"/>
      <c r="H39" s="23">
        <f>SUM(H23:H38)</f>
        <v>75</v>
      </c>
      <c r="I39" s="13"/>
      <c r="J39" s="14"/>
      <c r="K39" s="24"/>
      <c r="L39" s="23">
        <f>SUM(L23:L38)</f>
        <v>76.789999999999992</v>
      </c>
      <c r="M39" s="13"/>
      <c r="N39" s="15">
        <f t="shared" si="2"/>
        <v>1.789999999999992</v>
      </c>
      <c r="O39" s="16">
        <f t="shared" si="3"/>
        <v>2.386666666666656E-2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35</v>
      </c>
      <c r="C40" s="73"/>
      <c r="D40" s="7" t="s">
        <v>27</v>
      </c>
      <c r="E40" s="73"/>
      <c r="F40" s="135">
        <v>2.9999999999999997E-4</v>
      </c>
      <c r="G40" s="74">
        <f>$F18</f>
        <v>2000</v>
      </c>
      <c r="H40" s="136">
        <f t="shared" ref="H40:H46" si="4">G40*F40</f>
        <v>0.6</v>
      </c>
      <c r="I40" s="76"/>
      <c r="J40" s="135">
        <v>-6.9999999999999999E-4</v>
      </c>
      <c r="K40" s="74">
        <f>$F18</f>
        <v>2000</v>
      </c>
      <c r="L40" s="136">
        <f t="shared" ref="L40:L46" si="5">K40*J40</f>
        <v>-1.4</v>
      </c>
      <c r="M40" s="76"/>
      <c r="N40" s="137">
        <f t="shared" si="2"/>
        <v>-2</v>
      </c>
      <c r="O40" s="79">
        <f t="shared" si="3"/>
        <v>-3.3333333333333335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2000</v>
      </c>
      <c r="H41" s="136">
        <f t="shared" si="4"/>
        <v>0</v>
      </c>
      <c r="I41" s="82"/>
      <c r="J41" s="8"/>
      <c r="K41" s="74">
        <f>$F18</f>
        <v>2000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2000</v>
      </c>
      <c r="H42" s="136">
        <f t="shared" si="4"/>
        <v>0</v>
      </c>
      <c r="I42" s="82"/>
      <c r="J42" s="8"/>
      <c r="K42" s="74">
        <f>$F18</f>
        <v>2000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2000</v>
      </c>
      <c r="H43" s="136">
        <f t="shared" si="4"/>
        <v>0</v>
      </c>
      <c r="I43" s="82"/>
      <c r="J43" s="8"/>
      <c r="K43" s="74">
        <f>$F18</f>
        <v>2000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36</v>
      </c>
      <c r="C44" s="73"/>
      <c r="D44" s="7" t="s">
        <v>27</v>
      </c>
      <c r="E44" s="73"/>
      <c r="F44" s="135">
        <v>2.0000000000000001E-4</v>
      </c>
      <c r="G44" s="74">
        <f>$F18</f>
        <v>2000</v>
      </c>
      <c r="H44" s="136">
        <f t="shared" si="4"/>
        <v>0.4</v>
      </c>
      <c r="I44" s="76"/>
      <c r="J44" s="135">
        <v>2.9999999999999997E-4</v>
      </c>
      <c r="K44" s="74">
        <f>$F18</f>
        <v>2000</v>
      </c>
      <c r="L44" s="136">
        <f t="shared" si="5"/>
        <v>0.6</v>
      </c>
      <c r="M44" s="76"/>
      <c r="N44" s="137">
        <f t="shared" si="2"/>
        <v>0.19999999999999996</v>
      </c>
      <c r="O44" s="79">
        <f t="shared" si="3"/>
        <v>0.49999999999999989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37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8.3919999999999995E-2</v>
      </c>
      <c r="G45" s="18">
        <f>$F18*(1+$F74)-$F18</f>
        <v>75.400000000000091</v>
      </c>
      <c r="H45" s="136">
        <f t="shared" si="4"/>
        <v>6.3275680000000074</v>
      </c>
      <c r="I45" s="76"/>
      <c r="J45" s="138">
        <f>0.64*$F55+0.18*$F56+0.18*$F57</f>
        <v>8.3919999999999995E-2</v>
      </c>
      <c r="K45" s="18">
        <f>$F18*(1+$J74)-$F18</f>
        <v>75.200000000000273</v>
      </c>
      <c r="L45" s="136">
        <f t="shared" si="5"/>
        <v>6.3107840000000222</v>
      </c>
      <c r="M45" s="76"/>
      <c r="N45" s="137">
        <f t="shared" si="2"/>
        <v>-1.6783999999985255E-2</v>
      </c>
      <c r="O45" s="79">
        <f t="shared" si="3"/>
        <v>-2.6525198938968709E-3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38</v>
      </c>
      <c r="C46" s="73"/>
      <c r="D46" s="7" t="s">
        <v>24</v>
      </c>
      <c r="E46" s="73"/>
      <c r="F46" s="138">
        <v>0.79</v>
      </c>
      <c r="G46" s="74">
        <v>1</v>
      </c>
      <c r="H46" s="136">
        <f t="shared" si="4"/>
        <v>0.79</v>
      </c>
      <c r="I46" s="76"/>
      <c r="J46" s="138">
        <v>0.79</v>
      </c>
      <c r="K46" s="81">
        <v>1</v>
      </c>
      <c r="L46" s="136">
        <f t="shared" si="5"/>
        <v>0.79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ht="26.4" x14ac:dyDescent="0.3">
      <c r="A47" s="60"/>
      <c r="B47" s="19" t="s">
        <v>39</v>
      </c>
      <c r="C47" s="20"/>
      <c r="D47" s="20"/>
      <c r="E47" s="20"/>
      <c r="F47" s="21"/>
      <c r="G47" s="22"/>
      <c r="H47" s="23">
        <f>SUM(H40:H46)+H39</f>
        <v>83.117568000000006</v>
      </c>
      <c r="I47" s="13"/>
      <c r="J47" s="22"/>
      <c r="K47" s="24"/>
      <c r="L47" s="23">
        <f>SUM(L40:L46)+L39</f>
        <v>83.090784000000014</v>
      </c>
      <c r="M47" s="13"/>
      <c r="N47" s="15">
        <f t="shared" si="2"/>
        <v>-2.6783999999992147E-2</v>
      </c>
      <c r="O47" s="16">
        <f t="shared" ref="O47:O59" si="6">IF((H47)=0,"",(N47/H47))</f>
        <v>-3.22242344722985E-4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40</v>
      </c>
      <c r="C48" s="76"/>
      <c r="D48" s="25" t="s">
        <v>27</v>
      </c>
      <c r="E48" s="76"/>
      <c r="F48" s="135">
        <v>7.4000000000000003E-3</v>
      </c>
      <c r="G48" s="18">
        <f>F18*(1+F74)</f>
        <v>2075.4</v>
      </c>
      <c r="H48" s="136">
        <f>G48*F48</f>
        <v>15.357960000000002</v>
      </c>
      <c r="I48" s="76"/>
      <c r="J48" s="135">
        <v>7.0000000000000001E-3</v>
      </c>
      <c r="K48" s="18">
        <f>F18*(1+J74)</f>
        <v>2075.2000000000003</v>
      </c>
      <c r="L48" s="136">
        <f>K48*J48</f>
        <v>14.526400000000002</v>
      </c>
      <c r="M48" s="76"/>
      <c r="N48" s="136">
        <f t="shared" si="2"/>
        <v>-0.83155999999999963</v>
      </c>
      <c r="O48" s="79">
        <f t="shared" si="6"/>
        <v>-5.4145211994301293E-2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41</v>
      </c>
      <c r="C49" s="76"/>
      <c r="D49" s="25" t="s">
        <v>27</v>
      </c>
      <c r="E49" s="76"/>
      <c r="F49" s="135">
        <v>5.0000000000000001E-3</v>
      </c>
      <c r="G49" s="18">
        <f>G48</f>
        <v>2075.4</v>
      </c>
      <c r="H49" s="136">
        <f>G49*F49</f>
        <v>10.377000000000001</v>
      </c>
      <c r="I49" s="76"/>
      <c r="J49" s="135">
        <v>3.5000000000000001E-3</v>
      </c>
      <c r="K49" s="18">
        <f>K48</f>
        <v>2075.2000000000003</v>
      </c>
      <c r="L49" s="136">
        <f>K49*J49</f>
        <v>7.2632000000000012</v>
      </c>
      <c r="M49" s="76"/>
      <c r="N49" s="136">
        <f t="shared" si="2"/>
        <v>-3.1137999999999995</v>
      </c>
      <c r="O49" s="79">
        <f t="shared" si="6"/>
        <v>-0.3000674568757829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42</v>
      </c>
      <c r="C50" s="20"/>
      <c r="D50" s="20"/>
      <c r="E50" s="20"/>
      <c r="F50" s="21"/>
      <c r="G50" s="22"/>
      <c r="H50" s="23">
        <f>SUM(H47:H49)</f>
        <v>108.85252800000001</v>
      </c>
      <c r="I50" s="13"/>
      <c r="J50" s="26"/>
      <c r="K50" s="22"/>
      <c r="L50" s="23">
        <f>SUM(L47:L49)</f>
        <v>104.88038400000001</v>
      </c>
      <c r="M50" s="13"/>
      <c r="N50" s="15">
        <f t="shared" si="2"/>
        <v>-3.9721440000000001</v>
      </c>
      <c r="O50" s="16">
        <f t="shared" si="6"/>
        <v>-3.649105880205189E-2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43</v>
      </c>
      <c r="C51" s="73"/>
      <c r="D51" s="7" t="s">
        <v>27</v>
      </c>
      <c r="E51" s="73"/>
      <c r="F51" s="135">
        <v>4.4000000000000003E-3</v>
      </c>
      <c r="G51" s="18">
        <f>G49</f>
        <v>2075.4</v>
      </c>
      <c r="H51" s="139">
        <f t="shared" ref="H51:H59" si="7">G51*F51</f>
        <v>9.1317600000000017</v>
      </c>
      <c r="I51" s="76"/>
      <c r="J51" s="135">
        <f>+F51</f>
        <v>4.4000000000000003E-3</v>
      </c>
      <c r="K51" s="18">
        <f>K49</f>
        <v>2075.2000000000003</v>
      </c>
      <c r="L51" s="139">
        <f t="shared" ref="L51:L59" si="8">K51*J51</f>
        <v>9.1308800000000012</v>
      </c>
      <c r="M51" s="76"/>
      <c r="N51" s="137">
        <f t="shared" si="2"/>
        <v>-8.8000000000043599E-4</v>
      </c>
      <c r="O51" s="87">
        <f t="shared" si="6"/>
        <v>-9.6366965404307147E-5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44</v>
      </c>
      <c r="C52" s="73"/>
      <c r="D52" s="7" t="s">
        <v>27</v>
      </c>
      <c r="E52" s="73"/>
      <c r="F52" s="135">
        <v>1.1999999999999999E-3</v>
      </c>
      <c r="G52" s="18">
        <f>G49</f>
        <v>2075.4</v>
      </c>
      <c r="H52" s="139">
        <f t="shared" si="7"/>
        <v>2.4904799999999998</v>
      </c>
      <c r="I52" s="76"/>
      <c r="J52" s="135">
        <f>+F52</f>
        <v>1.1999999999999999E-3</v>
      </c>
      <c r="K52" s="18">
        <f>K49</f>
        <v>2075.2000000000003</v>
      </c>
      <c r="L52" s="139">
        <f t="shared" si="8"/>
        <v>2.49024</v>
      </c>
      <c r="M52" s="76"/>
      <c r="N52" s="137">
        <f t="shared" si="2"/>
        <v>-2.3999999999979593E-4</v>
      </c>
      <c r="O52" s="87">
        <f t="shared" si="6"/>
        <v>-9.636696540417749E-5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45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46</v>
      </c>
      <c r="C54" s="73"/>
      <c r="D54" s="7" t="s">
        <v>27</v>
      </c>
      <c r="E54" s="73"/>
      <c r="F54" s="135">
        <v>7.0000000000000001E-3</v>
      </c>
      <c r="G54" s="84">
        <f>F18</f>
        <v>2000</v>
      </c>
      <c r="H54" s="139">
        <f t="shared" si="7"/>
        <v>14</v>
      </c>
      <c r="I54" s="76"/>
      <c r="J54" s="135">
        <f>+F54</f>
        <v>7.0000000000000001E-3</v>
      </c>
      <c r="K54" s="77">
        <f>F18</f>
        <v>2000</v>
      </c>
      <c r="L54" s="139">
        <f t="shared" si="8"/>
        <v>14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47</v>
      </c>
      <c r="C55" s="73"/>
      <c r="D55" s="7" t="s">
        <v>27</v>
      </c>
      <c r="E55" s="73"/>
      <c r="F55" s="138">
        <v>6.7000000000000004E-2</v>
      </c>
      <c r="G55" s="27">
        <f>0.64*$F18</f>
        <v>1280</v>
      </c>
      <c r="H55" s="139">
        <f t="shared" si="7"/>
        <v>85.76</v>
      </c>
      <c r="I55" s="76"/>
      <c r="J55" s="138">
        <v>6.7000000000000004E-2</v>
      </c>
      <c r="K55" s="28">
        <f>G55</f>
        <v>1280</v>
      </c>
      <c r="L55" s="139">
        <f t="shared" si="8"/>
        <v>85.76</v>
      </c>
      <c r="M55" s="76"/>
      <c r="N55" s="137">
        <f t="shared" si="2"/>
        <v>0</v>
      </c>
      <c r="O55" s="87">
        <f t="shared" si="6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48</v>
      </c>
      <c r="C56" s="73"/>
      <c r="D56" s="7" t="s">
        <v>27</v>
      </c>
      <c r="E56" s="73"/>
      <c r="F56" s="138">
        <v>0.104</v>
      </c>
      <c r="G56" s="27">
        <f>0.18*$F18</f>
        <v>360</v>
      </c>
      <c r="H56" s="139">
        <f t="shared" si="7"/>
        <v>37.44</v>
      </c>
      <c r="I56" s="76"/>
      <c r="J56" s="138">
        <v>0.104</v>
      </c>
      <c r="K56" s="28">
        <f>G56</f>
        <v>360</v>
      </c>
      <c r="L56" s="139">
        <f t="shared" si="8"/>
        <v>37.44</v>
      </c>
      <c r="M56" s="76"/>
      <c r="N56" s="137">
        <f t="shared" si="2"/>
        <v>0</v>
      </c>
      <c r="O56" s="87">
        <f t="shared" si="6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49</v>
      </c>
      <c r="C57" s="73"/>
      <c r="D57" s="7" t="s">
        <v>27</v>
      </c>
      <c r="E57" s="73"/>
      <c r="F57" s="138">
        <v>0.124</v>
      </c>
      <c r="G57" s="27">
        <f>0.18*$F18</f>
        <v>360</v>
      </c>
      <c r="H57" s="139">
        <f t="shared" si="7"/>
        <v>44.64</v>
      </c>
      <c r="I57" s="76"/>
      <c r="J57" s="138">
        <v>0.124</v>
      </c>
      <c r="K57" s="28">
        <f>G57</f>
        <v>360</v>
      </c>
      <c r="L57" s="139">
        <f t="shared" si="8"/>
        <v>44.64</v>
      </c>
      <c r="M57" s="76"/>
      <c r="N57" s="137">
        <f t="shared" si="2"/>
        <v>0</v>
      </c>
      <c r="O57" s="87">
        <f t="shared" si="6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50</v>
      </c>
      <c r="C58" s="90"/>
      <c r="D58" s="29" t="s">
        <v>27</v>
      </c>
      <c r="E58" s="90"/>
      <c r="F58" s="138">
        <v>7.4999999999999997E-2</v>
      </c>
      <c r="G58" s="30">
        <f>IF(AND($T$1=1, F18&gt;=750), 750, IF(AND($T$1=1, AND(F18&lt;750, F18&gt;=0)), F18, IF(AND($T$1=2, F18&gt;=750), 750, IF(AND($T$1=2, AND(F18&lt;750, F18&gt;=0)), F18))))</f>
        <v>750</v>
      </c>
      <c r="H58" s="139">
        <f t="shared" si="7"/>
        <v>56.25</v>
      </c>
      <c r="I58" s="91"/>
      <c r="J58" s="138">
        <v>7.4999999999999997E-2</v>
      </c>
      <c r="K58" s="31">
        <f>G58</f>
        <v>750</v>
      </c>
      <c r="L58" s="139">
        <f t="shared" si="8"/>
        <v>56.25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51</v>
      </c>
      <c r="C59" s="90"/>
      <c r="D59" s="29" t="s">
        <v>27</v>
      </c>
      <c r="E59" s="90"/>
      <c r="F59" s="138">
        <v>8.7999999999999995E-2</v>
      </c>
      <c r="G59" s="30">
        <f>IF(AND($T$1=1, F18&gt;=750), F18-750, IF(AND($T$1=1, AND(F18&lt;750, F18&gt;=0)), 0, IF(AND($T$1=2, F18&gt;=750), F18-750, IF(AND($T$1=2, AND(F18&lt;750, F18&gt;=0)), 0))))</f>
        <v>1250</v>
      </c>
      <c r="H59" s="139">
        <f t="shared" si="7"/>
        <v>110</v>
      </c>
      <c r="I59" s="91"/>
      <c r="J59" s="138">
        <v>8.7999999999999995E-2</v>
      </c>
      <c r="K59" s="31">
        <f>G59</f>
        <v>1250</v>
      </c>
      <c r="L59" s="139">
        <f t="shared" si="8"/>
        <v>110</v>
      </c>
      <c r="M59" s="91"/>
      <c r="N59" s="140">
        <f t="shared" si="2"/>
        <v>0</v>
      </c>
      <c r="O59" s="87">
        <f t="shared" si="6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52</v>
      </c>
      <c r="C61" s="73"/>
      <c r="D61" s="73"/>
      <c r="E61" s="73"/>
      <c r="F61" s="94"/>
      <c r="G61" s="95"/>
      <c r="H61" s="141">
        <f>SUM(H51:H57,H50)</f>
        <v>302.56476800000002</v>
      </c>
      <c r="I61" s="96"/>
      <c r="J61" s="97"/>
      <c r="K61" s="97"/>
      <c r="L61" s="144">
        <f>SUM(L51:L57,L50)</f>
        <v>298.59150399999999</v>
      </c>
      <c r="M61" s="145"/>
      <c r="N61" s="146">
        <f>L61-H61</f>
        <v>-3.9732640000000288</v>
      </c>
      <c r="O61" s="98">
        <f>IF((H61)=0,"",(N61/H61))</f>
        <v>-1.3131945355911461E-2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53</v>
      </c>
      <c r="C62" s="73"/>
      <c r="D62" s="73"/>
      <c r="E62" s="73"/>
      <c r="F62" s="100">
        <v>0.13</v>
      </c>
      <c r="G62" s="101"/>
      <c r="H62" s="142">
        <f>H61*F62</f>
        <v>39.333419840000005</v>
      </c>
      <c r="I62" s="102"/>
      <c r="J62" s="103">
        <v>0.13</v>
      </c>
      <c r="K62" s="102"/>
      <c r="L62" s="147">
        <f>L61*J62</f>
        <v>38.816895520000003</v>
      </c>
      <c r="M62" s="148"/>
      <c r="N62" s="149">
        <f>L62-H62</f>
        <v>-0.51652432000000204</v>
      </c>
      <c r="O62" s="104">
        <f>IF((H62)=0,"",(N62/H62))</f>
        <v>-1.3131945355911416E-2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54</v>
      </c>
      <c r="C63" s="73"/>
      <c r="D63" s="73"/>
      <c r="E63" s="73"/>
      <c r="F63" s="106"/>
      <c r="G63" s="101"/>
      <c r="H63" s="142">
        <f>H61+H62</f>
        <v>341.89818783999999</v>
      </c>
      <c r="I63" s="102"/>
      <c r="J63" s="102"/>
      <c r="K63" s="102"/>
      <c r="L63" s="147">
        <f>L61+L62</f>
        <v>337.40839951999999</v>
      </c>
      <c r="M63" s="148"/>
      <c r="N63" s="149">
        <f>L63-H63</f>
        <v>-4.4897883200000024</v>
      </c>
      <c r="O63" s="104">
        <f>IF((H63)=0,"",(N63/H63))</f>
        <v>-1.3131945355911374E-2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55</v>
      </c>
      <c r="C64" s="172"/>
      <c r="D64" s="172"/>
      <c r="E64" s="73"/>
      <c r="F64" s="106"/>
      <c r="G64" s="101"/>
      <c r="H64" s="143">
        <f>ROUND(-H63*10%,2)</f>
        <v>-34.19</v>
      </c>
      <c r="I64" s="102"/>
      <c r="J64" s="102"/>
      <c r="K64" s="102"/>
      <c r="L64" s="150">
        <f>ROUND(-L63*10%,2)</f>
        <v>-33.74</v>
      </c>
      <c r="M64" s="148"/>
      <c r="N64" s="151">
        <f>L64-H64</f>
        <v>0.44999999999999574</v>
      </c>
      <c r="O64" s="107">
        <f>IF((H64)=0,"",(N64/H64))</f>
        <v>-1.316174319976589E-2</v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56</v>
      </c>
      <c r="C65" s="173"/>
      <c r="D65" s="173"/>
      <c r="E65" s="42"/>
      <c r="F65" s="43"/>
      <c r="G65" s="44"/>
      <c r="H65" s="45">
        <f>H63+H64</f>
        <v>307.70818783999999</v>
      </c>
      <c r="I65" s="46"/>
      <c r="J65" s="46"/>
      <c r="K65" s="46"/>
      <c r="L65" s="47">
        <f>L63+L64</f>
        <v>303.66839951999998</v>
      </c>
      <c r="M65" s="48"/>
      <c r="N65" s="49">
        <f>L65-H65</f>
        <v>-4.0397883200000138</v>
      </c>
      <c r="O65" s="50">
        <f>IF((H65)=0,"",(N65/H65))</f>
        <v>-1.3128634464873569E-2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57</v>
      </c>
      <c r="C67" s="90"/>
      <c r="D67" s="90"/>
      <c r="E67" s="90"/>
      <c r="F67" s="109"/>
      <c r="G67" s="110"/>
      <c r="H67" s="152">
        <f>SUM(H58:H59,H50,H51:H54)</f>
        <v>300.97476799999998</v>
      </c>
      <c r="I67" s="111"/>
      <c r="J67" s="112"/>
      <c r="K67" s="112"/>
      <c r="L67" s="155">
        <f>SUM(L58:L59,L50,L51:L54)</f>
        <v>297.00150399999995</v>
      </c>
      <c r="M67" s="156"/>
      <c r="N67" s="157">
        <f>L67-H67</f>
        <v>-3.9732640000000288</v>
      </c>
      <c r="O67" s="98">
        <f>IF((H67)=0,"",(N67/H67))</f>
        <v>-1.3201319254775632E-2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53</v>
      </c>
      <c r="C68" s="90"/>
      <c r="D68" s="90"/>
      <c r="E68" s="90"/>
      <c r="F68" s="114">
        <v>0.13</v>
      </c>
      <c r="G68" s="110"/>
      <c r="H68" s="153">
        <f>H67*F68</f>
        <v>39.12671984</v>
      </c>
      <c r="I68" s="115"/>
      <c r="J68" s="116">
        <v>0.13</v>
      </c>
      <c r="K68" s="117"/>
      <c r="L68" s="158">
        <f>L67*J68</f>
        <v>38.610195519999998</v>
      </c>
      <c r="M68" s="159"/>
      <c r="N68" s="160">
        <f>L68-H68</f>
        <v>-0.51652432000000204</v>
      </c>
      <c r="O68" s="104">
        <f>IF((H68)=0,"",(N68/H68))</f>
        <v>-1.3201319254775589E-2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54</v>
      </c>
      <c r="C69" s="90"/>
      <c r="D69" s="90"/>
      <c r="E69" s="90"/>
      <c r="F69" s="119"/>
      <c r="G69" s="120"/>
      <c r="H69" s="153">
        <f>H67+H68</f>
        <v>340.10148784</v>
      </c>
      <c r="I69" s="115"/>
      <c r="J69" s="115"/>
      <c r="K69" s="115"/>
      <c r="L69" s="158">
        <f>L67+L68</f>
        <v>335.61169951999995</v>
      </c>
      <c r="M69" s="159"/>
      <c r="N69" s="160">
        <f>L69-H69</f>
        <v>-4.4897883200000592</v>
      </c>
      <c r="O69" s="104">
        <f>IF((H69)=0,"",(N69/H69))</f>
        <v>-1.320131925477571E-2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55</v>
      </c>
      <c r="C70" s="174"/>
      <c r="D70" s="174"/>
      <c r="E70" s="90"/>
      <c r="F70" s="119"/>
      <c r="G70" s="120"/>
      <c r="H70" s="154">
        <f>ROUND(-H69*10%,2)</f>
        <v>-34.01</v>
      </c>
      <c r="I70" s="115"/>
      <c r="J70" s="115"/>
      <c r="K70" s="115"/>
      <c r="L70" s="161">
        <f>ROUND(-L69*10%,2)</f>
        <v>-33.56</v>
      </c>
      <c r="M70" s="159"/>
      <c r="N70" s="162">
        <f>L70-H70</f>
        <v>0.44999999999999574</v>
      </c>
      <c r="O70" s="107">
        <f>IF((H70)=0,"",(N70/H70))</f>
        <v>-1.3231402528667915E-2</v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58</v>
      </c>
      <c r="C71" s="173"/>
      <c r="D71" s="173"/>
      <c r="E71" s="42"/>
      <c r="F71" s="43"/>
      <c r="G71" s="44"/>
      <c r="H71" s="45">
        <f>SUM(H69:H70)</f>
        <v>306.09148784000001</v>
      </c>
      <c r="I71" s="46"/>
      <c r="J71" s="46"/>
      <c r="K71" s="46"/>
      <c r="L71" s="47">
        <f>SUM(L69:L70)</f>
        <v>302.05169951999994</v>
      </c>
      <c r="M71" s="48"/>
      <c r="N71" s="49">
        <f>L71-H71</f>
        <v>-4.0397883200000706</v>
      </c>
      <c r="O71" s="50">
        <f>IF((H71)=0,"",(N71/H71))</f>
        <v>-1.3197976685035249E-2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59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60</v>
      </c>
    </row>
    <row r="79" spans="1:63" x14ac:dyDescent="0.3">
      <c r="A79" s="60" t="s">
        <v>61</v>
      </c>
    </row>
    <row r="80" spans="1:63" x14ac:dyDescent="0.3">
      <c r="A80" s="60" t="s">
        <v>62</v>
      </c>
    </row>
    <row r="82" spans="1:29" x14ac:dyDescent="0.3">
      <c r="B82" s="60" t="s">
        <v>63</v>
      </c>
    </row>
    <row r="83" spans="1:29" x14ac:dyDescent="0.3">
      <c r="A83" s="64"/>
    </row>
    <row r="84" spans="1:29" ht="18.75" customHeight="1" x14ac:dyDescent="0.3">
      <c r="B84" s="175" t="s">
        <v>6</v>
      </c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56"/>
    </row>
    <row r="85" spans="1:29" ht="19.2" customHeight="1" x14ac:dyDescent="0.3">
      <c r="B85" s="175" t="s">
        <v>7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1:29" ht="7.5" customHeight="1" x14ac:dyDescent="0.3">
      <c r="L86" s="56"/>
      <c r="M86" s="56"/>
      <c r="N86" s="56"/>
      <c r="O86" s="56"/>
      <c r="P86" s="56"/>
    </row>
    <row r="87" spans="1:29" ht="7.5" customHeight="1" x14ac:dyDescent="0.3">
      <c r="L87" s="56"/>
      <c r="M87" s="56"/>
      <c r="N87" s="56"/>
      <c r="O87" s="56"/>
      <c r="P87" s="56"/>
    </row>
    <row r="88" spans="1:29" ht="15.6" x14ac:dyDescent="0.3">
      <c r="B88" s="61" t="s">
        <v>8</v>
      </c>
      <c r="D88" s="185" t="s">
        <v>66</v>
      </c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</row>
    <row r="89" spans="1:29" ht="7.5" customHeight="1" x14ac:dyDescent="0.3">
      <c r="B89" s="62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</row>
    <row r="90" spans="1:29" ht="15.6" x14ac:dyDescent="0.3">
      <c r="B90" s="61" t="s">
        <v>9</v>
      </c>
      <c r="D90" s="5" t="s">
        <v>10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1:29" ht="15.6" x14ac:dyDescent="0.3">
      <c r="B91" s="62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1:29" ht="15" customHeight="1" x14ac:dyDescent="0.3">
      <c r="B92" s="64"/>
      <c r="D92" s="65" t="s">
        <v>11</v>
      </c>
      <c r="E92" s="65"/>
      <c r="F92" s="6">
        <v>1000</v>
      </c>
      <c r="G92" s="65" t="s">
        <v>12</v>
      </c>
    </row>
    <row r="93" spans="1:29" x14ac:dyDescent="0.3">
      <c r="B93" s="64"/>
      <c r="G93" s="65"/>
    </row>
    <row r="94" spans="1:29" x14ac:dyDescent="0.3">
      <c r="B94" s="64"/>
      <c r="D94" s="66"/>
      <c r="E94" s="66"/>
      <c r="F94" s="176" t="s">
        <v>13</v>
      </c>
      <c r="G94" s="177"/>
      <c r="H94" s="178"/>
      <c r="J94" s="176" t="s">
        <v>14</v>
      </c>
      <c r="K94" s="177"/>
      <c r="L94" s="178"/>
      <c r="N94" s="176" t="s">
        <v>15</v>
      </c>
      <c r="O94" s="178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</row>
    <row r="95" spans="1:29" x14ac:dyDescent="0.3">
      <c r="B95" s="64"/>
      <c r="D95" s="179" t="s">
        <v>16</v>
      </c>
      <c r="E95" s="67"/>
      <c r="F95" s="68" t="s">
        <v>17</v>
      </c>
      <c r="G95" s="68" t="s">
        <v>18</v>
      </c>
      <c r="H95" s="69" t="s">
        <v>19</v>
      </c>
      <c r="J95" s="68" t="s">
        <v>17</v>
      </c>
      <c r="K95" s="70" t="s">
        <v>18</v>
      </c>
      <c r="L95" s="69" t="s">
        <v>19</v>
      </c>
      <c r="N95" s="181" t="s">
        <v>20</v>
      </c>
      <c r="O95" s="183" t="s">
        <v>21</v>
      </c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1:29" x14ac:dyDescent="0.3">
      <c r="B96" s="64"/>
      <c r="D96" s="180"/>
      <c r="E96" s="67"/>
      <c r="F96" s="71" t="s">
        <v>22</v>
      </c>
      <c r="G96" s="71"/>
      <c r="H96" s="72" t="s">
        <v>22</v>
      </c>
      <c r="J96" s="71" t="s">
        <v>22</v>
      </c>
      <c r="K96" s="72"/>
      <c r="L96" s="72" t="s">
        <v>22</v>
      </c>
      <c r="N96" s="182"/>
      <c r="O96" s="184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73" t="s">
        <v>23</v>
      </c>
      <c r="C97" s="73"/>
      <c r="D97" s="7" t="s">
        <v>24</v>
      </c>
      <c r="E97" s="73"/>
      <c r="F97" s="129">
        <v>32.24</v>
      </c>
      <c r="G97" s="74">
        <v>1</v>
      </c>
      <c r="H97" s="75">
        <f t="shared" ref="H97:H112" si="9">G97*F97</f>
        <v>32.24</v>
      </c>
      <c r="I97" s="76"/>
      <c r="J97" s="129">
        <v>39.4</v>
      </c>
      <c r="K97" s="77">
        <v>1</v>
      </c>
      <c r="L97" s="75">
        <f t="shared" ref="L97:L112" si="10">K97*J97</f>
        <v>39.4</v>
      </c>
      <c r="M97" s="76"/>
      <c r="N97" s="78">
        <f t="shared" ref="N97:N133" si="11">L97-H97</f>
        <v>7.1599999999999966</v>
      </c>
      <c r="O97" s="79">
        <f t="shared" ref="O97:O119" si="12">IF((H97)=0,"",(N97/H97))</f>
        <v>0.22208436724565744</v>
      </c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25</v>
      </c>
      <c r="C98" s="73"/>
      <c r="D98" s="7" t="s">
        <v>24</v>
      </c>
      <c r="E98" s="73"/>
      <c r="F98" s="133">
        <v>7.33</v>
      </c>
      <c r="G98" s="74">
        <v>1</v>
      </c>
      <c r="H98" s="136">
        <f t="shared" si="9"/>
        <v>7.33</v>
      </c>
      <c r="I98" s="76"/>
      <c r="J98" s="130"/>
      <c r="K98" s="77">
        <v>1</v>
      </c>
      <c r="L98" s="136">
        <f t="shared" si="10"/>
        <v>0</v>
      </c>
      <c r="M98" s="76"/>
      <c r="N98" s="137">
        <f t="shared" si="11"/>
        <v>-7.33</v>
      </c>
      <c r="O98" s="79">
        <f t="shared" si="12"/>
        <v>-1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9"/>
      <c r="C99" s="73"/>
      <c r="D99" s="7"/>
      <c r="E99" s="73"/>
      <c r="F99" s="134"/>
      <c r="G99" s="74">
        <v>1</v>
      </c>
      <c r="H99" s="136">
        <f t="shared" si="9"/>
        <v>0</v>
      </c>
      <c r="I99" s="76"/>
      <c r="J99" s="131"/>
      <c r="K99" s="77">
        <v>1</v>
      </c>
      <c r="L99" s="136">
        <f t="shared" si="10"/>
        <v>0</v>
      </c>
      <c r="M99" s="76"/>
      <c r="N99" s="137">
        <f t="shared" si="11"/>
        <v>0</v>
      </c>
      <c r="O99" s="79" t="str">
        <f t="shared" si="12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10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73" t="s">
        <v>26</v>
      </c>
      <c r="C103" s="73"/>
      <c r="D103" s="7" t="s">
        <v>27</v>
      </c>
      <c r="E103" s="73"/>
      <c r="F103" s="135">
        <v>1.4200000000000001E-2</v>
      </c>
      <c r="G103" s="74">
        <f>$F92</f>
        <v>1000</v>
      </c>
      <c r="H103" s="136">
        <f t="shared" si="9"/>
        <v>14.200000000000001</v>
      </c>
      <c r="I103" s="76"/>
      <c r="J103" s="132">
        <v>1.7399999999999999E-2</v>
      </c>
      <c r="K103" s="74">
        <f>$F92</f>
        <v>1000</v>
      </c>
      <c r="L103" s="136">
        <f t="shared" si="10"/>
        <v>17.399999999999999</v>
      </c>
      <c r="M103" s="76"/>
      <c r="N103" s="137">
        <f t="shared" si="11"/>
        <v>3.1999999999999975</v>
      </c>
      <c r="O103" s="79">
        <f t="shared" si="12"/>
        <v>0.22535211267605615</v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28</v>
      </c>
      <c r="C104" s="73"/>
      <c r="D104" s="7" t="s">
        <v>24</v>
      </c>
      <c r="E104" s="73"/>
      <c r="F104" s="135">
        <v>4.63</v>
      </c>
      <c r="G104" s="74">
        <v>1</v>
      </c>
      <c r="H104" s="136">
        <f t="shared" si="9"/>
        <v>4.63</v>
      </c>
      <c r="I104" s="76"/>
      <c r="J104" s="132"/>
      <c r="K104" s="74">
        <v>1</v>
      </c>
      <c r="L104" s="136">
        <f t="shared" si="10"/>
        <v>0</v>
      </c>
      <c r="M104" s="76"/>
      <c r="N104" s="137">
        <f t="shared" si="11"/>
        <v>-4.63</v>
      </c>
      <c r="O104" s="79">
        <f t="shared" si="12"/>
        <v>-1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29</v>
      </c>
      <c r="C105" s="73"/>
      <c r="D105" s="7" t="s">
        <v>27</v>
      </c>
      <c r="E105" s="73"/>
      <c r="F105" s="135">
        <v>0</v>
      </c>
      <c r="G105" s="74">
        <f>$F92</f>
        <v>1000</v>
      </c>
      <c r="H105" s="136">
        <f t="shared" si="9"/>
        <v>0</v>
      </c>
      <c r="I105" s="76"/>
      <c r="J105" s="132">
        <v>1E-4</v>
      </c>
      <c r="K105" s="74">
        <f>$F92</f>
        <v>1000</v>
      </c>
      <c r="L105" s="136">
        <f t="shared" si="10"/>
        <v>0.1</v>
      </c>
      <c r="M105" s="76"/>
      <c r="N105" s="137">
        <f t="shared" si="11"/>
        <v>0.1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11" t="s">
        <v>30</v>
      </c>
      <c r="C106" s="73"/>
      <c r="D106" s="7" t="s">
        <v>27</v>
      </c>
      <c r="E106" s="73"/>
      <c r="F106" s="135">
        <v>1.5E-3</v>
      </c>
      <c r="G106" s="74">
        <f>$F92</f>
        <v>1000</v>
      </c>
      <c r="H106" s="136">
        <f t="shared" si="9"/>
        <v>1.5</v>
      </c>
      <c r="I106" s="76"/>
      <c r="J106" s="132"/>
      <c r="K106" s="74">
        <f>$F92</f>
        <v>1000</v>
      </c>
      <c r="L106" s="136">
        <f t="shared" si="10"/>
        <v>0</v>
      </c>
      <c r="M106" s="76"/>
      <c r="N106" s="137">
        <f t="shared" si="11"/>
        <v>-1.5</v>
      </c>
      <c r="O106" s="79">
        <f t="shared" si="12"/>
        <v>-1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31</v>
      </c>
      <c r="C107" s="73"/>
      <c r="D107" s="7" t="s">
        <v>27</v>
      </c>
      <c r="E107" s="73"/>
      <c r="F107" s="135">
        <v>-2.9999999999999997E-4</v>
      </c>
      <c r="G107" s="74">
        <f>$F92</f>
        <v>1000</v>
      </c>
      <c r="H107" s="136">
        <f t="shared" si="9"/>
        <v>-0.3</v>
      </c>
      <c r="I107" s="76"/>
      <c r="J107" s="132"/>
      <c r="K107" s="74">
        <f>$F92</f>
        <v>1000</v>
      </c>
      <c r="L107" s="136">
        <f t="shared" si="10"/>
        <v>0</v>
      </c>
      <c r="M107" s="76"/>
      <c r="N107" s="137">
        <f t="shared" si="11"/>
        <v>0.3</v>
      </c>
      <c r="O107" s="79">
        <f t="shared" si="12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32</v>
      </c>
      <c r="C108" s="73"/>
      <c r="D108" s="7" t="s">
        <v>24</v>
      </c>
      <c r="E108" s="73"/>
      <c r="F108" s="135"/>
      <c r="G108" s="74">
        <v>1</v>
      </c>
      <c r="H108" s="136">
        <f t="shared" si="9"/>
        <v>0</v>
      </c>
      <c r="I108" s="76"/>
      <c r="J108" s="132">
        <v>2.19</v>
      </c>
      <c r="K108" s="74">
        <v>1</v>
      </c>
      <c r="L108" s="136">
        <f t="shared" si="10"/>
        <v>2.19</v>
      </c>
      <c r="M108" s="76"/>
      <c r="N108" s="137">
        <f t="shared" si="11"/>
        <v>2.19</v>
      </c>
      <c r="O108" s="79" t="str">
        <f t="shared" si="12"/>
        <v/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2" t="s">
        <v>33</v>
      </c>
      <c r="C109" s="73"/>
      <c r="D109" s="7" t="s">
        <v>27</v>
      </c>
      <c r="E109" s="73"/>
      <c r="F109" s="134"/>
      <c r="G109" s="74">
        <f>$F92</f>
        <v>1000</v>
      </c>
      <c r="H109" s="136">
        <f t="shared" si="9"/>
        <v>0</v>
      </c>
      <c r="I109" s="76"/>
      <c r="J109" s="132">
        <v>-1E-4</v>
      </c>
      <c r="K109" s="74">
        <f>$F92</f>
        <v>1000</v>
      </c>
      <c r="L109" s="136">
        <f t="shared" si="10"/>
        <v>-0.1</v>
      </c>
      <c r="M109" s="76"/>
      <c r="N109" s="137">
        <f t="shared" si="11"/>
        <v>-0.1</v>
      </c>
      <c r="O109" s="79" t="str">
        <f t="shared" si="12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">
        <v>77</v>
      </c>
      <c r="C110" s="73"/>
      <c r="D110" s="7" t="s">
        <v>27</v>
      </c>
      <c r="E110" s="73"/>
      <c r="F110" s="134"/>
      <c r="G110" s="74">
        <f>$F92</f>
        <v>1000</v>
      </c>
      <c r="H110" s="136">
        <f t="shared" si="9"/>
        <v>0</v>
      </c>
      <c r="I110" s="76"/>
      <c r="J110" s="132">
        <v>2.0000000000000001E-4</v>
      </c>
      <c r="K110" s="74">
        <f>$F92</f>
        <v>1000</v>
      </c>
      <c r="L110" s="136">
        <f t="shared" si="10"/>
        <v>0.2</v>
      </c>
      <c r="M110" s="76"/>
      <c r="N110" s="137">
        <f t="shared" si="11"/>
        <v>0.2</v>
      </c>
      <c r="O110" s="79" t="str">
        <f t="shared" si="12"/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/>
      <c r="C111" s="73"/>
      <c r="D111" s="7"/>
      <c r="E111" s="73"/>
      <c r="F111" s="131"/>
      <c r="G111" s="74">
        <f>$F92</f>
        <v>1000</v>
      </c>
      <c r="H111" s="136">
        <f t="shared" si="9"/>
        <v>0</v>
      </c>
      <c r="I111" s="76"/>
      <c r="J111" s="131"/>
      <c r="K111" s="74">
        <f>$F92</f>
        <v>1000</v>
      </c>
      <c r="L111" s="136">
        <f t="shared" si="10"/>
        <v>0</v>
      </c>
      <c r="M111" s="76"/>
      <c r="N111" s="137">
        <f t="shared" si="11"/>
        <v>0</v>
      </c>
      <c r="O111" s="79" t="str">
        <f t="shared" si="12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/>
      <c r="C112" s="73"/>
      <c r="D112" s="7"/>
      <c r="E112" s="73"/>
      <c r="F112" s="131"/>
      <c r="G112" s="74">
        <f>$F92</f>
        <v>1000</v>
      </c>
      <c r="H112" s="136">
        <f t="shared" si="9"/>
        <v>0</v>
      </c>
      <c r="I112" s="76"/>
      <c r="J112" s="131"/>
      <c r="K112" s="74">
        <f>$F92</f>
        <v>1000</v>
      </c>
      <c r="L112" s="136">
        <f t="shared" si="10"/>
        <v>0</v>
      </c>
      <c r="M112" s="76"/>
      <c r="N112" s="137">
        <f t="shared" si="11"/>
        <v>0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s="4" customFormat="1" x14ac:dyDescent="0.3">
      <c r="A113" s="60"/>
      <c r="B113" s="19" t="s">
        <v>34</v>
      </c>
      <c r="C113" s="20"/>
      <c r="D113" s="20"/>
      <c r="E113" s="20"/>
      <c r="F113" s="21"/>
      <c r="G113" s="22"/>
      <c r="H113" s="23">
        <f>SUM(H97:H112)</f>
        <v>59.600000000000009</v>
      </c>
      <c r="I113" s="13"/>
      <c r="J113" s="14"/>
      <c r="K113" s="24"/>
      <c r="L113" s="23">
        <f>SUM(L97:L112)</f>
        <v>59.19</v>
      </c>
      <c r="M113" s="13"/>
      <c r="N113" s="15">
        <f t="shared" si="11"/>
        <v>-0.4100000000000108</v>
      </c>
      <c r="O113" s="16">
        <f t="shared" si="12"/>
        <v>-6.8791946308726631E-3</v>
      </c>
      <c r="P113" s="60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</row>
    <row r="114" spans="1:63" x14ac:dyDescent="0.3">
      <c r="B114" s="17" t="s">
        <v>35</v>
      </c>
      <c r="C114" s="73"/>
      <c r="D114" s="7" t="s">
        <v>27</v>
      </c>
      <c r="E114" s="73"/>
      <c r="F114" s="135">
        <v>2.9999999999999997E-4</v>
      </c>
      <c r="G114" s="74">
        <f>$F92</f>
        <v>1000</v>
      </c>
      <c r="H114" s="136">
        <f t="shared" ref="H114:H120" si="13">G114*F114</f>
        <v>0.3</v>
      </c>
      <c r="I114" s="76"/>
      <c r="J114" s="135">
        <v>-6.9999999999999999E-4</v>
      </c>
      <c r="K114" s="74">
        <f>$F92</f>
        <v>1000</v>
      </c>
      <c r="L114" s="136">
        <f t="shared" ref="L114:L120" si="14">K114*J114</f>
        <v>-0.7</v>
      </c>
      <c r="M114" s="76"/>
      <c r="N114" s="137">
        <f t="shared" si="11"/>
        <v>-1</v>
      </c>
      <c r="O114" s="79">
        <f t="shared" si="12"/>
        <v>-3.3333333333333335</v>
      </c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</row>
    <row r="115" spans="1:63" x14ac:dyDescent="0.3">
      <c r="B115" s="17"/>
      <c r="C115" s="73"/>
      <c r="D115" s="7"/>
      <c r="E115" s="73"/>
      <c r="F115" s="8"/>
      <c r="G115" s="74">
        <f>$F92</f>
        <v>1000</v>
      </c>
      <c r="H115" s="136">
        <f t="shared" si="13"/>
        <v>0</v>
      </c>
      <c r="I115" s="82"/>
      <c r="J115" s="8"/>
      <c r="K115" s="74">
        <f>$F92</f>
        <v>1000</v>
      </c>
      <c r="L115" s="136">
        <f t="shared" si="14"/>
        <v>0</v>
      </c>
      <c r="M115" s="83"/>
      <c r="N115" s="137">
        <f t="shared" si="11"/>
        <v>0</v>
      </c>
      <c r="O115" s="79" t="str">
        <f t="shared" si="12"/>
        <v/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>$F92</f>
        <v>1000</v>
      </c>
      <c r="H116" s="136">
        <f t="shared" si="13"/>
        <v>0</v>
      </c>
      <c r="I116" s="82"/>
      <c r="J116" s="8"/>
      <c r="K116" s="74">
        <f>$F92</f>
        <v>1000</v>
      </c>
      <c r="L116" s="136">
        <f t="shared" si="14"/>
        <v>0</v>
      </c>
      <c r="M116" s="83"/>
      <c r="N116" s="137">
        <f t="shared" si="11"/>
        <v>0</v>
      </c>
      <c r="O116" s="79" t="str">
        <f t="shared" si="12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>$F92</f>
        <v>1000</v>
      </c>
      <c r="H117" s="136">
        <f t="shared" si="13"/>
        <v>0</v>
      </c>
      <c r="I117" s="82"/>
      <c r="J117" s="8"/>
      <c r="K117" s="74">
        <f>$F92</f>
        <v>1000</v>
      </c>
      <c r="L117" s="136">
        <f t="shared" si="14"/>
        <v>0</v>
      </c>
      <c r="M117" s="83"/>
      <c r="N117" s="137">
        <f t="shared" si="11"/>
        <v>0</v>
      </c>
      <c r="O117" s="79" t="str">
        <f t="shared" si="12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80" t="s">
        <v>36</v>
      </c>
      <c r="C118" s="73"/>
      <c r="D118" s="7" t="s">
        <v>27</v>
      </c>
      <c r="E118" s="73"/>
      <c r="F118" s="135">
        <v>2.0000000000000001E-4</v>
      </c>
      <c r="G118" s="74">
        <f>$F92</f>
        <v>1000</v>
      </c>
      <c r="H118" s="136">
        <f t="shared" si="13"/>
        <v>0.2</v>
      </c>
      <c r="I118" s="76"/>
      <c r="J118" s="135">
        <v>2.9999999999999997E-4</v>
      </c>
      <c r="K118" s="74">
        <f>$F92</f>
        <v>1000</v>
      </c>
      <c r="L118" s="136">
        <f t="shared" si="14"/>
        <v>0.3</v>
      </c>
      <c r="M118" s="76"/>
      <c r="N118" s="137">
        <f t="shared" si="11"/>
        <v>9.9999999999999978E-2</v>
      </c>
      <c r="O118" s="79">
        <f t="shared" si="12"/>
        <v>0.49999999999999989</v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37</v>
      </c>
      <c r="C119" s="73"/>
      <c r="D119" s="7" t="s">
        <v>27</v>
      </c>
      <c r="E119" s="73"/>
      <c r="F119" s="138">
        <f>IF(ISBLANK(D90)=TRUE, 0, IF(D90="TOU", 0.64*$F129+0.18*$F130+0.18*$F131, IF(AND(D90="non-TOU", G133&gt;0), F133,F132)))</f>
        <v>8.3919999999999995E-2</v>
      </c>
      <c r="G119" s="18">
        <f>$F92*(1+$F148)-$F92</f>
        <v>37.700000000000045</v>
      </c>
      <c r="H119" s="136">
        <f t="shared" si="13"/>
        <v>3.1637840000000037</v>
      </c>
      <c r="I119" s="76"/>
      <c r="J119" s="138">
        <f>0.64*$F129+0.18*$F130+0.18*$F131</f>
        <v>8.3919999999999995E-2</v>
      </c>
      <c r="K119" s="18">
        <f>$F92*(1+$J148)-$F92</f>
        <v>37.600000000000136</v>
      </c>
      <c r="L119" s="136">
        <f t="shared" si="14"/>
        <v>3.1553920000000111</v>
      </c>
      <c r="M119" s="76"/>
      <c r="N119" s="137">
        <f t="shared" si="11"/>
        <v>-8.3919999999926276E-3</v>
      </c>
      <c r="O119" s="79">
        <f t="shared" si="12"/>
        <v>-2.6525198938968709E-3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38</v>
      </c>
      <c r="C120" s="73"/>
      <c r="D120" s="7" t="s">
        <v>24</v>
      </c>
      <c r="E120" s="73"/>
      <c r="F120" s="138">
        <v>0.79</v>
      </c>
      <c r="G120" s="74">
        <v>1</v>
      </c>
      <c r="H120" s="136">
        <f t="shared" si="13"/>
        <v>0.79</v>
      </c>
      <c r="I120" s="76"/>
      <c r="J120" s="138">
        <v>0.79</v>
      </c>
      <c r="K120" s="81">
        <v>1</v>
      </c>
      <c r="L120" s="136">
        <f t="shared" si="14"/>
        <v>0.79</v>
      </c>
      <c r="M120" s="76"/>
      <c r="N120" s="137">
        <f t="shared" si="11"/>
        <v>0</v>
      </c>
      <c r="O120" s="79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s="4" customFormat="1" ht="26.4" x14ac:dyDescent="0.3">
      <c r="A121" s="60"/>
      <c r="B121" s="19" t="s">
        <v>39</v>
      </c>
      <c r="C121" s="20"/>
      <c r="D121" s="20"/>
      <c r="E121" s="20"/>
      <c r="F121" s="21"/>
      <c r="G121" s="22"/>
      <c r="H121" s="23">
        <f>SUM(H114:H120)+H113</f>
        <v>64.053784000000007</v>
      </c>
      <c r="I121" s="13"/>
      <c r="J121" s="22"/>
      <c r="K121" s="24"/>
      <c r="L121" s="23">
        <f>SUM(L114:L120)+L113</f>
        <v>62.735392000000012</v>
      </c>
      <c r="M121" s="13"/>
      <c r="N121" s="15">
        <f t="shared" si="11"/>
        <v>-1.3183919999999958</v>
      </c>
      <c r="O121" s="16">
        <f t="shared" ref="O121:O133" si="15">IF((H121)=0,"",(N121/H121))</f>
        <v>-2.0582577916083703E-2</v>
      </c>
      <c r="P121" s="60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</row>
    <row r="122" spans="1:63" x14ac:dyDescent="0.3">
      <c r="B122" s="76" t="s">
        <v>40</v>
      </c>
      <c r="C122" s="76"/>
      <c r="D122" s="25" t="s">
        <v>27</v>
      </c>
      <c r="E122" s="76"/>
      <c r="F122" s="135">
        <v>7.4000000000000003E-3</v>
      </c>
      <c r="G122" s="18">
        <f>F92*(1+F148)</f>
        <v>1037.7</v>
      </c>
      <c r="H122" s="136">
        <f>G122*F122</f>
        <v>7.678980000000001</v>
      </c>
      <c r="I122" s="76"/>
      <c r="J122" s="135">
        <v>7.0000000000000001E-3</v>
      </c>
      <c r="K122" s="18">
        <f>F92*(1+J148)</f>
        <v>1037.6000000000001</v>
      </c>
      <c r="L122" s="136">
        <f>K122*J122</f>
        <v>7.2632000000000012</v>
      </c>
      <c r="M122" s="76"/>
      <c r="N122" s="136">
        <f t="shared" si="11"/>
        <v>-0.41577999999999982</v>
      </c>
      <c r="O122" s="79">
        <f t="shared" si="15"/>
        <v>-5.4145211994301293E-2</v>
      </c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</row>
    <row r="123" spans="1:63" x14ac:dyDescent="0.3">
      <c r="B123" s="85" t="s">
        <v>41</v>
      </c>
      <c r="C123" s="76"/>
      <c r="D123" s="25" t="s">
        <v>27</v>
      </c>
      <c r="E123" s="76"/>
      <c r="F123" s="135">
        <v>5.0000000000000001E-3</v>
      </c>
      <c r="G123" s="18">
        <f>G122</f>
        <v>1037.7</v>
      </c>
      <c r="H123" s="136">
        <f>G123*F123</f>
        <v>5.1885000000000003</v>
      </c>
      <c r="I123" s="76"/>
      <c r="J123" s="135">
        <v>3.5000000000000001E-3</v>
      </c>
      <c r="K123" s="18">
        <f>K122</f>
        <v>1037.6000000000001</v>
      </c>
      <c r="L123" s="136">
        <f>K123*J123</f>
        <v>3.6316000000000006</v>
      </c>
      <c r="M123" s="76"/>
      <c r="N123" s="136">
        <f t="shared" si="11"/>
        <v>-1.5568999999999997</v>
      </c>
      <c r="O123" s="79">
        <f t="shared" si="15"/>
        <v>-0.3000674568757829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s="4" customFormat="1" x14ac:dyDescent="0.3">
      <c r="A124" s="60"/>
      <c r="B124" s="19" t="s">
        <v>42</v>
      </c>
      <c r="C124" s="20"/>
      <c r="D124" s="20"/>
      <c r="E124" s="20"/>
      <c r="F124" s="21"/>
      <c r="G124" s="22"/>
      <c r="H124" s="23">
        <f>SUM(H121:H123)</f>
        <v>76.921264000000008</v>
      </c>
      <c r="I124" s="13"/>
      <c r="J124" s="26"/>
      <c r="K124" s="22"/>
      <c r="L124" s="23">
        <f>SUM(L121:L123)</f>
        <v>73.630192000000022</v>
      </c>
      <c r="M124" s="13"/>
      <c r="N124" s="15">
        <f t="shared" si="11"/>
        <v>-3.2910719999999856</v>
      </c>
      <c r="O124" s="16">
        <f t="shared" si="15"/>
        <v>-4.2784944355568379E-2</v>
      </c>
      <c r="P124" s="60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</row>
    <row r="125" spans="1:63" x14ac:dyDescent="0.3">
      <c r="B125" s="86" t="s">
        <v>43</v>
      </c>
      <c r="C125" s="73"/>
      <c r="D125" s="7" t="s">
        <v>27</v>
      </c>
      <c r="E125" s="73"/>
      <c r="F125" s="135">
        <v>4.4000000000000003E-3</v>
      </c>
      <c r="G125" s="18">
        <f>G123</f>
        <v>1037.7</v>
      </c>
      <c r="H125" s="139">
        <f t="shared" ref="H125:H133" si="16">G125*F125</f>
        <v>4.5658800000000008</v>
      </c>
      <c r="I125" s="76"/>
      <c r="J125" s="135">
        <f>+F125</f>
        <v>4.4000000000000003E-3</v>
      </c>
      <c r="K125" s="18">
        <f>K123</f>
        <v>1037.6000000000001</v>
      </c>
      <c r="L125" s="139">
        <f t="shared" ref="L125:L133" si="17">K125*J125</f>
        <v>4.5654400000000006</v>
      </c>
      <c r="M125" s="76"/>
      <c r="N125" s="137">
        <f t="shared" si="11"/>
        <v>-4.4000000000021799E-4</v>
      </c>
      <c r="O125" s="87">
        <f t="shared" si="15"/>
        <v>-9.6366965404307147E-5</v>
      </c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</row>
    <row r="126" spans="1:63" x14ac:dyDescent="0.3">
      <c r="B126" s="86" t="s">
        <v>44</v>
      </c>
      <c r="C126" s="73"/>
      <c r="D126" s="7" t="s">
        <v>27</v>
      </c>
      <c r="E126" s="73"/>
      <c r="F126" s="135">
        <v>1.1999999999999999E-3</v>
      </c>
      <c r="G126" s="18">
        <f>G123</f>
        <v>1037.7</v>
      </c>
      <c r="H126" s="139">
        <f t="shared" si="16"/>
        <v>1.2452399999999999</v>
      </c>
      <c r="I126" s="76"/>
      <c r="J126" s="135">
        <f>+F126</f>
        <v>1.1999999999999999E-3</v>
      </c>
      <c r="K126" s="18">
        <f>K123</f>
        <v>1037.6000000000001</v>
      </c>
      <c r="L126" s="139">
        <f t="shared" si="17"/>
        <v>1.24512</v>
      </c>
      <c r="M126" s="76"/>
      <c r="N126" s="137">
        <f t="shared" si="11"/>
        <v>-1.1999999999989797E-4</v>
      </c>
      <c r="O126" s="87">
        <f t="shared" si="15"/>
        <v>-9.636696540417749E-5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73" t="s">
        <v>45</v>
      </c>
      <c r="C127" s="73"/>
      <c r="D127" s="7" t="s">
        <v>24</v>
      </c>
      <c r="E127" s="73"/>
      <c r="F127" s="135">
        <v>0.25</v>
      </c>
      <c r="G127" s="81">
        <v>1</v>
      </c>
      <c r="H127" s="139">
        <f t="shared" si="16"/>
        <v>0.25</v>
      </c>
      <c r="I127" s="76"/>
      <c r="J127" s="135">
        <f>+F127</f>
        <v>0.25</v>
      </c>
      <c r="K127" s="77">
        <v>1</v>
      </c>
      <c r="L127" s="139">
        <f t="shared" si="17"/>
        <v>0.25</v>
      </c>
      <c r="M127" s="76"/>
      <c r="N127" s="137">
        <f t="shared" si="11"/>
        <v>0</v>
      </c>
      <c r="O127" s="87">
        <f t="shared" si="15"/>
        <v>0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46</v>
      </c>
      <c r="C128" s="73"/>
      <c r="D128" s="7" t="s">
        <v>27</v>
      </c>
      <c r="E128" s="73"/>
      <c r="F128" s="135">
        <v>7.0000000000000001E-3</v>
      </c>
      <c r="G128" s="84">
        <f>F92</f>
        <v>1000</v>
      </c>
      <c r="H128" s="139">
        <f t="shared" si="16"/>
        <v>7</v>
      </c>
      <c r="I128" s="76"/>
      <c r="J128" s="135">
        <f>+F128</f>
        <v>7.0000000000000001E-3</v>
      </c>
      <c r="K128" s="77">
        <f>F92</f>
        <v>1000</v>
      </c>
      <c r="L128" s="139">
        <f t="shared" si="17"/>
        <v>7</v>
      </c>
      <c r="M128" s="76"/>
      <c r="N128" s="137">
        <f t="shared" si="11"/>
        <v>0</v>
      </c>
      <c r="O128" s="87">
        <f t="shared" si="15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80" t="s">
        <v>47</v>
      </c>
      <c r="C129" s="73"/>
      <c r="D129" s="7" t="s">
        <v>27</v>
      </c>
      <c r="E129" s="73"/>
      <c r="F129" s="138">
        <v>6.7000000000000004E-2</v>
      </c>
      <c r="G129" s="27">
        <f>0.64*$F92</f>
        <v>640</v>
      </c>
      <c r="H129" s="139">
        <f t="shared" si="16"/>
        <v>42.88</v>
      </c>
      <c r="I129" s="76"/>
      <c r="J129" s="138">
        <v>6.7000000000000004E-2</v>
      </c>
      <c r="K129" s="28">
        <f>G129</f>
        <v>640</v>
      </c>
      <c r="L129" s="139">
        <f t="shared" si="17"/>
        <v>42.88</v>
      </c>
      <c r="M129" s="76"/>
      <c r="N129" s="137">
        <f t="shared" si="11"/>
        <v>0</v>
      </c>
      <c r="O129" s="87">
        <f t="shared" si="15"/>
        <v>0</v>
      </c>
      <c r="Q129" s="126"/>
      <c r="R129" s="126"/>
      <c r="S129" s="127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48</v>
      </c>
      <c r="C130" s="73"/>
      <c r="D130" s="7" t="s">
        <v>27</v>
      </c>
      <c r="E130" s="73"/>
      <c r="F130" s="138">
        <v>0.104</v>
      </c>
      <c r="G130" s="27">
        <f>0.18*$F92</f>
        <v>180</v>
      </c>
      <c r="H130" s="139">
        <f t="shared" si="16"/>
        <v>18.72</v>
      </c>
      <c r="I130" s="76"/>
      <c r="J130" s="138">
        <v>0.104</v>
      </c>
      <c r="K130" s="28">
        <f>G130</f>
        <v>180</v>
      </c>
      <c r="L130" s="139">
        <f t="shared" si="17"/>
        <v>18.72</v>
      </c>
      <c r="M130" s="76"/>
      <c r="N130" s="137">
        <f t="shared" si="11"/>
        <v>0</v>
      </c>
      <c r="O130" s="87">
        <f t="shared" si="15"/>
        <v>0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64" t="s">
        <v>49</v>
      </c>
      <c r="C131" s="73"/>
      <c r="D131" s="7" t="s">
        <v>27</v>
      </c>
      <c r="E131" s="73"/>
      <c r="F131" s="138">
        <v>0.124</v>
      </c>
      <c r="G131" s="27">
        <f>0.18*$F92</f>
        <v>180</v>
      </c>
      <c r="H131" s="139">
        <f t="shared" si="16"/>
        <v>22.32</v>
      </c>
      <c r="I131" s="76"/>
      <c r="J131" s="138">
        <v>0.124</v>
      </c>
      <c r="K131" s="28">
        <f>G131</f>
        <v>180</v>
      </c>
      <c r="L131" s="139">
        <f t="shared" si="17"/>
        <v>22.32</v>
      </c>
      <c r="M131" s="76"/>
      <c r="N131" s="137">
        <f t="shared" si="11"/>
        <v>0</v>
      </c>
      <c r="O131" s="87">
        <f t="shared" si="15"/>
        <v>0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s="92" customFormat="1" x14ac:dyDescent="0.25">
      <c r="B132" s="89" t="s">
        <v>50</v>
      </c>
      <c r="C132" s="90"/>
      <c r="D132" s="29" t="s">
        <v>27</v>
      </c>
      <c r="E132" s="90"/>
      <c r="F132" s="138">
        <v>7.4999999999999997E-2</v>
      </c>
      <c r="G132" s="30">
        <f>IF(AND($T$1=1, F92&gt;=750), 750, IF(AND($T$1=1, AND(F92&lt;750, F92&gt;=0)), F92, IF(AND($T$1=2, F92&gt;=750), 750, IF(AND($T$1=2, AND(F92&lt;750, F92&gt;=0)), F92))))</f>
        <v>750</v>
      </c>
      <c r="H132" s="139">
        <f t="shared" si="16"/>
        <v>56.25</v>
      </c>
      <c r="I132" s="91"/>
      <c r="J132" s="138">
        <v>7.4999999999999997E-2</v>
      </c>
      <c r="K132" s="31">
        <f>G132</f>
        <v>750</v>
      </c>
      <c r="L132" s="139">
        <f t="shared" si="17"/>
        <v>56.25</v>
      </c>
      <c r="M132" s="91"/>
      <c r="N132" s="140">
        <f t="shared" si="11"/>
        <v>0</v>
      </c>
      <c r="O132" s="87">
        <f t="shared" si="15"/>
        <v>0</v>
      </c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</row>
    <row r="133" spans="1:63" s="92" customFormat="1" ht="15" thickBot="1" x14ac:dyDescent="0.3">
      <c r="B133" s="89" t="s">
        <v>51</v>
      </c>
      <c r="C133" s="90"/>
      <c r="D133" s="29" t="s">
        <v>27</v>
      </c>
      <c r="E133" s="90"/>
      <c r="F133" s="138">
        <v>8.7999999999999995E-2</v>
      </c>
      <c r="G133" s="30">
        <f>IF(AND($T$1=1, F92&gt;=750), F92-750, IF(AND($T$1=1, AND(F92&lt;750, F92&gt;=0)), 0, IF(AND($T$1=2, F92&gt;=750), F92-750, IF(AND($T$1=2, AND(F92&lt;750, F92&gt;=0)), 0))))</f>
        <v>250</v>
      </c>
      <c r="H133" s="139">
        <f t="shared" si="16"/>
        <v>22</v>
      </c>
      <c r="I133" s="91"/>
      <c r="J133" s="138">
        <v>8.7999999999999995E-2</v>
      </c>
      <c r="K133" s="31">
        <f>G133</f>
        <v>250</v>
      </c>
      <c r="L133" s="139">
        <f t="shared" si="17"/>
        <v>22</v>
      </c>
      <c r="M133" s="91"/>
      <c r="N133" s="140">
        <f t="shared" si="11"/>
        <v>0</v>
      </c>
      <c r="O133" s="87">
        <f t="shared" si="15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4" customFormat="1" ht="15" thickBot="1" x14ac:dyDescent="0.35">
      <c r="A134" s="60"/>
      <c r="B134" s="32"/>
      <c r="C134" s="33"/>
      <c r="D134" s="124"/>
      <c r="E134" s="33"/>
      <c r="F134" s="35"/>
      <c r="G134" s="36"/>
      <c r="H134" s="122"/>
      <c r="I134" s="123"/>
      <c r="J134" s="35"/>
      <c r="K134" s="39"/>
      <c r="L134" s="122"/>
      <c r="M134" s="123"/>
      <c r="N134" s="40"/>
      <c r="O134" s="41"/>
      <c r="P134" s="60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</row>
    <row r="135" spans="1:63" x14ac:dyDescent="0.3">
      <c r="B135" s="93" t="s">
        <v>52</v>
      </c>
      <c r="C135" s="73"/>
      <c r="D135" s="73"/>
      <c r="E135" s="73"/>
      <c r="F135" s="94"/>
      <c r="G135" s="95"/>
      <c r="H135" s="141">
        <f>SUM(H125:H131,H124)</f>
        <v>173.90238400000001</v>
      </c>
      <c r="I135" s="96"/>
      <c r="J135" s="97"/>
      <c r="K135" s="97"/>
      <c r="L135" s="144">
        <f>SUM(L125:L131,L124)</f>
        <v>170.61075200000002</v>
      </c>
      <c r="M135" s="145"/>
      <c r="N135" s="146">
        <f>L135-H135</f>
        <v>-3.2916319999999928</v>
      </c>
      <c r="O135" s="98">
        <f>IF((H135)=0,"",(N135/H135))</f>
        <v>-1.8928044137681243E-2</v>
      </c>
      <c r="Q135" s="126"/>
      <c r="R135" s="126"/>
      <c r="S135" s="127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</row>
    <row r="136" spans="1:63" x14ac:dyDescent="0.3">
      <c r="B136" s="99" t="s">
        <v>53</v>
      </c>
      <c r="C136" s="73"/>
      <c r="D136" s="73"/>
      <c r="E136" s="73"/>
      <c r="F136" s="100">
        <v>0.13</v>
      </c>
      <c r="G136" s="101"/>
      <c r="H136" s="142">
        <f>H135*F136</f>
        <v>22.607309920000002</v>
      </c>
      <c r="I136" s="102"/>
      <c r="J136" s="103">
        <v>0.13</v>
      </c>
      <c r="K136" s="102"/>
      <c r="L136" s="147">
        <f>L135*J136</f>
        <v>22.179397760000004</v>
      </c>
      <c r="M136" s="148"/>
      <c r="N136" s="149">
        <f>L136-H136</f>
        <v>-0.42791215999999821</v>
      </c>
      <c r="O136" s="104">
        <f>IF((H136)=0,"",(N136/H136))</f>
        <v>-1.8928044137681205E-2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105" t="s">
        <v>54</v>
      </c>
      <c r="C137" s="73"/>
      <c r="D137" s="73"/>
      <c r="E137" s="73"/>
      <c r="F137" s="106"/>
      <c r="G137" s="101"/>
      <c r="H137" s="142">
        <f>H135+H136</f>
        <v>196.50969392000002</v>
      </c>
      <c r="I137" s="102"/>
      <c r="J137" s="102"/>
      <c r="K137" s="102"/>
      <c r="L137" s="147">
        <f>L135+L136</f>
        <v>192.79014976000002</v>
      </c>
      <c r="M137" s="148"/>
      <c r="N137" s="149">
        <f>L137-H137</f>
        <v>-3.7195441599999981</v>
      </c>
      <c r="O137" s="104">
        <f>IF((H137)=0,"",(N137/H137))</f>
        <v>-1.8928044137681274E-2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ht="14.4" customHeight="1" x14ac:dyDescent="0.3">
      <c r="B138" s="172" t="s">
        <v>55</v>
      </c>
      <c r="C138" s="172"/>
      <c r="D138" s="172"/>
      <c r="E138" s="73"/>
      <c r="F138" s="106"/>
      <c r="G138" s="101"/>
      <c r="H138" s="143">
        <f>ROUND(-H137*10%,2)</f>
        <v>-19.649999999999999</v>
      </c>
      <c r="I138" s="102"/>
      <c r="J138" s="102"/>
      <c r="K138" s="102"/>
      <c r="L138" s="150">
        <f>ROUND(-L137*10%,2)</f>
        <v>-19.28</v>
      </c>
      <c r="M138" s="148"/>
      <c r="N138" s="151">
        <f>L138-H138</f>
        <v>0.36999999999999744</v>
      </c>
      <c r="O138" s="107">
        <f>IF((H138)=0,"",(N138/H138))</f>
        <v>-1.8829516539440073E-2</v>
      </c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s="4" customFormat="1" ht="15" thickBot="1" x14ac:dyDescent="0.35">
      <c r="A139" s="60"/>
      <c r="B139" s="173" t="s">
        <v>56</v>
      </c>
      <c r="C139" s="173"/>
      <c r="D139" s="173"/>
      <c r="E139" s="42"/>
      <c r="F139" s="43"/>
      <c r="G139" s="44"/>
      <c r="H139" s="45">
        <f>H137+H138</f>
        <v>176.85969392000001</v>
      </c>
      <c r="I139" s="46"/>
      <c r="J139" s="46"/>
      <c r="K139" s="46"/>
      <c r="L139" s="47">
        <f>L137+L138</f>
        <v>173.51014976000002</v>
      </c>
      <c r="M139" s="48"/>
      <c r="N139" s="49">
        <f>L139-H139</f>
        <v>-3.3495441599999936</v>
      </c>
      <c r="O139" s="50">
        <f>IF((H139)=0,"",(N139/H139))</f>
        <v>-1.8938991048548987E-2</v>
      </c>
      <c r="P139" s="60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</row>
    <row r="140" spans="1:63" s="4" customFormat="1" ht="15" thickBot="1" x14ac:dyDescent="0.35">
      <c r="A140" s="60"/>
      <c r="B140" s="32"/>
      <c r="C140" s="33"/>
      <c r="D140" s="34"/>
      <c r="E140" s="33"/>
      <c r="F140" s="35"/>
      <c r="G140" s="36"/>
      <c r="H140" s="37"/>
      <c r="I140" s="38"/>
      <c r="J140" s="35"/>
      <c r="K140" s="39"/>
      <c r="L140" s="37"/>
      <c r="M140" s="123"/>
      <c r="N140" s="40"/>
      <c r="O140" s="41"/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92" customFormat="1" ht="13.2" x14ac:dyDescent="0.25">
      <c r="B141" s="108" t="s">
        <v>57</v>
      </c>
      <c r="C141" s="90"/>
      <c r="D141" s="90"/>
      <c r="E141" s="90"/>
      <c r="F141" s="109"/>
      <c r="G141" s="110"/>
      <c r="H141" s="152">
        <f>SUM(H132:H133,H124,H125:H128)</f>
        <v>168.232384</v>
      </c>
      <c r="I141" s="111"/>
      <c r="J141" s="112"/>
      <c r="K141" s="112"/>
      <c r="L141" s="155">
        <f>SUM(L132:L133,L124,L125:L128)</f>
        <v>164.94075200000003</v>
      </c>
      <c r="M141" s="156"/>
      <c r="N141" s="157">
        <f>L141-H141</f>
        <v>-3.2916319999999644</v>
      </c>
      <c r="O141" s="98">
        <f>IF((H141)=0,"",(N141/H141))</f>
        <v>-1.9565983205706485E-2</v>
      </c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</row>
    <row r="142" spans="1:63" s="92" customFormat="1" ht="13.2" x14ac:dyDescent="0.25">
      <c r="B142" s="113" t="s">
        <v>53</v>
      </c>
      <c r="C142" s="90"/>
      <c r="D142" s="90"/>
      <c r="E142" s="90"/>
      <c r="F142" s="114">
        <v>0.13</v>
      </c>
      <c r="G142" s="110"/>
      <c r="H142" s="153">
        <f>H141*F142</f>
        <v>21.870209920000001</v>
      </c>
      <c r="I142" s="115"/>
      <c r="J142" s="116">
        <v>0.13</v>
      </c>
      <c r="K142" s="117"/>
      <c r="L142" s="158">
        <f>L141*J142</f>
        <v>21.442297760000006</v>
      </c>
      <c r="M142" s="159"/>
      <c r="N142" s="160">
        <f>L142-H142</f>
        <v>-0.42791215999999466</v>
      </c>
      <c r="O142" s="104">
        <f>IF((H142)=0,"",(N142/H142))</f>
        <v>-1.956598320570645E-2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8" t="s">
        <v>54</v>
      </c>
      <c r="C143" s="90"/>
      <c r="D143" s="90"/>
      <c r="E143" s="90"/>
      <c r="F143" s="119"/>
      <c r="G143" s="120"/>
      <c r="H143" s="153">
        <f>H141+H142</f>
        <v>190.10259392</v>
      </c>
      <c r="I143" s="115"/>
      <c r="J143" s="115"/>
      <c r="K143" s="115"/>
      <c r="L143" s="158">
        <f>L141+L142</f>
        <v>186.38304976000003</v>
      </c>
      <c r="M143" s="159"/>
      <c r="N143" s="160">
        <f>L143-H143</f>
        <v>-3.7195441599999697</v>
      </c>
      <c r="O143" s="104">
        <f>IF((H143)=0,"",(N143/H143))</f>
        <v>-1.9565983205706537E-2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customHeight="1" x14ac:dyDescent="0.25">
      <c r="B144" s="174" t="s">
        <v>55</v>
      </c>
      <c r="C144" s="174"/>
      <c r="D144" s="174"/>
      <c r="E144" s="90"/>
      <c r="F144" s="119"/>
      <c r="G144" s="120"/>
      <c r="H144" s="154">
        <f>ROUND(-H143*10%,2)</f>
        <v>-19.010000000000002</v>
      </c>
      <c r="I144" s="115"/>
      <c r="J144" s="115"/>
      <c r="K144" s="115"/>
      <c r="L144" s="161">
        <f>ROUND(-L143*10%,2)</f>
        <v>-18.64</v>
      </c>
      <c r="M144" s="159"/>
      <c r="N144" s="162">
        <f>L144-H144</f>
        <v>0.37000000000000099</v>
      </c>
      <c r="O144" s="107">
        <f>IF((H144)=0,"",(N144/H144))</f>
        <v>-1.946344029458185E-2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4" customFormat="1" ht="15" thickBot="1" x14ac:dyDescent="0.35">
      <c r="A145" s="60"/>
      <c r="B145" s="173" t="s">
        <v>58</v>
      </c>
      <c r="C145" s="173"/>
      <c r="D145" s="173"/>
      <c r="E145" s="42"/>
      <c r="F145" s="43"/>
      <c r="G145" s="44"/>
      <c r="H145" s="45">
        <f>SUM(H143:H144)</f>
        <v>171.09259392000001</v>
      </c>
      <c r="I145" s="46"/>
      <c r="J145" s="46"/>
      <c r="K145" s="46"/>
      <c r="L145" s="47">
        <f>SUM(L143:L144)</f>
        <v>167.74304976000002</v>
      </c>
      <c r="M145" s="48"/>
      <c r="N145" s="49">
        <f>L145-H145</f>
        <v>-3.3495441599999936</v>
      </c>
      <c r="O145" s="50">
        <f>IF((H145)=0,"",(N145/H145))</f>
        <v>-1.9577376689760069E-2</v>
      </c>
      <c r="P145" s="60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</row>
    <row r="146" spans="1:63" s="4" customFormat="1" ht="15" thickBot="1" x14ac:dyDescent="0.35">
      <c r="A146" s="60"/>
      <c r="B146" s="32"/>
      <c r="C146" s="33"/>
      <c r="D146" s="34"/>
      <c r="E146" s="33"/>
      <c r="F146" s="35"/>
      <c r="G146" s="36"/>
      <c r="H146" s="122"/>
      <c r="I146" s="123"/>
      <c r="J146" s="35"/>
      <c r="K146" s="39"/>
      <c r="L146" s="37"/>
      <c r="M146" s="123"/>
      <c r="N146" s="40"/>
      <c r="O146" s="41"/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x14ac:dyDescent="0.3">
      <c r="L147" s="88"/>
    </row>
    <row r="148" spans="1:63" x14ac:dyDescent="0.3">
      <c r="B148" s="65" t="s">
        <v>59</v>
      </c>
      <c r="F148" s="51">
        <v>3.7699999999999997E-2</v>
      </c>
      <c r="J148" s="51">
        <f>+Residential!$J$74</f>
        <v>3.7600000000000001E-2</v>
      </c>
    </row>
    <row r="150" spans="1:63" x14ac:dyDescent="0.3">
      <c r="L150" s="56"/>
      <c r="M150" s="56"/>
      <c r="N150" s="56"/>
      <c r="O150" s="56"/>
      <c r="P150" s="56"/>
    </row>
    <row r="151" spans="1:63" ht="16.2" x14ac:dyDescent="0.3">
      <c r="A151" s="121" t="s">
        <v>60</v>
      </c>
    </row>
    <row r="153" spans="1:63" x14ac:dyDescent="0.3">
      <c r="A153" s="60" t="s">
        <v>61</v>
      </c>
    </row>
    <row r="154" spans="1:63" x14ac:dyDescent="0.3">
      <c r="A154" s="60" t="s">
        <v>62</v>
      </c>
    </row>
    <row r="156" spans="1:63" x14ac:dyDescent="0.3">
      <c r="B156" s="60" t="s">
        <v>63</v>
      </c>
    </row>
    <row r="157" spans="1:63" x14ac:dyDescent="0.3">
      <c r="A157" s="64"/>
    </row>
    <row r="158" spans="1:63" ht="18.75" customHeight="1" x14ac:dyDescent="0.3">
      <c r="B158" s="175" t="s">
        <v>6</v>
      </c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56"/>
    </row>
    <row r="159" spans="1:63" ht="19.2" customHeight="1" x14ac:dyDescent="0.3">
      <c r="B159" s="175" t="s">
        <v>7</v>
      </c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56"/>
    </row>
    <row r="160" spans="1:63" ht="7.5" customHeight="1" x14ac:dyDescent="0.3">
      <c r="L160" s="56"/>
      <c r="M160" s="56"/>
      <c r="N160" s="56"/>
      <c r="O160" s="56"/>
      <c r="P160" s="56"/>
    </row>
    <row r="161" spans="2:29" ht="7.5" customHeight="1" x14ac:dyDescent="0.3">
      <c r="L161" s="56"/>
      <c r="M161" s="56"/>
      <c r="N161" s="56"/>
      <c r="O161" s="56"/>
      <c r="P161" s="56"/>
    </row>
    <row r="162" spans="2:29" ht="15.6" x14ac:dyDescent="0.3">
      <c r="B162" s="61" t="s">
        <v>8</v>
      </c>
      <c r="D162" s="185" t="s">
        <v>66</v>
      </c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</row>
    <row r="163" spans="2:29" ht="7.5" customHeight="1" x14ac:dyDescent="0.3">
      <c r="B163" s="62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</row>
    <row r="164" spans="2:29" ht="15.6" x14ac:dyDescent="0.3">
      <c r="B164" s="61" t="s">
        <v>9</v>
      </c>
      <c r="D164" s="5" t="s">
        <v>10</v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</row>
    <row r="165" spans="2:29" ht="15.6" x14ac:dyDescent="0.3">
      <c r="B165" s="62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2:29" ht="15" customHeight="1" x14ac:dyDescent="0.3">
      <c r="B166" s="64"/>
      <c r="D166" s="65" t="s">
        <v>11</v>
      </c>
      <c r="E166" s="65"/>
      <c r="F166" s="6">
        <v>5000</v>
      </c>
      <c r="G166" s="65" t="s">
        <v>12</v>
      </c>
    </row>
    <row r="167" spans="2:29" x14ac:dyDescent="0.3">
      <c r="B167" s="64"/>
      <c r="G167" s="65"/>
    </row>
    <row r="168" spans="2:29" x14ac:dyDescent="0.3">
      <c r="B168" s="64"/>
      <c r="D168" s="66"/>
      <c r="E168" s="66"/>
      <c r="F168" s="176" t="s">
        <v>13</v>
      </c>
      <c r="G168" s="177"/>
      <c r="H168" s="178"/>
      <c r="J168" s="176" t="s">
        <v>14</v>
      </c>
      <c r="K168" s="177"/>
      <c r="L168" s="178"/>
      <c r="N168" s="176" t="s">
        <v>15</v>
      </c>
      <c r="O168" s="178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</row>
    <row r="169" spans="2:29" x14ac:dyDescent="0.3">
      <c r="B169" s="64"/>
      <c r="D169" s="179" t="s">
        <v>16</v>
      </c>
      <c r="E169" s="67"/>
      <c r="F169" s="68" t="s">
        <v>17</v>
      </c>
      <c r="G169" s="68" t="s">
        <v>18</v>
      </c>
      <c r="H169" s="69" t="s">
        <v>19</v>
      </c>
      <c r="J169" s="68" t="s">
        <v>17</v>
      </c>
      <c r="K169" s="70" t="s">
        <v>18</v>
      </c>
      <c r="L169" s="69" t="s">
        <v>19</v>
      </c>
      <c r="N169" s="181" t="s">
        <v>20</v>
      </c>
      <c r="O169" s="183" t="s">
        <v>21</v>
      </c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</row>
    <row r="170" spans="2:29" x14ac:dyDescent="0.3">
      <c r="B170" s="64"/>
      <c r="D170" s="180"/>
      <c r="E170" s="67"/>
      <c r="F170" s="71" t="s">
        <v>22</v>
      </c>
      <c r="G170" s="71"/>
      <c r="H170" s="72" t="s">
        <v>22</v>
      </c>
      <c r="J170" s="71" t="s">
        <v>22</v>
      </c>
      <c r="K170" s="72"/>
      <c r="L170" s="72" t="s">
        <v>22</v>
      </c>
      <c r="N170" s="182"/>
      <c r="O170" s="184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</row>
    <row r="171" spans="2:29" x14ac:dyDescent="0.3">
      <c r="B171" s="73" t="s">
        <v>23</v>
      </c>
      <c r="C171" s="73"/>
      <c r="D171" s="7" t="s">
        <v>24</v>
      </c>
      <c r="E171" s="73"/>
      <c r="F171" s="129">
        <v>32.24</v>
      </c>
      <c r="G171" s="74">
        <v>1</v>
      </c>
      <c r="H171" s="75">
        <f t="shared" ref="H171:H186" si="18">G171*F171</f>
        <v>32.24</v>
      </c>
      <c r="I171" s="76"/>
      <c r="J171" s="129">
        <v>39.4</v>
      </c>
      <c r="K171" s="77">
        <v>1</v>
      </c>
      <c r="L171" s="75">
        <f t="shared" ref="L171:L186" si="19">K171*J171</f>
        <v>39.4</v>
      </c>
      <c r="M171" s="76"/>
      <c r="N171" s="78">
        <f t="shared" ref="N171:N207" si="20">L171-H171</f>
        <v>7.1599999999999966</v>
      </c>
      <c r="O171" s="79">
        <f t="shared" ref="O171:O193" si="21">IF((H171)=0,"",(N171/H171))</f>
        <v>0.22208436724565744</v>
      </c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</row>
    <row r="172" spans="2:29" x14ac:dyDescent="0.3">
      <c r="B172" s="73" t="s">
        <v>25</v>
      </c>
      <c r="C172" s="73"/>
      <c r="D172" s="7" t="s">
        <v>24</v>
      </c>
      <c r="E172" s="73"/>
      <c r="F172" s="133">
        <v>7.33</v>
      </c>
      <c r="G172" s="74">
        <v>1</v>
      </c>
      <c r="H172" s="136">
        <f t="shared" si="18"/>
        <v>7.33</v>
      </c>
      <c r="I172" s="76"/>
      <c r="J172" s="130"/>
      <c r="K172" s="77">
        <v>1</v>
      </c>
      <c r="L172" s="136">
        <f t="shared" si="19"/>
        <v>0</v>
      </c>
      <c r="M172" s="76"/>
      <c r="N172" s="137">
        <f t="shared" si="20"/>
        <v>-7.33</v>
      </c>
      <c r="O172" s="79">
        <f t="shared" si="21"/>
        <v>-1</v>
      </c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</row>
    <row r="173" spans="2:29" x14ac:dyDescent="0.3">
      <c r="B173" s="9"/>
      <c r="C173" s="73"/>
      <c r="D173" s="7"/>
      <c r="E173" s="73"/>
      <c r="F173" s="134"/>
      <c r="G173" s="74">
        <v>1</v>
      </c>
      <c r="H173" s="136">
        <f t="shared" si="18"/>
        <v>0</v>
      </c>
      <c r="I173" s="76"/>
      <c r="J173" s="131"/>
      <c r="K173" s="77">
        <v>1</v>
      </c>
      <c r="L173" s="136">
        <f t="shared" si="19"/>
        <v>0</v>
      </c>
      <c r="M173" s="76"/>
      <c r="N173" s="137">
        <f t="shared" si="20"/>
        <v>0</v>
      </c>
      <c r="O173" s="79" t="str">
        <f t="shared" si="21"/>
        <v/>
      </c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</row>
    <row r="174" spans="2:29" x14ac:dyDescent="0.3">
      <c r="B174" s="9"/>
      <c r="C174" s="73"/>
      <c r="D174" s="7"/>
      <c r="E174" s="73"/>
      <c r="F174" s="134"/>
      <c r="G174" s="74">
        <v>1</v>
      </c>
      <c r="H174" s="136">
        <f t="shared" si="18"/>
        <v>0</v>
      </c>
      <c r="I174" s="76"/>
      <c r="J174" s="131"/>
      <c r="K174" s="77">
        <v>1</v>
      </c>
      <c r="L174" s="136">
        <f t="shared" si="19"/>
        <v>0</v>
      </c>
      <c r="M174" s="76"/>
      <c r="N174" s="137">
        <f t="shared" si="20"/>
        <v>0</v>
      </c>
      <c r="O174" s="79" t="str">
        <f t="shared" si="21"/>
        <v/>
      </c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</row>
    <row r="175" spans="2:29" x14ac:dyDescent="0.3">
      <c r="B175" s="10"/>
      <c r="C175" s="73"/>
      <c r="D175" s="7"/>
      <c r="E175" s="73"/>
      <c r="F175" s="134"/>
      <c r="G175" s="74">
        <v>1</v>
      </c>
      <c r="H175" s="136">
        <f t="shared" si="18"/>
        <v>0</v>
      </c>
      <c r="I175" s="76"/>
      <c r="J175" s="131"/>
      <c r="K175" s="77">
        <v>1</v>
      </c>
      <c r="L175" s="136">
        <f t="shared" si="19"/>
        <v>0</v>
      </c>
      <c r="M175" s="76"/>
      <c r="N175" s="137">
        <f t="shared" si="20"/>
        <v>0</v>
      </c>
      <c r="O175" s="79" t="str">
        <f t="shared" si="21"/>
        <v/>
      </c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</row>
    <row r="176" spans="2:29" x14ac:dyDescent="0.3">
      <c r="B176" s="10"/>
      <c r="C176" s="73"/>
      <c r="D176" s="7"/>
      <c r="E176" s="73"/>
      <c r="F176" s="134"/>
      <c r="G176" s="74">
        <v>1</v>
      </c>
      <c r="H176" s="136">
        <f t="shared" si="18"/>
        <v>0</v>
      </c>
      <c r="I176" s="76"/>
      <c r="J176" s="131"/>
      <c r="K176" s="77">
        <v>1</v>
      </c>
      <c r="L176" s="136">
        <f t="shared" si="19"/>
        <v>0</v>
      </c>
      <c r="M176" s="76"/>
      <c r="N176" s="137">
        <f t="shared" si="20"/>
        <v>0</v>
      </c>
      <c r="O176" s="79" t="str">
        <f t="shared" si="21"/>
        <v/>
      </c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</row>
    <row r="177" spans="1:63" x14ac:dyDescent="0.3">
      <c r="B177" s="73" t="s">
        <v>26</v>
      </c>
      <c r="C177" s="73"/>
      <c r="D177" s="7" t="s">
        <v>27</v>
      </c>
      <c r="E177" s="73"/>
      <c r="F177" s="135">
        <v>1.4200000000000001E-2</v>
      </c>
      <c r="G177" s="74">
        <f>$F166</f>
        <v>5000</v>
      </c>
      <c r="H177" s="136">
        <f t="shared" si="18"/>
        <v>71</v>
      </c>
      <c r="I177" s="76"/>
      <c r="J177" s="132">
        <v>1.7399999999999999E-2</v>
      </c>
      <c r="K177" s="74">
        <f>$F166</f>
        <v>5000</v>
      </c>
      <c r="L177" s="136">
        <f t="shared" si="19"/>
        <v>87</v>
      </c>
      <c r="M177" s="76"/>
      <c r="N177" s="137">
        <f t="shared" si="20"/>
        <v>16</v>
      </c>
      <c r="O177" s="79">
        <f t="shared" si="21"/>
        <v>0.22535211267605634</v>
      </c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</row>
    <row r="178" spans="1:63" x14ac:dyDescent="0.3">
      <c r="B178" s="73" t="s">
        <v>28</v>
      </c>
      <c r="C178" s="73"/>
      <c r="D178" s="7" t="s">
        <v>24</v>
      </c>
      <c r="E178" s="73"/>
      <c r="F178" s="135">
        <v>4.63</v>
      </c>
      <c r="G178" s="74">
        <v>1</v>
      </c>
      <c r="H178" s="136">
        <f t="shared" si="18"/>
        <v>4.63</v>
      </c>
      <c r="I178" s="76"/>
      <c r="J178" s="132"/>
      <c r="K178" s="74">
        <v>1</v>
      </c>
      <c r="L178" s="136">
        <f t="shared" si="19"/>
        <v>0</v>
      </c>
      <c r="M178" s="76"/>
      <c r="N178" s="137">
        <f t="shared" si="20"/>
        <v>-4.63</v>
      </c>
      <c r="O178" s="79">
        <f t="shared" si="21"/>
        <v>-1</v>
      </c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</row>
    <row r="179" spans="1:63" x14ac:dyDescent="0.3">
      <c r="B179" s="73" t="s">
        <v>29</v>
      </c>
      <c r="C179" s="73"/>
      <c r="D179" s="7" t="s">
        <v>27</v>
      </c>
      <c r="E179" s="73"/>
      <c r="F179" s="135">
        <v>0</v>
      </c>
      <c r="G179" s="74">
        <f>$F166</f>
        <v>5000</v>
      </c>
      <c r="H179" s="136">
        <f t="shared" si="18"/>
        <v>0</v>
      </c>
      <c r="I179" s="76"/>
      <c r="J179" s="132">
        <v>1E-4</v>
      </c>
      <c r="K179" s="74">
        <f>$F166</f>
        <v>5000</v>
      </c>
      <c r="L179" s="136">
        <f t="shared" si="19"/>
        <v>0.5</v>
      </c>
      <c r="M179" s="76"/>
      <c r="N179" s="137">
        <f t="shared" si="20"/>
        <v>0.5</v>
      </c>
      <c r="O179" s="79" t="str">
        <f t="shared" si="21"/>
        <v/>
      </c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</row>
    <row r="180" spans="1:63" x14ac:dyDescent="0.3">
      <c r="B180" s="11" t="s">
        <v>30</v>
      </c>
      <c r="C180" s="73"/>
      <c r="D180" s="7" t="s">
        <v>27</v>
      </c>
      <c r="E180" s="73"/>
      <c r="F180" s="135">
        <v>1.5E-3</v>
      </c>
      <c r="G180" s="74">
        <f>$F166</f>
        <v>5000</v>
      </c>
      <c r="H180" s="136">
        <f t="shared" si="18"/>
        <v>7.5</v>
      </c>
      <c r="I180" s="76"/>
      <c r="J180" s="132"/>
      <c r="K180" s="74">
        <f>$F166</f>
        <v>5000</v>
      </c>
      <c r="L180" s="136">
        <f t="shared" si="19"/>
        <v>0</v>
      </c>
      <c r="M180" s="76"/>
      <c r="N180" s="137">
        <f t="shared" si="20"/>
        <v>-7.5</v>
      </c>
      <c r="O180" s="79">
        <f t="shared" si="21"/>
        <v>-1</v>
      </c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</row>
    <row r="181" spans="1:63" x14ac:dyDescent="0.3">
      <c r="B181" s="11" t="s">
        <v>31</v>
      </c>
      <c r="C181" s="73"/>
      <c r="D181" s="7" t="s">
        <v>27</v>
      </c>
      <c r="E181" s="73"/>
      <c r="F181" s="135">
        <v>-2.9999999999999997E-4</v>
      </c>
      <c r="G181" s="74">
        <f>$F166</f>
        <v>5000</v>
      </c>
      <c r="H181" s="136">
        <f t="shared" si="18"/>
        <v>-1.4999999999999998</v>
      </c>
      <c r="I181" s="76"/>
      <c r="J181" s="132"/>
      <c r="K181" s="74">
        <f>$F166</f>
        <v>5000</v>
      </c>
      <c r="L181" s="136">
        <f t="shared" si="19"/>
        <v>0</v>
      </c>
      <c r="M181" s="76"/>
      <c r="N181" s="137">
        <f t="shared" si="20"/>
        <v>1.4999999999999998</v>
      </c>
      <c r="O181" s="79">
        <f t="shared" si="21"/>
        <v>-1</v>
      </c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</row>
    <row r="182" spans="1:63" x14ac:dyDescent="0.3">
      <c r="B182" s="11" t="s">
        <v>32</v>
      </c>
      <c r="C182" s="73"/>
      <c r="D182" s="7" t="s">
        <v>24</v>
      </c>
      <c r="E182" s="73"/>
      <c r="F182" s="135"/>
      <c r="G182" s="74">
        <v>1</v>
      </c>
      <c r="H182" s="136">
        <f t="shared" si="18"/>
        <v>0</v>
      </c>
      <c r="I182" s="76"/>
      <c r="J182" s="132">
        <v>2.19</v>
      </c>
      <c r="K182" s="74">
        <v>1</v>
      </c>
      <c r="L182" s="136">
        <f t="shared" si="19"/>
        <v>2.19</v>
      </c>
      <c r="M182" s="76"/>
      <c r="N182" s="137">
        <f t="shared" si="20"/>
        <v>2.19</v>
      </c>
      <c r="O182" s="79" t="str">
        <f t="shared" si="21"/>
        <v/>
      </c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</row>
    <row r="183" spans="1:63" x14ac:dyDescent="0.3">
      <c r="B183" s="12" t="s">
        <v>33</v>
      </c>
      <c r="C183" s="73"/>
      <c r="D183" s="7" t="s">
        <v>27</v>
      </c>
      <c r="E183" s="73"/>
      <c r="F183" s="134"/>
      <c r="G183" s="74">
        <f>$F166</f>
        <v>5000</v>
      </c>
      <c r="H183" s="136">
        <f t="shared" si="18"/>
        <v>0</v>
      </c>
      <c r="I183" s="76"/>
      <c r="J183" s="132">
        <v>-1E-4</v>
      </c>
      <c r="K183" s="74">
        <f>$F166</f>
        <v>5000</v>
      </c>
      <c r="L183" s="136">
        <f t="shared" si="19"/>
        <v>-0.5</v>
      </c>
      <c r="M183" s="76"/>
      <c r="N183" s="137">
        <f t="shared" si="20"/>
        <v>-0.5</v>
      </c>
      <c r="O183" s="79" t="str">
        <f t="shared" si="21"/>
        <v/>
      </c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</row>
    <row r="184" spans="1:63" x14ac:dyDescent="0.3">
      <c r="B184" s="12" t="s">
        <v>77</v>
      </c>
      <c r="C184" s="73"/>
      <c r="D184" s="7" t="s">
        <v>27</v>
      </c>
      <c r="E184" s="73"/>
      <c r="F184" s="134"/>
      <c r="G184" s="74">
        <f>$F166</f>
        <v>5000</v>
      </c>
      <c r="H184" s="136">
        <f t="shared" si="18"/>
        <v>0</v>
      </c>
      <c r="I184" s="76"/>
      <c r="J184" s="132">
        <v>2.0000000000000001E-4</v>
      </c>
      <c r="K184" s="74">
        <f>$F166</f>
        <v>5000</v>
      </c>
      <c r="L184" s="136">
        <f t="shared" si="19"/>
        <v>1</v>
      </c>
      <c r="M184" s="76"/>
      <c r="N184" s="137">
        <f t="shared" si="20"/>
        <v>1</v>
      </c>
      <c r="O184" s="79" t="str">
        <f t="shared" si="21"/>
        <v/>
      </c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</row>
    <row r="185" spans="1:63" x14ac:dyDescent="0.3">
      <c r="B185" s="12"/>
      <c r="C185" s="73"/>
      <c r="D185" s="7"/>
      <c r="E185" s="73"/>
      <c r="F185" s="131"/>
      <c r="G185" s="74">
        <f>$F166</f>
        <v>5000</v>
      </c>
      <c r="H185" s="136">
        <f t="shared" si="18"/>
        <v>0</v>
      </c>
      <c r="I185" s="76"/>
      <c r="J185" s="131"/>
      <c r="K185" s="74">
        <f>$F166</f>
        <v>5000</v>
      </c>
      <c r="L185" s="136">
        <f t="shared" si="19"/>
        <v>0</v>
      </c>
      <c r="M185" s="76"/>
      <c r="N185" s="137">
        <f t="shared" si="20"/>
        <v>0</v>
      </c>
      <c r="O185" s="79" t="str">
        <f t="shared" si="21"/>
        <v/>
      </c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</row>
    <row r="186" spans="1:63" x14ac:dyDescent="0.3">
      <c r="B186" s="12"/>
      <c r="C186" s="73"/>
      <c r="D186" s="7"/>
      <c r="E186" s="73"/>
      <c r="F186" s="131"/>
      <c r="G186" s="74">
        <f>$F166</f>
        <v>5000</v>
      </c>
      <c r="H186" s="136">
        <f t="shared" si="18"/>
        <v>0</v>
      </c>
      <c r="I186" s="76"/>
      <c r="J186" s="131"/>
      <c r="K186" s="74">
        <f>$F166</f>
        <v>5000</v>
      </c>
      <c r="L186" s="136">
        <f t="shared" si="19"/>
        <v>0</v>
      </c>
      <c r="M186" s="76"/>
      <c r="N186" s="137">
        <f t="shared" si="20"/>
        <v>0</v>
      </c>
      <c r="O186" s="79" t="str">
        <f t="shared" si="21"/>
        <v/>
      </c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</row>
    <row r="187" spans="1:63" s="4" customFormat="1" x14ac:dyDescent="0.3">
      <c r="A187" s="60"/>
      <c r="B187" s="19" t="s">
        <v>34</v>
      </c>
      <c r="C187" s="20"/>
      <c r="D187" s="20"/>
      <c r="E187" s="20"/>
      <c r="F187" s="21"/>
      <c r="G187" s="22"/>
      <c r="H187" s="23">
        <f>SUM(H171:H186)</f>
        <v>121.19999999999999</v>
      </c>
      <c r="I187" s="13"/>
      <c r="J187" s="14"/>
      <c r="K187" s="24"/>
      <c r="L187" s="23">
        <f>SUM(L171:L186)</f>
        <v>129.59</v>
      </c>
      <c r="M187" s="13"/>
      <c r="N187" s="15">
        <f t="shared" si="20"/>
        <v>8.3900000000000148</v>
      </c>
      <c r="O187" s="16">
        <f t="shared" si="21"/>
        <v>6.9224422442244346E-2</v>
      </c>
      <c r="P187" s="60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</row>
    <row r="188" spans="1:63" x14ac:dyDescent="0.3">
      <c r="B188" s="17" t="s">
        <v>35</v>
      </c>
      <c r="C188" s="73"/>
      <c r="D188" s="7" t="s">
        <v>27</v>
      </c>
      <c r="E188" s="73"/>
      <c r="F188" s="135">
        <v>2.9999999999999997E-4</v>
      </c>
      <c r="G188" s="74">
        <f>$F166</f>
        <v>5000</v>
      </c>
      <c r="H188" s="136">
        <f t="shared" ref="H188:H194" si="22">G188*F188</f>
        <v>1.4999999999999998</v>
      </c>
      <c r="I188" s="76"/>
      <c r="J188" s="135">
        <v>-6.9999999999999999E-4</v>
      </c>
      <c r="K188" s="74">
        <f>$F166</f>
        <v>5000</v>
      </c>
      <c r="L188" s="136">
        <f t="shared" ref="L188:L194" si="23">K188*J188</f>
        <v>-3.5</v>
      </c>
      <c r="M188" s="76"/>
      <c r="N188" s="137">
        <f t="shared" si="20"/>
        <v>-5</v>
      </c>
      <c r="O188" s="79">
        <f t="shared" si="21"/>
        <v>-3.3333333333333339</v>
      </c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</row>
    <row r="189" spans="1:63" x14ac:dyDescent="0.3">
      <c r="B189" s="17"/>
      <c r="C189" s="73"/>
      <c r="D189" s="7"/>
      <c r="E189" s="73"/>
      <c r="F189" s="8"/>
      <c r="G189" s="74">
        <f>$F166</f>
        <v>5000</v>
      </c>
      <c r="H189" s="136">
        <f t="shared" si="22"/>
        <v>0</v>
      </c>
      <c r="I189" s="82"/>
      <c r="J189" s="8"/>
      <c r="K189" s="74">
        <f>$F166</f>
        <v>5000</v>
      </c>
      <c r="L189" s="136">
        <f t="shared" si="23"/>
        <v>0</v>
      </c>
      <c r="M189" s="83"/>
      <c r="N189" s="137">
        <f t="shared" si="20"/>
        <v>0</v>
      </c>
      <c r="O189" s="79" t="str">
        <f t="shared" si="21"/>
        <v/>
      </c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</row>
    <row r="190" spans="1:63" x14ac:dyDescent="0.3">
      <c r="B190" s="17"/>
      <c r="C190" s="73"/>
      <c r="D190" s="7"/>
      <c r="E190" s="73"/>
      <c r="F190" s="8"/>
      <c r="G190" s="74">
        <f>$F166</f>
        <v>5000</v>
      </c>
      <c r="H190" s="136">
        <f t="shared" si="22"/>
        <v>0</v>
      </c>
      <c r="I190" s="82"/>
      <c r="J190" s="8"/>
      <c r="K190" s="74">
        <f>$F166</f>
        <v>5000</v>
      </c>
      <c r="L190" s="136">
        <f t="shared" si="23"/>
        <v>0</v>
      </c>
      <c r="M190" s="83"/>
      <c r="N190" s="137">
        <f t="shared" si="20"/>
        <v>0</v>
      </c>
      <c r="O190" s="79" t="str">
        <f t="shared" si="21"/>
        <v/>
      </c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</row>
    <row r="191" spans="1:63" x14ac:dyDescent="0.3">
      <c r="B191" s="17"/>
      <c r="C191" s="73"/>
      <c r="D191" s="7"/>
      <c r="E191" s="73"/>
      <c r="F191" s="8"/>
      <c r="G191" s="74">
        <f>$F166</f>
        <v>5000</v>
      </c>
      <c r="H191" s="136">
        <f t="shared" si="22"/>
        <v>0</v>
      </c>
      <c r="I191" s="82"/>
      <c r="J191" s="8"/>
      <c r="K191" s="74">
        <f>$F166</f>
        <v>5000</v>
      </c>
      <c r="L191" s="136">
        <f t="shared" si="23"/>
        <v>0</v>
      </c>
      <c r="M191" s="83"/>
      <c r="N191" s="137">
        <f t="shared" si="20"/>
        <v>0</v>
      </c>
      <c r="O191" s="79" t="str">
        <f t="shared" si="21"/>
        <v/>
      </c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</row>
    <row r="192" spans="1:63" x14ac:dyDescent="0.3">
      <c r="B192" s="80" t="s">
        <v>36</v>
      </c>
      <c r="C192" s="73"/>
      <c r="D192" s="7" t="s">
        <v>27</v>
      </c>
      <c r="E192" s="73"/>
      <c r="F192" s="135">
        <v>2.0000000000000001E-4</v>
      </c>
      <c r="G192" s="74">
        <f>$F166</f>
        <v>5000</v>
      </c>
      <c r="H192" s="136">
        <f t="shared" si="22"/>
        <v>1</v>
      </c>
      <c r="I192" s="76"/>
      <c r="J192" s="135">
        <v>2.9999999999999997E-4</v>
      </c>
      <c r="K192" s="74">
        <f>$F166</f>
        <v>5000</v>
      </c>
      <c r="L192" s="136">
        <f t="shared" si="23"/>
        <v>1.4999999999999998</v>
      </c>
      <c r="M192" s="76"/>
      <c r="N192" s="137">
        <f t="shared" si="20"/>
        <v>0.49999999999999978</v>
      </c>
      <c r="O192" s="79">
        <f t="shared" si="21"/>
        <v>0.49999999999999978</v>
      </c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</row>
    <row r="193" spans="1:63" x14ac:dyDescent="0.3">
      <c r="B193" s="80" t="s">
        <v>37</v>
      </c>
      <c r="C193" s="73"/>
      <c r="D193" s="7" t="s">
        <v>27</v>
      </c>
      <c r="E193" s="73"/>
      <c r="F193" s="138">
        <f>IF(ISBLANK(D164)=TRUE, 0, IF(D164="TOU", 0.64*$F203+0.18*$F204+0.18*$F205, IF(AND(D164="non-TOU", G207&gt;0), F207,F206)))</f>
        <v>8.3919999999999995E-2</v>
      </c>
      <c r="G193" s="18">
        <f>$F166*(1+$F222)-$F166</f>
        <v>188.5</v>
      </c>
      <c r="H193" s="136">
        <f t="shared" si="22"/>
        <v>15.818919999999999</v>
      </c>
      <c r="I193" s="76"/>
      <c r="J193" s="138">
        <f>0.64*$F203+0.18*$F204+0.18*$F205</f>
        <v>8.3919999999999995E-2</v>
      </c>
      <c r="K193" s="18">
        <f>$F166*(1+$J222)-$F166</f>
        <v>188</v>
      </c>
      <c r="L193" s="136">
        <f t="shared" si="23"/>
        <v>15.776959999999999</v>
      </c>
      <c r="M193" s="76"/>
      <c r="N193" s="137">
        <f t="shared" si="20"/>
        <v>-4.1959999999999553E-2</v>
      </c>
      <c r="O193" s="79">
        <f t="shared" si="21"/>
        <v>-2.6525198938991764E-3</v>
      </c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</row>
    <row r="194" spans="1:63" x14ac:dyDescent="0.3">
      <c r="B194" s="80" t="s">
        <v>38</v>
      </c>
      <c r="C194" s="73"/>
      <c r="D194" s="7" t="s">
        <v>24</v>
      </c>
      <c r="E194" s="73"/>
      <c r="F194" s="138">
        <v>0.79</v>
      </c>
      <c r="G194" s="74">
        <v>1</v>
      </c>
      <c r="H194" s="136">
        <f t="shared" si="22"/>
        <v>0.79</v>
      </c>
      <c r="I194" s="76"/>
      <c r="J194" s="138">
        <v>0.79</v>
      </c>
      <c r="K194" s="81">
        <v>1</v>
      </c>
      <c r="L194" s="136">
        <f t="shared" si="23"/>
        <v>0.79</v>
      </c>
      <c r="M194" s="76"/>
      <c r="N194" s="137">
        <f t="shared" si="20"/>
        <v>0</v>
      </c>
      <c r="O194" s="79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</row>
    <row r="195" spans="1:63" s="4" customFormat="1" ht="26.4" x14ac:dyDescent="0.3">
      <c r="A195" s="60"/>
      <c r="B195" s="19" t="s">
        <v>39</v>
      </c>
      <c r="C195" s="20"/>
      <c r="D195" s="20"/>
      <c r="E195" s="20"/>
      <c r="F195" s="21"/>
      <c r="G195" s="22"/>
      <c r="H195" s="23">
        <f>SUM(H188:H194)+H187</f>
        <v>140.30892</v>
      </c>
      <c r="I195" s="13"/>
      <c r="J195" s="22"/>
      <c r="K195" s="24"/>
      <c r="L195" s="23">
        <f>SUM(L188:L194)+L187</f>
        <v>144.15696</v>
      </c>
      <c r="M195" s="13"/>
      <c r="N195" s="15">
        <f t="shared" si="20"/>
        <v>3.8480399999999975</v>
      </c>
      <c r="O195" s="16">
        <f t="shared" ref="O195:O207" si="24">IF((H195)=0,"",(N195/H195))</f>
        <v>2.7425483711228035E-2</v>
      </c>
      <c r="P195" s="60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</row>
    <row r="196" spans="1:63" x14ac:dyDescent="0.3">
      <c r="B196" s="76" t="s">
        <v>40</v>
      </c>
      <c r="C196" s="76"/>
      <c r="D196" s="25" t="s">
        <v>27</v>
      </c>
      <c r="E196" s="76"/>
      <c r="F196" s="135">
        <v>7.4000000000000003E-3</v>
      </c>
      <c r="G196" s="18">
        <f>F166*(1+F222)</f>
        <v>5188.5</v>
      </c>
      <c r="H196" s="136">
        <f>G196*F196</f>
        <v>38.3949</v>
      </c>
      <c r="I196" s="76"/>
      <c r="J196" s="135">
        <v>7.0000000000000001E-3</v>
      </c>
      <c r="K196" s="18">
        <f>F166*(1+J222)</f>
        <v>5188</v>
      </c>
      <c r="L196" s="136">
        <f>K196*J196</f>
        <v>36.316000000000003</v>
      </c>
      <c r="M196" s="76"/>
      <c r="N196" s="136">
        <f t="shared" si="20"/>
        <v>-2.0788999999999973</v>
      </c>
      <c r="O196" s="79">
        <f t="shared" si="24"/>
        <v>-5.4145211994301258E-2</v>
      </c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</row>
    <row r="197" spans="1:63" x14ac:dyDescent="0.3">
      <c r="B197" s="85" t="s">
        <v>41</v>
      </c>
      <c r="C197" s="76"/>
      <c r="D197" s="25" t="s">
        <v>27</v>
      </c>
      <c r="E197" s="76"/>
      <c r="F197" s="135">
        <v>5.0000000000000001E-3</v>
      </c>
      <c r="G197" s="18">
        <f>G196</f>
        <v>5188.5</v>
      </c>
      <c r="H197" s="136">
        <f>G197*F197</f>
        <v>25.942499999999999</v>
      </c>
      <c r="I197" s="76"/>
      <c r="J197" s="135">
        <v>3.5000000000000001E-3</v>
      </c>
      <c r="K197" s="18">
        <f>K196</f>
        <v>5188</v>
      </c>
      <c r="L197" s="136">
        <f>K197*J197</f>
        <v>18.158000000000001</v>
      </c>
      <c r="M197" s="76"/>
      <c r="N197" s="136">
        <f t="shared" si="20"/>
        <v>-7.7844999999999978</v>
      </c>
      <c r="O197" s="79">
        <f t="shared" si="24"/>
        <v>-0.3000674568757829</v>
      </c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</row>
    <row r="198" spans="1:63" s="4" customFormat="1" x14ac:dyDescent="0.3">
      <c r="A198" s="60"/>
      <c r="B198" s="19" t="s">
        <v>42</v>
      </c>
      <c r="C198" s="20"/>
      <c r="D198" s="20"/>
      <c r="E198" s="20"/>
      <c r="F198" s="21"/>
      <c r="G198" s="22"/>
      <c r="H198" s="23">
        <f>SUM(H195:H197)</f>
        <v>204.64632</v>
      </c>
      <c r="I198" s="13"/>
      <c r="J198" s="26"/>
      <c r="K198" s="22"/>
      <c r="L198" s="23">
        <f>SUM(L195:L197)</f>
        <v>198.63096000000002</v>
      </c>
      <c r="M198" s="13"/>
      <c r="N198" s="15">
        <f t="shared" si="20"/>
        <v>-6.0153599999999869</v>
      </c>
      <c r="O198" s="16">
        <f t="shared" si="24"/>
        <v>-2.939393193095281E-2</v>
      </c>
      <c r="P198" s="60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</row>
    <row r="199" spans="1:63" x14ac:dyDescent="0.3">
      <c r="B199" s="86" t="s">
        <v>43</v>
      </c>
      <c r="C199" s="73"/>
      <c r="D199" s="7" t="s">
        <v>27</v>
      </c>
      <c r="E199" s="73"/>
      <c r="F199" s="135">
        <v>4.4000000000000003E-3</v>
      </c>
      <c r="G199" s="18">
        <f>G197</f>
        <v>5188.5</v>
      </c>
      <c r="H199" s="139">
        <f t="shared" ref="H199:H207" si="25">G199*F199</f>
        <v>22.8294</v>
      </c>
      <c r="I199" s="76"/>
      <c r="J199" s="135">
        <f>+F199</f>
        <v>4.4000000000000003E-3</v>
      </c>
      <c r="K199" s="18">
        <f>K197</f>
        <v>5188</v>
      </c>
      <c r="L199" s="139">
        <f t="shared" ref="L199:L207" si="26">K199*J199</f>
        <v>22.827200000000001</v>
      </c>
      <c r="M199" s="76"/>
      <c r="N199" s="137">
        <f t="shared" si="20"/>
        <v>-2.1999999999984254E-3</v>
      </c>
      <c r="O199" s="87">
        <f t="shared" si="24"/>
        <v>-9.6366965404190446E-5</v>
      </c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</row>
    <row r="200" spans="1:63" x14ac:dyDescent="0.3">
      <c r="B200" s="86" t="s">
        <v>44</v>
      </c>
      <c r="C200" s="73"/>
      <c r="D200" s="7" t="s">
        <v>27</v>
      </c>
      <c r="E200" s="73"/>
      <c r="F200" s="135">
        <v>1.1999999999999999E-3</v>
      </c>
      <c r="G200" s="18">
        <f>G197</f>
        <v>5188.5</v>
      </c>
      <c r="H200" s="139">
        <f t="shared" si="25"/>
        <v>6.2261999999999995</v>
      </c>
      <c r="I200" s="76"/>
      <c r="J200" s="135">
        <f>+F200</f>
        <v>1.1999999999999999E-3</v>
      </c>
      <c r="K200" s="18">
        <f>K197</f>
        <v>5188</v>
      </c>
      <c r="L200" s="139">
        <f t="shared" si="26"/>
        <v>6.2255999999999991</v>
      </c>
      <c r="M200" s="76"/>
      <c r="N200" s="137">
        <f t="shared" si="20"/>
        <v>-6.0000000000037801E-4</v>
      </c>
      <c r="O200" s="87">
        <f t="shared" si="24"/>
        <v>-9.6366965404320144E-5</v>
      </c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</row>
    <row r="201" spans="1:63" x14ac:dyDescent="0.3">
      <c r="B201" s="73" t="s">
        <v>45</v>
      </c>
      <c r="C201" s="73"/>
      <c r="D201" s="7" t="s">
        <v>24</v>
      </c>
      <c r="E201" s="73"/>
      <c r="F201" s="135">
        <v>0.25</v>
      </c>
      <c r="G201" s="81">
        <v>1</v>
      </c>
      <c r="H201" s="139">
        <f t="shared" si="25"/>
        <v>0.25</v>
      </c>
      <c r="I201" s="76"/>
      <c r="J201" s="135">
        <f>+F201</f>
        <v>0.25</v>
      </c>
      <c r="K201" s="77">
        <v>1</v>
      </c>
      <c r="L201" s="139">
        <f t="shared" si="26"/>
        <v>0.25</v>
      </c>
      <c r="M201" s="76"/>
      <c r="N201" s="137">
        <f t="shared" si="20"/>
        <v>0</v>
      </c>
      <c r="O201" s="87">
        <f t="shared" si="24"/>
        <v>0</v>
      </c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</row>
    <row r="202" spans="1:63" x14ac:dyDescent="0.3">
      <c r="B202" s="73" t="s">
        <v>46</v>
      </c>
      <c r="C202" s="73"/>
      <c r="D202" s="7" t="s">
        <v>27</v>
      </c>
      <c r="E202" s="73"/>
      <c r="F202" s="135">
        <v>7.0000000000000001E-3</v>
      </c>
      <c r="G202" s="84">
        <f>F166</f>
        <v>5000</v>
      </c>
      <c r="H202" s="139">
        <f t="shared" si="25"/>
        <v>35</v>
      </c>
      <c r="I202" s="76"/>
      <c r="J202" s="135">
        <f>+F202</f>
        <v>7.0000000000000001E-3</v>
      </c>
      <c r="K202" s="77">
        <f>F166</f>
        <v>5000</v>
      </c>
      <c r="L202" s="139">
        <f t="shared" si="26"/>
        <v>35</v>
      </c>
      <c r="M202" s="76"/>
      <c r="N202" s="137">
        <f t="shared" si="20"/>
        <v>0</v>
      </c>
      <c r="O202" s="87">
        <f t="shared" si="24"/>
        <v>0</v>
      </c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</row>
    <row r="203" spans="1:63" x14ac:dyDescent="0.3">
      <c r="B203" s="80" t="s">
        <v>47</v>
      </c>
      <c r="C203" s="73"/>
      <c r="D203" s="7" t="s">
        <v>27</v>
      </c>
      <c r="E203" s="73"/>
      <c r="F203" s="138">
        <v>6.7000000000000004E-2</v>
      </c>
      <c r="G203" s="27">
        <f>0.64*$F166</f>
        <v>3200</v>
      </c>
      <c r="H203" s="139">
        <f t="shared" si="25"/>
        <v>214.4</v>
      </c>
      <c r="I203" s="76"/>
      <c r="J203" s="138">
        <v>6.7000000000000004E-2</v>
      </c>
      <c r="K203" s="28">
        <f>G203</f>
        <v>3200</v>
      </c>
      <c r="L203" s="139">
        <f t="shared" si="26"/>
        <v>214.4</v>
      </c>
      <c r="M203" s="76"/>
      <c r="N203" s="137">
        <f t="shared" si="20"/>
        <v>0</v>
      </c>
      <c r="O203" s="87">
        <f t="shared" si="24"/>
        <v>0</v>
      </c>
      <c r="Q203" s="126"/>
      <c r="R203" s="126"/>
      <c r="S203" s="127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</row>
    <row r="204" spans="1:63" x14ac:dyDescent="0.3">
      <c r="B204" s="80" t="s">
        <v>48</v>
      </c>
      <c r="C204" s="73"/>
      <c r="D204" s="7" t="s">
        <v>27</v>
      </c>
      <c r="E204" s="73"/>
      <c r="F204" s="138">
        <v>0.104</v>
      </c>
      <c r="G204" s="27">
        <f>0.18*$F166</f>
        <v>900</v>
      </c>
      <c r="H204" s="139">
        <f t="shared" si="25"/>
        <v>93.6</v>
      </c>
      <c r="I204" s="76"/>
      <c r="J204" s="138">
        <v>0.104</v>
      </c>
      <c r="K204" s="28">
        <f>G204</f>
        <v>900</v>
      </c>
      <c r="L204" s="139">
        <f t="shared" si="26"/>
        <v>93.6</v>
      </c>
      <c r="M204" s="76"/>
      <c r="N204" s="137">
        <f t="shared" si="20"/>
        <v>0</v>
      </c>
      <c r="O204" s="87">
        <f t="shared" si="24"/>
        <v>0</v>
      </c>
      <c r="Q204" s="126"/>
      <c r="R204" s="126"/>
      <c r="S204" s="127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</row>
    <row r="205" spans="1:63" x14ac:dyDescent="0.3">
      <c r="B205" s="64" t="s">
        <v>49</v>
      </c>
      <c r="C205" s="73"/>
      <c r="D205" s="7" t="s">
        <v>27</v>
      </c>
      <c r="E205" s="73"/>
      <c r="F205" s="138">
        <v>0.124</v>
      </c>
      <c r="G205" s="27">
        <f>0.18*$F166</f>
        <v>900</v>
      </c>
      <c r="H205" s="139">
        <f t="shared" si="25"/>
        <v>111.6</v>
      </c>
      <c r="I205" s="76"/>
      <c r="J205" s="138">
        <v>0.124</v>
      </c>
      <c r="K205" s="28">
        <f>G205</f>
        <v>900</v>
      </c>
      <c r="L205" s="139">
        <f t="shared" si="26"/>
        <v>111.6</v>
      </c>
      <c r="M205" s="76"/>
      <c r="N205" s="137">
        <f t="shared" si="20"/>
        <v>0</v>
      </c>
      <c r="O205" s="87">
        <f t="shared" si="24"/>
        <v>0</v>
      </c>
      <c r="Q205" s="126"/>
      <c r="R205" s="126"/>
      <c r="S205" s="127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</row>
    <row r="206" spans="1:63" s="92" customFormat="1" x14ac:dyDescent="0.25">
      <c r="B206" s="89" t="s">
        <v>50</v>
      </c>
      <c r="C206" s="90"/>
      <c r="D206" s="29" t="s">
        <v>27</v>
      </c>
      <c r="E206" s="90"/>
      <c r="F206" s="138">
        <v>7.4999999999999997E-2</v>
      </c>
      <c r="G206" s="30">
        <f>IF(AND($T$1=1, F166&gt;=750), 750, IF(AND($T$1=1, AND(F166&lt;750, F166&gt;=0)), F166, IF(AND($T$1=2, F166&gt;=750), 750, IF(AND($T$1=2, AND(F166&lt;750, F166&gt;=0)), F166))))</f>
        <v>750</v>
      </c>
      <c r="H206" s="139">
        <f t="shared" si="25"/>
        <v>56.25</v>
      </c>
      <c r="I206" s="91"/>
      <c r="J206" s="138">
        <v>7.4999999999999997E-2</v>
      </c>
      <c r="K206" s="31">
        <f>G206</f>
        <v>750</v>
      </c>
      <c r="L206" s="139">
        <f t="shared" si="26"/>
        <v>56.25</v>
      </c>
      <c r="M206" s="91"/>
      <c r="N206" s="140">
        <f t="shared" si="20"/>
        <v>0</v>
      </c>
      <c r="O206" s="87">
        <f t="shared" si="24"/>
        <v>0</v>
      </c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</row>
    <row r="207" spans="1:63" s="92" customFormat="1" ht="15" thickBot="1" x14ac:dyDescent="0.3">
      <c r="B207" s="89" t="s">
        <v>51</v>
      </c>
      <c r="C207" s="90"/>
      <c r="D207" s="29" t="s">
        <v>27</v>
      </c>
      <c r="E207" s="90"/>
      <c r="F207" s="138">
        <v>8.7999999999999995E-2</v>
      </c>
      <c r="G207" s="30">
        <f>IF(AND($T$1=1, F166&gt;=750), F166-750, IF(AND($T$1=1, AND(F166&lt;750, F166&gt;=0)), 0, IF(AND($T$1=2, F166&gt;=750), F166-750, IF(AND($T$1=2, AND(F166&lt;750, F166&gt;=0)), 0))))</f>
        <v>4250</v>
      </c>
      <c r="H207" s="139">
        <f t="shared" si="25"/>
        <v>374</v>
      </c>
      <c r="I207" s="91"/>
      <c r="J207" s="138">
        <v>8.7999999999999995E-2</v>
      </c>
      <c r="K207" s="31">
        <f>G207</f>
        <v>4250</v>
      </c>
      <c r="L207" s="139">
        <f t="shared" si="26"/>
        <v>374</v>
      </c>
      <c r="M207" s="91"/>
      <c r="N207" s="140">
        <f t="shared" si="20"/>
        <v>0</v>
      </c>
      <c r="O207" s="87">
        <f t="shared" si="24"/>
        <v>0</v>
      </c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</row>
    <row r="208" spans="1:63" s="4" customFormat="1" ht="15" thickBot="1" x14ac:dyDescent="0.35">
      <c r="A208" s="60"/>
      <c r="B208" s="32"/>
      <c r="C208" s="33"/>
      <c r="D208" s="124"/>
      <c r="E208" s="33"/>
      <c r="F208" s="35"/>
      <c r="G208" s="36"/>
      <c r="H208" s="122"/>
      <c r="I208" s="123"/>
      <c r="J208" s="35"/>
      <c r="K208" s="39"/>
      <c r="L208" s="122"/>
      <c r="M208" s="123"/>
      <c r="N208" s="40"/>
      <c r="O208" s="41"/>
      <c r="P208" s="60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</row>
    <row r="209" spans="1:63" x14ac:dyDescent="0.3">
      <c r="B209" s="93" t="s">
        <v>52</v>
      </c>
      <c r="C209" s="73"/>
      <c r="D209" s="73"/>
      <c r="E209" s="73"/>
      <c r="F209" s="94"/>
      <c r="G209" s="95"/>
      <c r="H209" s="141">
        <f>SUM(H199:H205,H198)</f>
        <v>688.55192000000011</v>
      </c>
      <c r="I209" s="96"/>
      <c r="J209" s="97"/>
      <c r="K209" s="97"/>
      <c r="L209" s="144">
        <f>SUM(L199:L205,L198)</f>
        <v>682.53376000000003</v>
      </c>
      <c r="M209" s="145"/>
      <c r="N209" s="146">
        <f>L209-H209</f>
        <v>-6.0181600000000799</v>
      </c>
      <c r="O209" s="98">
        <f>IF((H209)=0,"",(N209/H209))</f>
        <v>-8.7403140201832256E-3</v>
      </c>
      <c r="Q209" s="126"/>
      <c r="R209" s="126"/>
      <c r="S209" s="127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</row>
    <row r="210" spans="1:63" x14ac:dyDescent="0.3">
      <c r="B210" s="99" t="s">
        <v>53</v>
      </c>
      <c r="C210" s="73"/>
      <c r="D210" s="73"/>
      <c r="E210" s="73"/>
      <c r="F210" s="100">
        <v>0.13</v>
      </c>
      <c r="G210" s="101"/>
      <c r="H210" s="142">
        <f>H209*F210</f>
        <v>89.511749600000016</v>
      </c>
      <c r="I210" s="102"/>
      <c r="J210" s="103">
        <v>0.13</v>
      </c>
      <c r="K210" s="102"/>
      <c r="L210" s="147">
        <f>L209*J210</f>
        <v>88.729388800000009</v>
      </c>
      <c r="M210" s="148"/>
      <c r="N210" s="149">
        <f>L210-H210</f>
        <v>-0.78236080000000641</v>
      </c>
      <c r="O210" s="104">
        <f>IF((H210)=0,"",(N210/H210))</f>
        <v>-8.7403140201831805E-3</v>
      </c>
      <c r="Q210" s="126"/>
      <c r="R210" s="126"/>
      <c r="S210" s="127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</row>
    <row r="211" spans="1:63" x14ac:dyDescent="0.3">
      <c r="B211" s="105" t="s">
        <v>54</v>
      </c>
      <c r="C211" s="73"/>
      <c r="D211" s="73"/>
      <c r="E211" s="73"/>
      <c r="F211" s="106"/>
      <c r="G211" s="101"/>
      <c r="H211" s="142">
        <f>H209+H210</f>
        <v>778.06366960000014</v>
      </c>
      <c r="I211" s="102"/>
      <c r="J211" s="102"/>
      <c r="K211" s="102"/>
      <c r="L211" s="147">
        <f>L209+L210</f>
        <v>771.26314880000007</v>
      </c>
      <c r="M211" s="148"/>
      <c r="N211" s="149">
        <f>L211-H211</f>
        <v>-6.8005208000000721</v>
      </c>
      <c r="O211" s="104">
        <f>IF((H211)=0,"",(N211/H211))</f>
        <v>-8.7403140201832031E-3</v>
      </c>
      <c r="Q211" s="126"/>
      <c r="R211" s="126"/>
      <c r="S211" s="127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</row>
    <row r="212" spans="1:63" ht="14.4" customHeight="1" x14ac:dyDescent="0.3">
      <c r="B212" s="172" t="s">
        <v>55</v>
      </c>
      <c r="C212" s="172"/>
      <c r="D212" s="172"/>
      <c r="E212" s="73"/>
      <c r="F212" s="106"/>
      <c r="G212" s="101"/>
      <c r="H212" s="143">
        <f>ROUND(-H211*10%,2)</f>
        <v>-77.81</v>
      </c>
      <c r="I212" s="102"/>
      <c r="J212" s="102"/>
      <c r="K212" s="102"/>
      <c r="L212" s="150">
        <f>ROUND(-L211*10%,2)</f>
        <v>-77.13</v>
      </c>
      <c r="M212" s="148"/>
      <c r="N212" s="151">
        <f>L212-H212</f>
        <v>0.68000000000000682</v>
      </c>
      <c r="O212" s="107">
        <f>IF((H212)=0,"",(N212/H212))</f>
        <v>-8.7392366019792677E-3</v>
      </c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</row>
    <row r="213" spans="1:63" s="4" customFormat="1" ht="15" thickBot="1" x14ac:dyDescent="0.35">
      <c r="A213" s="60"/>
      <c r="B213" s="173" t="s">
        <v>56</v>
      </c>
      <c r="C213" s="173"/>
      <c r="D213" s="173"/>
      <c r="E213" s="42"/>
      <c r="F213" s="43"/>
      <c r="G213" s="44"/>
      <c r="H213" s="45">
        <f>H211+H212</f>
        <v>700.25366960000019</v>
      </c>
      <c r="I213" s="46"/>
      <c r="J213" s="46"/>
      <c r="K213" s="46"/>
      <c r="L213" s="47">
        <f>L211+L212</f>
        <v>694.13314880000007</v>
      </c>
      <c r="M213" s="48"/>
      <c r="N213" s="49">
        <f>L213-H213</f>
        <v>-6.1205208000001221</v>
      </c>
      <c r="O213" s="50">
        <f>IF((H213)=0,"",(N213/H213))</f>
        <v>-8.7404337395279828E-3</v>
      </c>
      <c r="P213" s="60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</row>
    <row r="214" spans="1:63" s="4" customFormat="1" ht="15" thickBot="1" x14ac:dyDescent="0.35">
      <c r="A214" s="60"/>
      <c r="B214" s="32"/>
      <c r="C214" s="33"/>
      <c r="D214" s="34"/>
      <c r="E214" s="33"/>
      <c r="F214" s="35"/>
      <c r="G214" s="36"/>
      <c r="H214" s="37"/>
      <c r="I214" s="38"/>
      <c r="J214" s="35"/>
      <c r="K214" s="39"/>
      <c r="L214" s="37"/>
      <c r="M214" s="123"/>
      <c r="N214" s="40"/>
      <c r="O214" s="41"/>
      <c r="P214" s="60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</row>
    <row r="215" spans="1:63" s="92" customFormat="1" ht="13.2" x14ac:dyDescent="0.25">
      <c r="B215" s="108" t="s">
        <v>57</v>
      </c>
      <c r="C215" s="90"/>
      <c r="D215" s="90"/>
      <c r="E215" s="90"/>
      <c r="F215" s="109"/>
      <c r="G215" s="110"/>
      <c r="H215" s="152">
        <f>SUM(H206:H207,H198,H199:H202)</f>
        <v>699.20191999999997</v>
      </c>
      <c r="I215" s="111"/>
      <c r="J215" s="112"/>
      <c r="K215" s="112"/>
      <c r="L215" s="155">
        <f>SUM(L206:L207,L198,L199:L202)</f>
        <v>693.18375999999989</v>
      </c>
      <c r="M215" s="156"/>
      <c r="N215" s="157">
        <f>L215-H215</f>
        <v>-6.0181600000000799</v>
      </c>
      <c r="O215" s="98">
        <f>IF((H215)=0,"",(N215/H215))</f>
        <v>-8.6071846026968581E-3</v>
      </c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</row>
    <row r="216" spans="1:63" s="92" customFormat="1" ht="13.2" x14ac:dyDescent="0.25">
      <c r="B216" s="113" t="s">
        <v>53</v>
      </c>
      <c r="C216" s="90"/>
      <c r="D216" s="90"/>
      <c r="E216" s="90"/>
      <c r="F216" s="114">
        <v>0.13</v>
      </c>
      <c r="G216" s="110"/>
      <c r="H216" s="153">
        <f>H215*F216</f>
        <v>90.896249600000004</v>
      </c>
      <c r="I216" s="115"/>
      <c r="J216" s="116">
        <v>0.13</v>
      </c>
      <c r="K216" s="117"/>
      <c r="L216" s="158">
        <f>L215*J216</f>
        <v>90.113888799999984</v>
      </c>
      <c r="M216" s="159"/>
      <c r="N216" s="160">
        <f>L216-H216</f>
        <v>-0.78236080000002062</v>
      </c>
      <c r="O216" s="104">
        <f>IF((H216)=0,"",(N216/H216))</f>
        <v>-8.6071846026969691E-3</v>
      </c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</row>
    <row r="217" spans="1:63" s="92" customFormat="1" ht="13.2" x14ac:dyDescent="0.25">
      <c r="B217" s="118" t="s">
        <v>54</v>
      </c>
      <c r="C217" s="90"/>
      <c r="D217" s="90"/>
      <c r="E217" s="90"/>
      <c r="F217" s="119"/>
      <c r="G217" s="120"/>
      <c r="H217" s="153">
        <f>H215+H216</f>
        <v>790.09816960000001</v>
      </c>
      <c r="I217" s="115"/>
      <c r="J217" s="115"/>
      <c r="K217" s="115"/>
      <c r="L217" s="158">
        <f>L215+L216</f>
        <v>783.29764879999993</v>
      </c>
      <c r="M217" s="159"/>
      <c r="N217" s="160">
        <f>L217-H217</f>
        <v>-6.8005208000000721</v>
      </c>
      <c r="O217" s="104">
        <f>IF((H217)=0,"",(N217/H217))</f>
        <v>-8.6071846026968338E-3</v>
      </c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63" s="92" customFormat="1" ht="13.2" customHeight="1" x14ac:dyDescent="0.25">
      <c r="B218" s="174" t="s">
        <v>55</v>
      </c>
      <c r="C218" s="174"/>
      <c r="D218" s="174"/>
      <c r="E218" s="90"/>
      <c r="F218" s="119"/>
      <c r="G218" s="120"/>
      <c r="H218" s="154">
        <f>ROUND(-H217*10%,2)</f>
        <v>-79.010000000000005</v>
      </c>
      <c r="I218" s="115"/>
      <c r="J218" s="115"/>
      <c r="K218" s="115"/>
      <c r="L218" s="161">
        <f>ROUND(-L217*10%,2)</f>
        <v>-78.33</v>
      </c>
      <c r="M218" s="159"/>
      <c r="N218" s="162">
        <f>L218-H218</f>
        <v>0.68000000000000682</v>
      </c>
      <c r="O218" s="107">
        <f>IF((H218)=0,"",(N218/H218))</f>
        <v>-8.6065055056322847E-3</v>
      </c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63" s="4" customFormat="1" ht="15" thickBot="1" x14ac:dyDescent="0.35">
      <c r="A219" s="60"/>
      <c r="B219" s="173" t="s">
        <v>58</v>
      </c>
      <c r="C219" s="173"/>
      <c r="D219" s="173"/>
      <c r="E219" s="42"/>
      <c r="F219" s="43"/>
      <c r="G219" s="44"/>
      <c r="H219" s="45">
        <f>SUM(H217:H218)</f>
        <v>711.08816960000001</v>
      </c>
      <c r="I219" s="46"/>
      <c r="J219" s="46"/>
      <c r="K219" s="46"/>
      <c r="L219" s="47">
        <f>SUM(L217:L218)</f>
        <v>704.96764879999989</v>
      </c>
      <c r="M219" s="48"/>
      <c r="N219" s="49">
        <f>L219-H219</f>
        <v>-6.1205208000001221</v>
      </c>
      <c r="O219" s="50">
        <f>IF((H219)=0,"",(N219/H219))</f>
        <v>-8.6072600581205364E-3</v>
      </c>
      <c r="P219" s="60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</row>
    <row r="220" spans="1:63" s="4" customFormat="1" ht="15" thickBot="1" x14ac:dyDescent="0.35">
      <c r="A220" s="60"/>
      <c r="B220" s="32"/>
      <c r="C220" s="33"/>
      <c r="D220" s="34"/>
      <c r="E220" s="33"/>
      <c r="F220" s="35"/>
      <c r="G220" s="36"/>
      <c r="H220" s="122"/>
      <c r="I220" s="123"/>
      <c r="J220" s="35"/>
      <c r="K220" s="39"/>
      <c r="L220" s="37"/>
      <c r="M220" s="123"/>
      <c r="N220" s="40"/>
      <c r="O220" s="41"/>
      <c r="P220" s="60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</row>
    <row r="221" spans="1:63" x14ac:dyDescent="0.3">
      <c r="L221" s="88"/>
    </row>
    <row r="222" spans="1:63" x14ac:dyDescent="0.3">
      <c r="B222" s="65" t="s">
        <v>59</v>
      </c>
      <c r="F222" s="51">
        <v>3.7699999999999997E-2</v>
      </c>
      <c r="J222" s="51">
        <f>+Residential!$J$74</f>
        <v>3.7600000000000001E-2</v>
      </c>
    </row>
    <row r="224" spans="1:63" x14ac:dyDescent="0.3">
      <c r="L224" s="56"/>
      <c r="M224" s="56"/>
      <c r="N224" s="56"/>
      <c r="O224" s="56"/>
      <c r="P224" s="56"/>
    </row>
    <row r="225" spans="1:16" ht="16.2" x14ac:dyDescent="0.3">
      <c r="A225" s="121" t="s">
        <v>60</v>
      </c>
    </row>
    <row r="227" spans="1:16" x14ac:dyDescent="0.3">
      <c r="A227" s="60" t="s">
        <v>61</v>
      </c>
    </row>
    <row r="228" spans="1:16" x14ac:dyDescent="0.3">
      <c r="A228" s="60" t="s">
        <v>62</v>
      </c>
    </row>
    <row r="230" spans="1:16" x14ac:dyDescent="0.3">
      <c r="B230" s="60" t="s">
        <v>63</v>
      </c>
    </row>
    <row r="234" spans="1:16" ht="18.75" customHeight="1" x14ac:dyDescent="0.3">
      <c r="B234" s="175" t="s">
        <v>6</v>
      </c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56"/>
    </row>
    <row r="235" spans="1:16" ht="19.2" customHeight="1" x14ac:dyDescent="0.3">
      <c r="B235" s="175" t="s">
        <v>7</v>
      </c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56"/>
    </row>
    <row r="236" spans="1:16" ht="7.5" customHeight="1" x14ac:dyDescent="0.3">
      <c r="L236" s="56"/>
      <c r="M236" s="56"/>
      <c r="N236" s="56"/>
      <c r="O236" s="56"/>
      <c r="P236" s="56"/>
    </row>
    <row r="237" spans="1:16" ht="7.5" customHeight="1" x14ac:dyDescent="0.3">
      <c r="L237" s="56"/>
      <c r="M237" s="56"/>
      <c r="N237" s="56"/>
      <c r="O237" s="56"/>
      <c r="P237" s="56"/>
    </row>
    <row r="238" spans="1:16" ht="15.6" x14ac:dyDescent="0.3">
      <c r="B238" s="61" t="s">
        <v>8</v>
      </c>
      <c r="D238" s="185" t="s">
        <v>66</v>
      </c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</row>
    <row r="239" spans="1:16" ht="7.5" customHeight="1" x14ac:dyDescent="0.3">
      <c r="B239" s="62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</row>
    <row r="240" spans="1:16" ht="15.6" x14ac:dyDescent="0.3">
      <c r="B240" s="61" t="s">
        <v>9</v>
      </c>
      <c r="D240" s="5" t="s">
        <v>10</v>
      </c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</row>
    <row r="241" spans="2:29" ht="15.6" x14ac:dyDescent="0.3">
      <c r="B241" s="62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</row>
    <row r="242" spans="2:29" ht="15" customHeight="1" x14ac:dyDescent="0.3">
      <c r="B242" s="64"/>
      <c r="D242" s="65" t="s">
        <v>11</v>
      </c>
      <c r="E242" s="65"/>
      <c r="F242" s="6">
        <v>10000</v>
      </c>
      <c r="G242" s="65" t="s">
        <v>12</v>
      </c>
    </row>
    <row r="243" spans="2:29" x14ac:dyDescent="0.3">
      <c r="B243" s="64"/>
      <c r="G243" s="65"/>
    </row>
    <row r="244" spans="2:29" x14ac:dyDescent="0.3">
      <c r="B244" s="64"/>
      <c r="D244" s="66"/>
      <c r="E244" s="66"/>
      <c r="F244" s="176" t="s">
        <v>13</v>
      </c>
      <c r="G244" s="177"/>
      <c r="H244" s="178"/>
      <c r="J244" s="176" t="s">
        <v>14</v>
      </c>
      <c r="K244" s="177"/>
      <c r="L244" s="178"/>
      <c r="N244" s="176" t="s">
        <v>15</v>
      </c>
      <c r="O244" s="178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</row>
    <row r="245" spans="2:29" x14ac:dyDescent="0.3">
      <c r="B245" s="64"/>
      <c r="D245" s="179" t="s">
        <v>16</v>
      </c>
      <c r="E245" s="67"/>
      <c r="F245" s="68" t="s">
        <v>17</v>
      </c>
      <c r="G245" s="68" t="s">
        <v>18</v>
      </c>
      <c r="H245" s="69" t="s">
        <v>19</v>
      </c>
      <c r="J245" s="68" t="s">
        <v>17</v>
      </c>
      <c r="K245" s="70" t="s">
        <v>18</v>
      </c>
      <c r="L245" s="69" t="s">
        <v>19</v>
      </c>
      <c r="N245" s="181" t="s">
        <v>20</v>
      </c>
      <c r="O245" s="183" t="s">
        <v>21</v>
      </c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</row>
    <row r="246" spans="2:29" x14ac:dyDescent="0.3">
      <c r="B246" s="64"/>
      <c r="D246" s="180"/>
      <c r="E246" s="67"/>
      <c r="F246" s="71" t="s">
        <v>22</v>
      </c>
      <c r="G246" s="71"/>
      <c r="H246" s="72" t="s">
        <v>22</v>
      </c>
      <c r="J246" s="71" t="s">
        <v>22</v>
      </c>
      <c r="K246" s="72"/>
      <c r="L246" s="72" t="s">
        <v>22</v>
      </c>
      <c r="N246" s="182"/>
      <c r="O246" s="184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</row>
    <row r="247" spans="2:29" x14ac:dyDescent="0.3">
      <c r="B247" s="73" t="s">
        <v>23</v>
      </c>
      <c r="C247" s="73"/>
      <c r="D247" s="7" t="s">
        <v>24</v>
      </c>
      <c r="E247" s="73"/>
      <c r="F247" s="129">
        <v>32.24</v>
      </c>
      <c r="G247" s="74">
        <v>1</v>
      </c>
      <c r="H247" s="75">
        <f t="shared" ref="H247:H262" si="27">G247*F247</f>
        <v>32.24</v>
      </c>
      <c r="I247" s="76"/>
      <c r="J247" s="129">
        <v>39.4</v>
      </c>
      <c r="K247" s="77">
        <v>1</v>
      </c>
      <c r="L247" s="75">
        <f t="shared" ref="L247:L262" si="28">K247*J247</f>
        <v>39.4</v>
      </c>
      <c r="M247" s="76"/>
      <c r="N247" s="78">
        <f t="shared" ref="N247:N283" si="29">L247-H247</f>
        <v>7.1599999999999966</v>
      </c>
      <c r="O247" s="79">
        <f t="shared" ref="O247:O269" si="30">IF((H247)=0,"",(N247/H247))</f>
        <v>0.22208436724565744</v>
      </c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</row>
    <row r="248" spans="2:29" x14ac:dyDescent="0.3">
      <c r="B248" s="73" t="s">
        <v>25</v>
      </c>
      <c r="C248" s="73"/>
      <c r="D248" s="7" t="s">
        <v>24</v>
      </c>
      <c r="E248" s="73"/>
      <c r="F248" s="133">
        <v>7.33</v>
      </c>
      <c r="G248" s="74">
        <v>1</v>
      </c>
      <c r="H248" s="136">
        <f t="shared" si="27"/>
        <v>7.33</v>
      </c>
      <c r="I248" s="76"/>
      <c r="J248" s="130"/>
      <c r="K248" s="77">
        <v>1</v>
      </c>
      <c r="L248" s="136">
        <f t="shared" si="28"/>
        <v>0</v>
      </c>
      <c r="M248" s="76"/>
      <c r="N248" s="137">
        <f t="shared" si="29"/>
        <v>-7.33</v>
      </c>
      <c r="O248" s="79">
        <f t="shared" si="30"/>
        <v>-1</v>
      </c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</row>
    <row r="249" spans="2:29" x14ac:dyDescent="0.3">
      <c r="B249" s="9"/>
      <c r="C249" s="73"/>
      <c r="D249" s="7"/>
      <c r="E249" s="73"/>
      <c r="F249" s="134"/>
      <c r="G249" s="74">
        <v>1</v>
      </c>
      <c r="H249" s="136">
        <f t="shared" si="27"/>
        <v>0</v>
      </c>
      <c r="I249" s="76"/>
      <c r="J249" s="131"/>
      <c r="K249" s="77">
        <v>1</v>
      </c>
      <c r="L249" s="136">
        <f t="shared" si="28"/>
        <v>0</v>
      </c>
      <c r="M249" s="76"/>
      <c r="N249" s="137">
        <f t="shared" si="29"/>
        <v>0</v>
      </c>
      <c r="O249" s="79" t="str">
        <f t="shared" si="30"/>
        <v/>
      </c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</row>
    <row r="250" spans="2:29" x14ac:dyDescent="0.3">
      <c r="B250" s="9"/>
      <c r="C250" s="73"/>
      <c r="D250" s="7"/>
      <c r="E250" s="73"/>
      <c r="F250" s="134"/>
      <c r="G250" s="74">
        <v>1</v>
      </c>
      <c r="H250" s="136">
        <f t="shared" si="27"/>
        <v>0</v>
      </c>
      <c r="I250" s="76"/>
      <c r="J250" s="131"/>
      <c r="K250" s="77">
        <v>1</v>
      </c>
      <c r="L250" s="136">
        <f t="shared" si="28"/>
        <v>0</v>
      </c>
      <c r="M250" s="76"/>
      <c r="N250" s="137">
        <f t="shared" si="29"/>
        <v>0</v>
      </c>
      <c r="O250" s="79" t="str">
        <f t="shared" si="30"/>
        <v/>
      </c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</row>
    <row r="251" spans="2:29" x14ac:dyDescent="0.3">
      <c r="B251" s="10"/>
      <c r="C251" s="73"/>
      <c r="D251" s="7"/>
      <c r="E251" s="73"/>
      <c r="F251" s="134"/>
      <c r="G251" s="74">
        <v>1</v>
      </c>
      <c r="H251" s="136">
        <f t="shared" si="27"/>
        <v>0</v>
      </c>
      <c r="I251" s="76"/>
      <c r="J251" s="131"/>
      <c r="K251" s="77">
        <v>1</v>
      </c>
      <c r="L251" s="136">
        <f t="shared" si="28"/>
        <v>0</v>
      </c>
      <c r="M251" s="76"/>
      <c r="N251" s="137">
        <f t="shared" si="29"/>
        <v>0</v>
      </c>
      <c r="O251" s="79" t="str">
        <f t="shared" si="30"/>
        <v/>
      </c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</row>
    <row r="252" spans="2:29" x14ac:dyDescent="0.3">
      <c r="B252" s="10"/>
      <c r="C252" s="73"/>
      <c r="D252" s="7"/>
      <c r="E252" s="73"/>
      <c r="F252" s="134"/>
      <c r="G252" s="74">
        <v>1</v>
      </c>
      <c r="H252" s="136">
        <f t="shared" si="27"/>
        <v>0</v>
      </c>
      <c r="I252" s="76"/>
      <c r="J252" s="131"/>
      <c r="K252" s="77">
        <v>1</v>
      </c>
      <c r="L252" s="136">
        <f t="shared" si="28"/>
        <v>0</v>
      </c>
      <c r="M252" s="76"/>
      <c r="N252" s="137">
        <f t="shared" si="29"/>
        <v>0</v>
      </c>
      <c r="O252" s="79" t="str">
        <f t="shared" si="30"/>
        <v/>
      </c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</row>
    <row r="253" spans="2:29" x14ac:dyDescent="0.3">
      <c r="B253" s="73" t="s">
        <v>26</v>
      </c>
      <c r="C253" s="73"/>
      <c r="D253" s="7" t="s">
        <v>27</v>
      </c>
      <c r="E253" s="73"/>
      <c r="F253" s="135">
        <v>1.4200000000000001E-2</v>
      </c>
      <c r="G253" s="74">
        <f>$F242</f>
        <v>10000</v>
      </c>
      <c r="H253" s="136">
        <f t="shared" si="27"/>
        <v>142</v>
      </c>
      <c r="I253" s="76"/>
      <c r="J253" s="132">
        <v>1.7399999999999999E-2</v>
      </c>
      <c r="K253" s="74">
        <f>$F242</f>
        <v>10000</v>
      </c>
      <c r="L253" s="136">
        <f t="shared" si="28"/>
        <v>174</v>
      </c>
      <c r="M253" s="76"/>
      <c r="N253" s="137">
        <f t="shared" si="29"/>
        <v>32</v>
      </c>
      <c r="O253" s="79">
        <f t="shared" si="30"/>
        <v>0.22535211267605634</v>
      </c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</row>
    <row r="254" spans="2:29" x14ac:dyDescent="0.3">
      <c r="B254" s="73" t="s">
        <v>28</v>
      </c>
      <c r="C254" s="73"/>
      <c r="D254" s="7" t="s">
        <v>24</v>
      </c>
      <c r="E254" s="73"/>
      <c r="F254" s="135">
        <v>4.63</v>
      </c>
      <c r="G254" s="74">
        <v>1</v>
      </c>
      <c r="H254" s="136">
        <f t="shared" si="27"/>
        <v>4.63</v>
      </c>
      <c r="I254" s="76"/>
      <c r="J254" s="132"/>
      <c r="K254" s="74">
        <v>1</v>
      </c>
      <c r="L254" s="136">
        <f t="shared" si="28"/>
        <v>0</v>
      </c>
      <c r="M254" s="76"/>
      <c r="N254" s="137">
        <f t="shared" si="29"/>
        <v>-4.63</v>
      </c>
      <c r="O254" s="79">
        <f t="shared" si="30"/>
        <v>-1</v>
      </c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</row>
    <row r="255" spans="2:29" x14ac:dyDescent="0.3">
      <c r="B255" s="73" t="s">
        <v>29</v>
      </c>
      <c r="C255" s="73"/>
      <c r="D255" s="7" t="s">
        <v>27</v>
      </c>
      <c r="E255" s="73"/>
      <c r="F255" s="135">
        <v>0</v>
      </c>
      <c r="G255" s="74">
        <f>$F242</f>
        <v>10000</v>
      </c>
      <c r="H255" s="136">
        <f t="shared" si="27"/>
        <v>0</v>
      </c>
      <c r="I255" s="76"/>
      <c r="J255" s="132">
        <v>1E-4</v>
      </c>
      <c r="K255" s="74">
        <f>$F242</f>
        <v>10000</v>
      </c>
      <c r="L255" s="136">
        <f t="shared" si="28"/>
        <v>1</v>
      </c>
      <c r="M255" s="76"/>
      <c r="N255" s="137">
        <f t="shared" si="29"/>
        <v>1</v>
      </c>
      <c r="O255" s="79" t="str">
        <f t="shared" si="30"/>
        <v/>
      </c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</row>
    <row r="256" spans="2:29" x14ac:dyDescent="0.3">
      <c r="B256" s="11" t="s">
        <v>30</v>
      </c>
      <c r="C256" s="73"/>
      <c r="D256" s="7" t="s">
        <v>27</v>
      </c>
      <c r="E256" s="73"/>
      <c r="F256" s="135">
        <v>1.5E-3</v>
      </c>
      <c r="G256" s="74">
        <f>$F242</f>
        <v>10000</v>
      </c>
      <c r="H256" s="136">
        <f t="shared" si="27"/>
        <v>15</v>
      </c>
      <c r="I256" s="76"/>
      <c r="J256" s="132"/>
      <c r="K256" s="74">
        <f>$F242</f>
        <v>10000</v>
      </c>
      <c r="L256" s="136">
        <f t="shared" si="28"/>
        <v>0</v>
      </c>
      <c r="M256" s="76"/>
      <c r="N256" s="137">
        <f t="shared" si="29"/>
        <v>-15</v>
      </c>
      <c r="O256" s="79">
        <f t="shared" si="30"/>
        <v>-1</v>
      </c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</row>
    <row r="257" spans="1:63" x14ac:dyDescent="0.3">
      <c r="B257" s="11" t="s">
        <v>31</v>
      </c>
      <c r="C257" s="73"/>
      <c r="D257" s="7" t="s">
        <v>27</v>
      </c>
      <c r="E257" s="73"/>
      <c r="F257" s="135">
        <v>-2.9999999999999997E-4</v>
      </c>
      <c r="G257" s="74">
        <f>$F242</f>
        <v>10000</v>
      </c>
      <c r="H257" s="136">
        <f t="shared" si="27"/>
        <v>-2.9999999999999996</v>
      </c>
      <c r="I257" s="76"/>
      <c r="J257" s="132"/>
      <c r="K257" s="74">
        <f>$F242</f>
        <v>10000</v>
      </c>
      <c r="L257" s="136">
        <f t="shared" si="28"/>
        <v>0</v>
      </c>
      <c r="M257" s="76"/>
      <c r="N257" s="137">
        <f t="shared" si="29"/>
        <v>2.9999999999999996</v>
      </c>
      <c r="O257" s="79">
        <f t="shared" si="30"/>
        <v>-1</v>
      </c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</row>
    <row r="258" spans="1:63" x14ac:dyDescent="0.3">
      <c r="B258" s="11" t="s">
        <v>32</v>
      </c>
      <c r="C258" s="73"/>
      <c r="D258" s="7" t="s">
        <v>24</v>
      </c>
      <c r="E258" s="73"/>
      <c r="F258" s="135"/>
      <c r="G258" s="74">
        <v>1</v>
      </c>
      <c r="H258" s="136">
        <f t="shared" si="27"/>
        <v>0</v>
      </c>
      <c r="I258" s="76"/>
      <c r="J258" s="132">
        <v>2.19</v>
      </c>
      <c r="K258" s="74">
        <v>1</v>
      </c>
      <c r="L258" s="136">
        <f t="shared" si="28"/>
        <v>2.19</v>
      </c>
      <c r="M258" s="76"/>
      <c r="N258" s="137">
        <f t="shared" si="29"/>
        <v>2.19</v>
      </c>
      <c r="O258" s="79" t="str">
        <f t="shared" si="30"/>
        <v/>
      </c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</row>
    <row r="259" spans="1:63" x14ac:dyDescent="0.3">
      <c r="B259" s="12" t="s">
        <v>33</v>
      </c>
      <c r="C259" s="73"/>
      <c r="D259" s="7" t="s">
        <v>27</v>
      </c>
      <c r="E259" s="73"/>
      <c r="F259" s="134"/>
      <c r="G259" s="74">
        <f>$F242</f>
        <v>10000</v>
      </c>
      <c r="H259" s="136">
        <f t="shared" si="27"/>
        <v>0</v>
      </c>
      <c r="I259" s="76"/>
      <c r="J259" s="132">
        <v>-1E-4</v>
      </c>
      <c r="K259" s="74">
        <f>$F242</f>
        <v>10000</v>
      </c>
      <c r="L259" s="136">
        <f t="shared" si="28"/>
        <v>-1</v>
      </c>
      <c r="M259" s="76"/>
      <c r="N259" s="137">
        <f t="shared" si="29"/>
        <v>-1</v>
      </c>
      <c r="O259" s="79" t="str">
        <f t="shared" si="30"/>
        <v/>
      </c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</row>
    <row r="260" spans="1:63" x14ac:dyDescent="0.3">
      <c r="B260" s="12" t="s">
        <v>77</v>
      </c>
      <c r="C260" s="73"/>
      <c r="D260" s="7" t="s">
        <v>27</v>
      </c>
      <c r="E260" s="73"/>
      <c r="F260" s="134"/>
      <c r="G260" s="74">
        <f>$F242</f>
        <v>10000</v>
      </c>
      <c r="H260" s="136">
        <f t="shared" si="27"/>
        <v>0</v>
      </c>
      <c r="I260" s="76"/>
      <c r="J260" s="132">
        <v>2.0000000000000001E-4</v>
      </c>
      <c r="K260" s="74">
        <f>$F242</f>
        <v>10000</v>
      </c>
      <c r="L260" s="136">
        <f t="shared" si="28"/>
        <v>2</v>
      </c>
      <c r="M260" s="76"/>
      <c r="N260" s="137">
        <f t="shared" si="29"/>
        <v>2</v>
      </c>
      <c r="O260" s="79" t="str">
        <f t="shared" si="30"/>
        <v/>
      </c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</row>
    <row r="261" spans="1:63" x14ac:dyDescent="0.3">
      <c r="B261" s="12"/>
      <c r="C261" s="73"/>
      <c r="D261" s="7"/>
      <c r="E261" s="73"/>
      <c r="F261" s="131"/>
      <c r="G261" s="74">
        <f>$F242</f>
        <v>10000</v>
      </c>
      <c r="H261" s="136">
        <f t="shared" si="27"/>
        <v>0</v>
      </c>
      <c r="I261" s="76"/>
      <c r="J261" s="131"/>
      <c r="K261" s="74">
        <f>$F242</f>
        <v>10000</v>
      </c>
      <c r="L261" s="136">
        <f t="shared" si="28"/>
        <v>0</v>
      </c>
      <c r="M261" s="76"/>
      <c r="N261" s="137">
        <f t="shared" si="29"/>
        <v>0</v>
      </c>
      <c r="O261" s="79" t="str">
        <f t="shared" si="30"/>
        <v/>
      </c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</row>
    <row r="262" spans="1:63" x14ac:dyDescent="0.3">
      <c r="B262" s="12"/>
      <c r="C262" s="73"/>
      <c r="D262" s="7"/>
      <c r="E262" s="73"/>
      <c r="F262" s="131"/>
      <c r="G262" s="74">
        <f>$F242</f>
        <v>10000</v>
      </c>
      <c r="H262" s="136">
        <f t="shared" si="27"/>
        <v>0</v>
      </c>
      <c r="I262" s="76"/>
      <c r="J262" s="131"/>
      <c r="K262" s="74">
        <f>$F242</f>
        <v>10000</v>
      </c>
      <c r="L262" s="136">
        <f t="shared" si="28"/>
        <v>0</v>
      </c>
      <c r="M262" s="76"/>
      <c r="N262" s="137">
        <f t="shared" si="29"/>
        <v>0</v>
      </c>
      <c r="O262" s="79" t="str">
        <f t="shared" si="30"/>
        <v/>
      </c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</row>
    <row r="263" spans="1:63" s="4" customFormat="1" x14ac:dyDescent="0.3">
      <c r="A263" s="60"/>
      <c r="B263" s="19" t="s">
        <v>34</v>
      </c>
      <c r="C263" s="20"/>
      <c r="D263" s="20"/>
      <c r="E263" s="20"/>
      <c r="F263" s="21"/>
      <c r="G263" s="22"/>
      <c r="H263" s="23">
        <f>SUM(H247:H262)</f>
        <v>198.2</v>
      </c>
      <c r="I263" s="13"/>
      <c r="J263" s="14"/>
      <c r="K263" s="24"/>
      <c r="L263" s="23">
        <f>SUM(L247:L262)</f>
        <v>217.59</v>
      </c>
      <c r="M263" s="13"/>
      <c r="N263" s="15">
        <f t="shared" si="29"/>
        <v>19.390000000000015</v>
      </c>
      <c r="O263" s="16">
        <f t="shared" si="30"/>
        <v>9.7830474268415818E-2</v>
      </c>
      <c r="P263" s="60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</row>
    <row r="264" spans="1:63" x14ac:dyDescent="0.3">
      <c r="B264" s="17" t="s">
        <v>35</v>
      </c>
      <c r="C264" s="73"/>
      <c r="D264" s="7" t="s">
        <v>27</v>
      </c>
      <c r="E264" s="73"/>
      <c r="F264" s="135">
        <v>2.9999999999999997E-4</v>
      </c>
      <c r="G264" s="74">
        <f>$F242</f>
        <v>10000</v>
      </c>
      <c r="H264" s="136">
        <f t="shared" ref="H264:H270" si="31">G264*F264</f>
        <v>2.9999999999999996</v>
      </c>
      <c r="I264" s="76"/>
      <c r="J264" s="135">
        <v>-6.9999999999999999E-4</v>
      </c>
      <c r="K264" s="74">
        <f>$F242</f>
        <v>10000</v>
      </c>
      <c r="L264" s="136">
        <f t="shared" ref="L264:L270" si="32">K264*J264</f>
        <v>-7</v>
      </c>
      <c r="M264" s="76"/>
      <c r="N264" s="137">
        <f t="shared" si="29"/>
        <v>-10</v>
      </c>
      <c r="O264" s="79">
        <f t="shared" si="30"/>
        <v>-3.3333333333333339</v>
      </c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</row>
    <row r="265" spans="1:63" x14ac:dyDescent="0.3">
      <c r="B265" s="17"/>
      <c r="C265" s="73"/>
      <c r="D265" s="7"/>
      <c r="E265" s="73"/>
      <c r="F265" s="8"/>
      <c r="G265" s="74">
        <f>$F242</f>
        <v>10000</v>
      </c>
      <c r="H265" s="136">
        <f t="shared" si="31"/>
        <v>0</v>
      </c>
      <c r="I265" s="82"/>
      <c r="J265" s="8"/>
      <c r="K265" s="74">
        <f>$F242</f>
        <v>10000</v>
      </c>
      <c r="L265" s="136">
        <f t="shared" si="32"/>
        <v>0</v>
      </c>
      <c r="M265" s="83"/>
      <c r="N265" s="137">
        <f t="shared" si="29"/>
        <v>0</v>
      </c>
      <c r="O265" s="79" t="str">
        <f t="shared" si="30"/>
        <v/>
      </c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</row>
    <row r="266" spans="1:63" x14ac:dyDescent="0.3">
      <c r="B266" s="17"/>
      <c r="C266" s="73"/>
      <c r="D266" s="7"/>
      <c r="E266" s="73"/>
      <c r="F266" s="8"/>
      <c r="G266" s="74">
        <f>$F242</f>
        <v>10000</v>
      </c>
      <c r="H266" s="136">
        <f t="shared" si="31"/>
        <v>0</v>
      </c>
      <c r="I266" s="82"/>
      <c r="J266" s="8"/>
      <c r="K266" s="74">
        <f>$F242</f>
        <v>10000</v>
      </c>
      <c r="L266" s="136">
        <f t="shared" si="32"/>
        <v>0</v>
      </c>
      <c r="M266" s="83"/>
      <c r="N266" s="137">
        <f t="shared" si="29"/>
        <v>0</v>
      </c>
      <c r="O266" s="79" t="str">
        <f t="shared" si="30"/>
        <v/>
      </c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</row>
    <row r="267" spans="1:63" x14ac:dyDescent="0.3">
      <c r="B267" s="17"/>
      <c r="C267" s="73"/>
      <c r="D267" s="7"/>
      <c r="E267" s="73"/>
      <c r="F267" s="8"/>
      <c r="G267" s="74">
        <f>$F242</f>
        <v>10000</v>
      </c>
      <c r="H267" s="136">
        <f t="shared" si="31"/>
        <v>0</v>
      </c>
      <c r="I267" s="82"/>
      <c r="J267" s="8"/>
      <c r="K267" s="74">
        <f>$F242</f>
        <v>10000</v>
      </c>
      <c r="L267" s="136">
        <f t="shared" si="32"/>
        <v>0</v>
      </c>
      <c r="M267" s="83"/>
      <c r="N267" s="137">
        <f t="shared" si="29"/>
        <v>0</v>
      </c>
      <c r="O267" s="79" t="str">
        <f t="shared" si="30"/>
        <v/>
      </c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</row>
    <row r="268" spans="1:63" x14ac:dyDescent="0.3">
      <c r="B268" s="80" t="s">
        <v>36</v>
      </c>
      <c r="C268" s="73"/>
      <c r="D268" s="7" t="s">
        <v>27</v>
      </c>
      <c r="E268" s="73"/>
      <c r="F268" s="135">
        <v>2.0000000000000001E-4</v>
      </c>
      <c r="G268" s="74">
        <f>$F242</f>
        <v>10000</v>
      </c>
      <c r="H268" s="136">
        <f t="shared" si="31"/>
        <v>2</v>
      </c>
      <c r="I268" s="76"/>
      <c r="J268" s="135">
        <v>2.9999999999999997E-4</v>
      </c>
      <c r="K268" s="74">
        <f>$F242</f>
        <v>10000</v>
      </c>
      <c r="L268" s="136">
        <f t="shared" si="32"/>
        <v>2.9999999999999996</v>
      </c>
      <c r="M268" s="76"/>
      <c r="N268" s="137">
        <f t="shared" si="29"/>
        <v>0.99999999999999956</v>
      </c>
      <c r="O268" s="79">
        <f t="shared" si="30"/>
        <v>0.49999999999999978</v>
      </c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</row>
    <row r="269" spans="1:63" x14ac:dyDescent="0.3">
      <c r="B269" s="80" t="s">
        <v>37</v>
      </c>
      <c r="C269" s="73"/>
      <c r="D269" s="7" t="s">
        <v>27</v>
      </c>
      <c r="E269" s="73"/>
      <c r="F269" s="138">
        <f>IF(ISBLANK(D240)=TRUE, 0, IF(D240="TOU", 0.64*$F279+0.18*$F280+0.18*$F281, IF(AND(D240="non-TOU", G283&gt;0), F283,F282)))</f>
        <v>8.3919999999999995E-2</v>
      </c>
      <c r="G269" s="18">
        <f>$F242*(1+$F298)-$F242</f>
        <v>377</v>
      </c>
      <c r="H269" s="136">
        <f t="shared" si="31"/>
        <v>31.637839999999997</v>
      </c>
      <c r="I269" s="76"/>
      <c r="J269" s="138">
        <f>0.64*$F279+0.18*$F280+0.18*$F281</f>
        <v>8.3919999999999995E-2</v>
      </c>
      <c r="K269" s="18">
        <f>$F242*(1+$J298)-$F242</f>
        <v>376</v>
      </c>
      <c r="L269" s="136">
        <f t="shared" si="32"/>
        <v>31.553919999999998</v>
      </c>
      <c r="M269" s="76"/>
      <c r="N269" s="137">
        <f t="shared" si="29"/>
        <v>-8.3919999999999106E-2</v>
      </c>
      <c r="O269" s="79">
        <f t="shared" si="30"/>
        <v>-2.6525198938991764E-3</v>
      </c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</row>
    <row r="270" spans="1:63" x14ac:dyDescent="0.3">
      <c r="B270" s="80" t="s">
        <v>38</v>
      </c>
      <c r="C270" s="73"/>
      <c r="D270" s="7" t="s">
        <v>24</v>
      </c>
      <c r="E270" s="73"/>
      <c r="F270" s="138">
        <v>0.79</v>
      </c>
      <c r="G270" s="74">
        <v>1</v>
      </c>
      <c r="H270" s="136">
        <f t="shared" si="31"/>
        <v>0.79</v>
      </c>
      <c r="I270" s="76"/>
      <c r="J270" s="138">
        <v>0.79</v>
      </c>
      <c r="K270" s="81">
        <v>1</v>
      </c>
      <c r="L270" s="136">
        <f t="shared" si="32"/>
        <v>0.79</v>
      </c>
      <c r="M270" s="76"/>
      <c r="N270" s="137">
        <f t="shared" si="29"/>
        <v>0</v>
      </c>
      <c r="O270" s="79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</row>
    <row r="271" spans="1:63" s="4" customFormat="1" ht="26.4" x14ac:dyDescent="0.3">
      <c r="A271" s="60"/>
      <c r="B271" s="19" t="s">
        <v>39</v>
      </c>
      <c r="C271" s="20"/>
      <c r="D271" s="20"/>
      <c r="E271" s="20"/>
      <c r="F271" s="21"/>
      <c r="G271" s="22"/>
      <c r="H271" s="23">
        <f>SUM(H264:H270)+H263</f>
        <v>235.62783999999999</v>
      </c>
      <c r="I271" s="13"/>
      <c r="J271" s="22"/>
      <c r="K271" s="24"/>
      <c r="L271" s="23">
        <f>SUM(L264:L270)+L263</f>
        <v>245.93392</v>
      </c>
      <c r="M271" s="13"/>
      <c r="N271" s="15">
        <f t="shared" si="29"/>
        <v>10.306080000000009</v>
      </c>
      <c r="O271" s="16">
        <f t="shared" ref="O271:O283" si="33">IF((H271)=0,"",(N271/H271))</f>
        <v>4.3738804378973255E-2</v>
      </c>
      <c r="P271" s="60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</row>
    <row r="272" spans="1:63" x14ac:dyDescent="0.3">
      <c r="B272" s="76" t="s">
        <v>40</v>
      </c>
      <c r="C272" s="76"/>
      <c r="D272" s="25" t="s">
        <v>27</v>
      </c>
      <c r="E272" s="76"/>
      <c r="F272" s="135">
        <v>7.4000000000000003E-3</v>
      </c>
      <c r="G272" s="18">
        <f>F242*(1+F298)</f>
        <v>10377</v>
      </c>
      <c r="H272" s="136">
        <f>G272*F272</f>
        <v>76.7898</v>
      </c>
      <c r="I272" s="76"/>
      <c r="J272" s="135">
        <v>7.0000000000000001E-3</v>
      </c>
      <c r="K272" s="18">
        <f>F242*(1+J298)</f>
        <v>10376</v>
      </c>
      <c r="L272" s="136">
        <f>K272*J272</f>
        <v>72.632000000000005</v>
      </c>
      <c r="M272" s="76"/>
      <c r="N272" s="136">
        <f t="shared" si="29"/>
        <v>-4.1577999999999946</v>
      </c>
      <c r="O272" s="79">
        <f t="shared" si="33"/>
        <v>-5.4145211994301258E-2</v>
      </c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</row>
    <row r="273" spans="1:63" x14ac:dyDescent="0.3">
      <c r="B273" s="85" t="s">
        <v>41</v>
      </c>
      <c r="C273" s="76"/>
      <c r="D273" s="25" t="s">
        <v>27</v>
      </c>
      <c r="E273" s="76"/>
      <c r="F273" s="135">
        <v>5.0000000000000001E-3</v>
      </c>
      <c r="G273" s="18">
        <f>G272</f>
        <v>10377</v>
      </c>
      <c r="H273" s="136">
        <f>G273*F273</f>
        <v>51.884999999999998</v>
      </c>
      <c r="I273" s="76"/>
      <c r="J273" s="135">
        <v>3.5000000000000001E-3</v>
      </c>
      <c r="K273" s="18">
        <f>K272</f>
        <v>10376</v>
      </c>
      <c r="L273" s="136">
        <f>K273*J273</f>
        <v>36.316000000000003</v>
      </c>
      <c r="M273" s="76"/>
      <c r="N273" s="136">
        <f t="shared" si="29"/>
        <v>-15.568999999999996</v>
      </c>
      <c r="O273" s="79">
        <f t="shared" si="33"/>
        <v>-0.3000674568757829</v>
      </c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</row>
    <row r="274" spans="1:63" s="4" customFormat="1" x14ac:dyDescent="0.3">
      <c r="A274" s="60"/>
      <c r="B274" s="19" t="s">
        <v>42</v>
      </c>
      <c r="C274" s="20"/>
      <c r="D274" s="20"/>
      <c r="E274" s="20"/>
      <c r="F274" s="21"/>
      <c r="G274" s="22"/>
      <c r="H274" s="23">
        <f>SUM(H271:H273)</f>
        <v>364.30264</v>
      </c>
      <c r="I274" s="13"/>
      <c r="J274" s="26"/>
      <c r="K274" s="22"/>
      <c r="L274" s="23">
        <f>SUM(L271:L273)</f>
        <v>354.88192000000004</v>
      </c>
      <c r="M274" s="13"/>
      <c r="N274" s="15">
        <f t="shared" si="29"/>
        <v>-9.4207199999999602</v>
      </c>
      <c r="O274" s="16">
        <f t="shared" si="33"/>
        <v>-2.5859598492066815E-2</v>
      </c>
      <c r="P274" s="60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</row>
    <row r="275" spans="1:63" x14ac:dyDescent="0.3">
      <c r="B275" s="86" t="s">
        <v>43</v>
      </c>
      <c r="C275" s="73"/>
      <c r="D275" s="7" t="s">
        <v>27</v>
      </c>
      <c r="E275" s="73"/>
      <c r="F275" s="135">
        <v>4.4000000000000003E-3</v>
      </c>
      <c r="G275" s="18">
        <f>G273</f>
        <v>10377</v>
      </c>
      <c r="H275" s="139">
        <f t="shared" ref="H275:H283" si="34">G275*F275</f>
        <v>45.658799999999999</v>
      </c>
      <c r="I275" s="76"/>
      <c r="J275" s="135">
        <f>+F275</f>
        <v>4.4000000000000003E-3</v>
      </c>
      <c r="K275" s="18">
        <f>K273</f>
        <v>10376</v>
      </c>
      <c r="L275" s="139">
        <f t="shared" ref="L275:L283" si="35">K275*J275</f>
        <v>45.654400000000003</v>
      </c>
      <c r="M275" s="76"/>
      <c r="N275" s="137">
        <f t="shared" si="29"/>
        <v>-4.3999999999968509E-3</v>
      </c>
      <c r="O275" s="87">
        <f t="shared" si="33"/>
        <v>-9.6366965404190446E-5</v>
      </c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</row>
    <row r="276" spans="1:63" x14ac:dyDescent="0.3">
      <c r="B276" s="86" t="s">
        <v>44</v>
      </c>
      <c r="C276" s="73"/>
      <c r="D276" s="7" t="s">
        <v>27</v>
      </c>
      <c r="E276" s="73"/>
      <c r="F276" s="135">
        <v>1.1999999999999999E-3</v>
      </c>
      <c r="G276" s="18">
        <f>G273</f>
        <v>10377</v>
      </c>
      <c r="H276" s="139">
        <f t="shared" si="34"/>
        <v>12.452399999999999</v>
      </c>
      <c r="I276" s="76"/>
      <c r="J276" s="135">
        <f>+F276</f>
        <v>1.1999999999999999E-3</v>
      </c>
      <c r="K276" s="18">
        <f>K273</f>
        <v>10376</v>
      </c>
      <c r="L276" s="139">
        <f t="shared" si="35"/>
        <v>12.451199999999998</v>
      </c>
      <c r="M276" s="76"/>
      <c r="N276" s="137">
        <f t="shared" si="29"/>
        <v>-1.200000000000756E-3</v>
      </c>
      <c r="O276" s="87">
        <f t="shared" si="33"/>
        <v>-9.6366965404320144E-5</v>
      </c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</row>
    <row r="277" spans="1:63" x14ac:dyDescent="0.3">
      <c r="B277" s="73" t="s">
        <v>45</v>
      </c>
      <c r="C277" s="73"/>
      <c r="D277" s="7" t="s">
        <v>24</v>
      </c>
      <c r="E277" s="73"/>
      <c r="F277" s="135">
        <v>0.25</v>
      </c>
      <c r="G277" s="81">
        <v>1</v>
      </c>
      <c r="H277" s="139">
        <f t="shared" si="34"/>
        <v>0.25</v>
      </c>
      <c r="I277" s="76"/>
      <c r="J277" s="135">
        <f>+F277</f>
        <v>0.25</v>
      </c>
      <c r="K277" s="77">
        <v>1</v>
      </c>
      <c r="L277" s="139">
        <f t="shared" si="35"/>
        <v>0.25</v>
      </c>
      <c r="M277" s="76"/>
      <c r="N277" s="137">
        <f t="shared" si="29"/>
        <v>0</v>
      </c>
      <c r="O277" s="87">
        <f t="shared" si="33"/>
        <v>0</v>
      </c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</row>
    <row r="278" spans="1:63" x14ac:dyDescent="0.3">
      <c r="B278" s="73" t="s">
        <v>46</v>
      </c>
      <c r="C278" s="73"/>
      <c r="D278" s="7" t="s">
        <v>27</v>
      </c>
      <c r="E278" s="73"/>
      <c r="F278" s="135">
        <v>7.0000000000000001E-3</v>
      </c>
      <c r="G278" s="84">
        <f>F242</f>
        <v>10000</v>
      </c>
      <c r="H278" s="139">
        <f t="shared" si="34"/>
        <v>70</v>
      </c>
      <c r="I278" s="76"/>
      <c r="J278" s="135">
        <f>+F278</f>
        <v>7.0000000000000001E-3</v>
      </c>
      <c r="K278" s="77">
        <f>F242</f>
        <v>10000</v>
      </c>
      <c r="L278" s="139">
        <f t="shared" si="35"/>
        <v>70</v>
      </c>
      <c r="M278" s="76"/>
      <c r="N278" s="137">
        <f t="shared" si="29"/>
        <v>0</v>
      </c>
      <c r="O278" s="87">
        <f t="shared" si="33"/>
        <v>0</v>
      </c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</row>
    <row r="279" spans="1:63" x14ac:dyDescent="0.3">
      <c r="B279" s="80" t="s">
        <v>47</v>
      </c>
      <c r="C279" s="73"/>
      <c r="D279" s="7" t="s">
        <v>27</v>
      </c>
      <c r="E279" s="73"/>
      <c r="F279" s="138">
        <v>6.7000000000000004E-2</v>
      </c>
      <c r="G279" s="27">
        <f>0.64*$F242</f>
        <v>6400</v>
      </c>
      <c r="H279" s="139">
        <f t="shared" si="34"/>
        <v>428.8</v>
      </c>
      <c r="I279" s="76"/>
      <c r="J279" s="138">
        <v>6.7000000000000004E-2</v>
      </c>
      <c r="K279" s="28">
        <f>G279</f>
        <v>6400</v>
      </c>
      <c r="L279" s="139">
        <f t="shared" si="35"/>
        <v>428.8</v>
      </c>
      <c r="M279" s="76"/>
      <c r="N279" s="137">
        <f t="shared" si="29"/>
        <v>0</v>
      </c>
      <c r="O279" s="87">
        <f t="shared" si="33"/>
        <v>0</v>
      </c>
      <c r="Q279" s="126"/>
      <c r="R279" s="126"/>
      <c r="S279" s="127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</row>
    <row r="280" spans="1:63" x14ac:dyDescent="0.3">
      <c r="B280" s="80" t="s">
        <v>48</v>
      </c>
      <c r="C280" s="73"/>
      <c r="D280" s="7" t="s">
        <v>27</v>
      </c>
      <c r="E280" s="73"/>
      <c r="F280" s="138">
        <v>0.104</v>
      </c>
      <c r="G280" s="27">
        <f>0.18*$F242</f>
        <v>1800</v>
      </c>
      <c r="H280" s="139">
        <f t="shared" si="34"/>
        <v>187.2</v>
      </c>
      <c r="I280" s="76"/>
      <c r="J280" s="138">
        <v>0.104</v>
      </c>
      <c r="K280" s="28">
        <f>G280</f>
        <v>1800</v>
      </c>
      <c r="L280" s="139">
        <f t="shared" si="35"/>
        <v>187.2</v>
      </c>
      <c r="M280" s="76"/>
      <c r="N280" s="137">
        <f t="shared" si="29"/>
        <v>0</v>
      </c>
      <c r="O280" s="87">
        <f t="shared" si="33"/>
        <v>0</v>
      </c>
      <c r="Q280" s="126"/>
      <c r="R280" s="126"/>
      <c r="S280" s="127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</row>
    <row r="281" spans="1:63" x14ac:dyDescent="0.3">
      <c r="B281" s="64" t="s">
        <v>49</v>
      </c>
      <c r="C281" s="73"/>
      <c r="D281" s="7" t="s">
        <v>27</v>
      </c>
      <c r="E281" s="73"/>
      <c r="F281" s="138">
        <v>0.124</v>
      </c>
      <c r="G281" s="27">
        <f>0.18*$F242</f>
        <v>1800</v>
      </c>
      <c r="H281" s="139">
        <f t="shared" si="34"/>
        <v>223.2</v>
      </c>
      <c r="I281" s="76"/>
      <c r="J281" s="138">
        <v>0.124</v>
      </c>
      <c r="K281" s="28">
        <f>G281</f>
        <v>1800</v>
      </c>
      <c r="L281" s="139">
        <f t="shared" si="35"/>
        <v>223.2</v>
      </c>
      <c r="M281" s="76"/>
      <c r="N281" s="137">
        <f t="shared" si="29"/>
        <v>0</v>
      </c>
      <c r="O281" s="87">
        <f t="shared" si="33"/>
        <v>0</v>
      </c>
      <c r="Q281" s="126"/>
      <c r="R281" s="126"/>
      <c r="S281" s="127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</row>
    <row r="282" spans="1:63" s="92" customFormat="1" x14ac:dyDescent="0.25">
      <c r="B282" s="89" t="s">
        <v>50</v>
      </c>
      <c r="C282" s="90"/>
      <c r="D282" s="29" t="s">
        <v>27</v>
      </c>
      <c r="E282" s="90"/>
      <c r="F282" s="138">
        <v>7.4999999999999997E-2</v>
      </c>
      <c r="G282" s="30">
        <f>IF(AND($T$1=1, F242&gt;=750), 750, IF(AND($T$1=1, AND(F242&lt;750, F242&gt;=0)), F242, IF(AND($T$1=2, F242&gt;=750), 750, IF(AND($T$1=2, AND(F242&lt;750, F242&gt;=0)), F242))))</f>
        <v>750</v>
      </c>
      <c r="H282" s="139">
        <f t="shared" si="34"/>
        <v>56.25</v>
      </c>
      <c r="I282" s="91"/>
      <c r="J282" s="138">
        <v>7.4999999999999997E-2</v>
      </c>
      <c r="K282" s="31">
        <f>G282</f>
        <v>750</v>
      </c>
      <c r="L282" s="139">
        <f t="shared" si="35"/>
        <v>56.25</v>
      </c>
      <c r="M282" s="91"/>
      <c r="N282" s="140">
        <f t="shared" si="29"/>
        <v>0</v>
      </c>
      <c r="O282" s="87">
        <f t="shared" si="33"/>
        <v>0</v>
      </c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</row>
    <row r="283" spans="1:63" s="92" customFormat="1" ht="15" thickBot="1" x14ac:dyDescent="0.3">
      <c r="B283" s="89" t="s">
        <v>51</v>
      </c>
      <c r="C283" s="90"/>
      <c r="D283" s="29" t="s">
        <v>27</v>
      </c>
      <c r="E283" s="90"/>
      <c r="F283" s="138">
        <v>8.7999999999999995E-2</v>
      </c>
      <c r="G283" s="30">
        <f>IF(AND($T$1=1, F242&gt;=750), F242-750, IF(AND($T$1=1, AND(F242&lt;750, F242&gt;=0)), 0, IF(AND($T$1=2, F242&gt;=750), F242-750, IF(AND($T$1=2, AND(F242&lt;750, F242&gt;=0)), 0))))</f>
        <v>9250</v>
      </c>
      <c r="H283" s="139">
        <f t="shared" si="34"/>
        <v>814</v>
      </c>
      <c r="I283" s="91"/>
      <c r="J283" s="138">
        <v>8.7999999999999995E-2</v>
      </c>
      <c r="K283" s="31">
        <f>G283</f>
        <v>9250</v>
      </c>
      <c r="L283" s="139">
        <f t="shared" si="35"/>
        <v>814</v>
      </c>
      <c r="M283" s="91"/>
      <c r="N283" s="140">
        <f t="shared" si="29"/>
        <v>0</v>
      </c>
      <c r="O283" s="87">
        <f t="shared" si="33"/>
        <v>0</v>
      </c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</row>
    <row r="284" spans="1:63" s="4" customFormat="1" ht="15" thickBot="1" x14ac:dyDescent="0.35">
      <c r="A284" s="60"/>
      <c r="B284" s="32"/>
      <c r="C284" s="33"/>
      <c r="D284" s="124"/>
      <c r="E284" s="33"/>
      <c r="F284" s="35"/>
      <c r="G284" s="36"/>
      <c r="H284" s="122"/>
      <c r="I284" s="123"/>
      <c r="J284" s="35"/>
      <c r="K284" s="39"/>
      <c r="L284" s="122"/>
      <c r="M284" s="123"/>
      <c r="N284" s="40"/>
      <c r="O284" s="41"/>
      <c r="P284" s="60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</row>
    <row r="285" spans="1:63" x14ac:dyDescent="0.3">
      <c r="B285" s="93" t="s">
        <v>52</v>
      </c>
      <c r="C285" s="73"/>
      <c r="D285" s="73"/>
      <c r="E285" s="73"/>
      <c r="F285" s="94"/>
      <c r="G285" s="95"/>
      <c r="H285" s="141">
        <f>SUM(H275:H281,H274)</f>
        <v>1331.86384</v>
      </c>
      <c r="I285" s="96"/>
      <c r="J285" s="97"/>
      <c r="K285" s="97"/>
      <c r="L285" s="144">
        <f>SUM(L275:L281,L274)</f>
        <v>1322.4375200000002</v>
      </c>
      <c r="M285" s="145"/>
      <c r="N285" s="146">
        <f>L285-H285</f>
        <v>-9.4263199999998051</v>
      </c>
      <c r="O285" s="98">
        <f>IF((H285)=0,"",(N285/H285))</f>
        <v>-7.0775402987138724E-3</v>
      </c>
      <c r="Q285" s="126"/>
      <c r="R285" s="126"/>
      <c r="S285" s="127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</row>
    <row r="286" spans="1:63" x14ac:dyDescent="0.3">
      <c r="B286" s="99" t="s">
        <v>53</v>
      </c>
      <c r="C286" s="73"/>
      <c r="D286" s="73"/>
      <c r="E286" s="73"/>
      <c r="F286" s="100">
        <v>0.13</v>
      </c>
      <c r="G286" s="101"/>
      <c r="H286" s="142">
        <f>H285*F286</f>
        <v>173.1422992</v>
      </c>
      <c r="I286" s="102"/>
      <c r="J286" s="103">
        <v>0.13</v>
      </c>
      <c r="K286" s="102"/>
      <c r="L286" s="147">
        <f>L285*J286</f>
        <v>171.91687760000002</v>
      </c>
      <c r="M286" s="148"/>
      <c r="N286" s="149">
        <f>L286-H286</f>
        <v>-1.2254215999999758</v>
      </c>
      <c r="O286" s="104">
        <f>IF((H286)=0,"",(N286/H286))</f>
        <v>-7.0775402987138794E-3</v>
      </c>
      <c r="Q286" s="126"/>
      <c r="R286" s="126"/>
      <c r="S286" s="127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</row>
    <row r="287" spans="1:63" x14ac:dyDescent="0.3">
      <c r="B287" s="105" t="s">
        <v>54</v>
      </c>
      <c r="C287" s="73"/>
      <c r="D287" s="73"/>
      <c r="E287" s="73"/>
      <c r="F287" s="106"/>
      <c r="G287" s="101"/>
      <c r="H287" s="142">
        <f>H285+H286</f>
        <v>1505.0061392</v>
      </c>
      <c r="I287" s="102"/>
      <c r="J287" s="102"/>
      <c r="K287" s="102"/>
      <c r="L287" s="147">
        <f>L285+L286</f>
        <v>1494.3543976000001</v>
      </c>
      <c r="M287" s="148"/>
      <c r="N287" s="149">
        <f>L287-H287</f>
        <v>-10.651741599999923</v>
      </c>
      <c r="O287" s="104">
        <f>IF((H287)=0,"",(N287/H287))</f>
        <v>-7.0775402987139678E-3</v>
      </c>
      <c r="Q287" s="126"/>
      <c r="R287" s="126"/>
      <c r="S287" s="127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</row>
    <row r="288" spans="1:63" ht="14.4" customHeight="1" x14ac:dyDescent="0.3">
      <c r="B288" s="172" t="s">
        <v>55</v>
      </c>
      <c r="C288" s="172"/>
      <c r="D288" s="172"/>
      <c r="E288" s="73"/>
      <c r="F288" s="106"/>
      <c r="G288" s="101"/>
      <c r="H288" s="143">
        <f>ROUND(-H287*10%,2)</f>
        <v>-150.5</v>
      </c>
      <c r="I288" s="102"/>
      <c r="J288" s="102"/>
      <c r="K288" s="102"/>
      <c r="L288" s="150">
        <f>ROUND(-L287*10%,2)</f>
        <v>-149.44</v>
      </c>
      <c r="M288" s="148"/>
      <c r="N288" s="151">
        <f>L288-H288</f>
        <v>1.0600000000000023</v>
      </c>
      <c r="O288" s="107">
        <f>IF((H288)=0,"",(N288/H288))</f>
        <v>-7.0431893687707796E-3</v>
      </c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</row>
    <row r="289" spans="1:63" s="4" customFormat="1" ht="15" thickBot="1" x14ac:dyDescent="0.35">
      <c r="A289" s="60"/>
      <c r="B289" s="173" t="s">
        <v>56</v>
      </c>
      <c r="C289" s="173"/>
      <c r="D289" s="173"/>
      <c r="E289" s="42"/>
      <c r="F289" s="43"/>
      <c r="G289" s="44"/>
      <c r="H289" s="45">
        <f>H287+H288</f>
        <v>1354.5061392</v>
      </c>
      <c r="I289" s="46"/>
      <c r="J289" s="46"/>
      <c r="K289" s="46"/>
      <c r="L289" s="47">
        <f>L287+L288</f>
        <v>1344.9143976</v>
      </c>
      <c r="M289" s="48"/>
      <c r="N289" s="49">
        <f>L289-H289</f>
        <v>-9.5917415999999776</v>
      </c>
      <c r="O289" s="50">
        <f>IF((H289)=0,"",(N289/H289))</f>
        <v>-7.081357051408466E-3</v>
      </c>
      <c r="P289" s="60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</row>
    <row r="290" spans="1:63" s="4" customFormat="1" ht="15" thickBot="1" x14ac:dyDescent="0.35">
      <c r="A290" s="60"/>
      <c r="B290" s="32"/>
      <c r="C290" s="33"/>
      <c r="D290" s="34"/>
      <c r="E290" s="33"/>
      <c r="F290" s="35"/>
      <c r="G290" s="36"/>
      <c r="H290" s="37"/>
      <c r="I290" s="38"/>
      <c r="J290" s="35"/>
      <c r="K290" s="39"/>
      <c r="L290" s="37"/>
      <c r="M290" s="123"/>
      <c r="N290" s="40"/>
      <c r="O290" s="41"/>
      <c r="P290" s="60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</row>
    <row r="291" spans="1:63" s="92" customFormat="1" ht="13.2" x14ac:dyDescent="0.25">
      <c r="B291" s="108" t="s">
        <v>57</v>
      </c>
      <c r="C291" s="90"/>
      <c r="D291" s="90"/>
      <c r="E291" s="90"/>
      <c r="F291" s="109"/>
      <c r="G291" s="110"/>
      <c r="H291" s="152">
        <f>SUM(H282:H283,H274,H275:H278)</f>
        <v>1362.9138399999997</v>
      </c>
      <c r="I291" s="111"/>
      <c r="J291" s="112"/>
      <c r="K291" s="112"/>
      <c r="L291" s="155">
        <f>SUM(L282:L283,L274,L275:L278)</f>
        <v>1353.4875199999999</v>
      </c>
      <c r="M291" s="156"/>
      <c r="N291" s="157">
        <f>L291-H291</f>
        <v>-9.4263199999998051</v>
      </c>
      <c r="O291" s="98">
        <f>IF((H291)=0,"",(N291/H291))</f>
        <v>-6.9162992724468974E-3</v>
      </c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</row>
    <row r="292" spans="1:63" s="92" customFormat="1" ht="13.2" x14ac:dyDescent="0.25">
      <c r="B292" s="113" t="s">
        <v>53</v>
      </c>
      <c r="C292" s="90"/>
      <c r="D292" s="90"/>
      <c r="E292" s="90"/>
      <c r="F292" s="114">
        <v>0.13</v>
      </c>
      <c r="G292" s="110"/>
      <c r="H292" s="153">
        <f>H291*F292</f>
        <v>177.17879919999996</v>
      </c>
      <c r="I292" s="115"/>
      <c r="J292" s="116">
        <v>0.13</v>
      </c>
      <c r="K292" s="117"/>
      <c r="L292" s="158">
        <f>L291*J292</f>
        <v>175.95337759999998</v>
      </c>
      <c r="M292" s="159"/>
      <c r="N292" s="160">
        <f>L292-H292</f>
        <v>-1.2254215999999758</v>
      </c>
      <c r="O292" s="104">
        <f>IF((H292)=0,"",(N292/H292))</f>
        <v>-6.9162992724469043E-3</v>
      </c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63" s="92" customFormat="1" ht="13.2" x14ac:dyDescent="0.25">
      <c r="B293" s="118" t="s">
        <v>54</v>
      </c>
      <c r="C293" s="90"/>
      <c r="D293" s="90"/>
      <c r="E293" s="90"/>
      <c r="F293" s="119"/>
      <c r="G293" s="120"/>
      <c r="H293" s="153">
        <f>H291+H292</f>
        <v>1540.0926391999997</v>
      </c>
      <c r="I293" s="115"/>
      <c r="J293" s="115"/>
      <c r="K293" s="115"/>
      <c r="L293" s="158">
        <f>L291+L292</f>
        <v>1529.4408976</v>
      </c>
      <c r="M293" s="159"/>
      <c r="N293" s="160">
        <f>L293-H293</f>
        <v>-10.651741599999696</v>
      </c>
      <c r="O293" s="104">
        <f>IF((H293)=0,"",(N293/H293))</f>
        <v>-6.9162992724468427E-3</v>
      </c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63" s="92" customFormat="1" ht="13.2" customHeight="1" x14ac:dyDescent="0.25">
      <c r="B294" s="174" t="s">
        <v>55</v>
      </c>
      <c r="C294" s="174"/>
      <c r="D294" s="174"/>
      <c r="E294" s="90"/>
      <c r="F294" s="119"/>
      <c r="G294" s="120"/>
      <c r="H294" s="154">
        <f>ROUND(-H293*10%,2)</f>
        <v>-154.01</v>
      </c>
      <c r="I294" s="115"/>
      <c r="J294" s="115"/>
      <c r="K294" s="115"/>
      <c r="L294" s="161">
        <f>ROUND(-L293*10%,2)</f>
        <v>-152.94</v>
      </c>
      <c r="M294" s="159"/>
      <c r="N294" s="162">
        <f>L294-H294</f>
        <v>1.0699999999999932</v>
      </c>
      <c r="O294" s="107">
        <f>IF((H294)=0,"",(N294/H294))</f>
        <v>-6.9476008051424796E-3</v>
      </c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</row>
    <row r="295" spans="1:63" s="4" customFormat="1" ht="15" thickBot="1" x14ac:dyDescent="0.35">
      <c r="A295" s="60"/>
      <c r="B295" s="173" t="s">
        <v>58</v>
      </c>
      <c r="C295" s="173"/>
      <c r="D295" s="173"/>
      <c r="E295" s="42"/>
      <c r="F295" s="43"/>
      <c r="G295" s="44"/>
      <c r="H295" s="45">
        <f>SUM(H293:H294)</f>
        <v>1386.0826391999997</v>
      </c>
      <c r="I295" s="46"/>
      <c r="J295" s="46"/>
      <c r="K295" s="46"/>
      <c r="L295" s="47">
        <f>SUM(L293:L294)</f>
        <v>1376.5008975999999</v>
      </c>
      <c r="M295" s="48"/>
      <c r="N295" s="49">
        <f>L295-H295</f>
        <v>-9.5817415999997593</v>
      </c>
      <c r="O295" s="50">
        <f>IF((H295)=0,"",(N295/H295))</f>
        <v>-6.9128213058999273E-3</v>
      </c>
      <c r="P295" s="60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</row>
    <row r="296" spans="1:63" s="4" customFormat="1" ht="15" thickBot="1" x14ac:dyDescent="0.35">
      <c r="A296" s="60"/>
      <c r="B296" s="32"/>
      <c r="C296" s="33"/>
      <c r="D296" s="34"/>
      <c r="E296" s="33"/>
      <c r="F296" s="35"/>
      <c r="G296" s="36"/>
      <c r="H296" s="122"/>
      <c r="I296" s="123"/>
      <c r="J296" s="35"/>
      <c r="K296" s="39"/>
      <c r="L296" s="37"/>
      <c r="M296" s="123"/>
      <c r="N296" s="40"/>
      <c r="O296" s="41"/>
      <c r="P296" s="60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</row>
    <row r="297" spans="1:63" x14ac:dyDescent="0.3">
      <c r="L297" s="88"/>
    </row>
    <row r="298" spans="1:63" x14ac:dyDescent="0.3">
      <c r="B298" s="65" t="s">
        <v>59</v>
      </c>
      <c r="F298" s="51">
        <v>3.7699999999999997E-2</v>
      </c>
      <c r="J298" s="51">
        <f>+Residential!$J$74</f>
        <v>3.7600000000000001E-2</v>
      </c>
    </row>
    <row r="300" spans="1:63" x14ac:dyDescent="0.3">
      <c r="L300" s="56"/>
      <c r="M300" s="56"/>
      <c r="N300" s="56"/>
      <c r="O300" s="56"/>
      <c r="P300" s="56"/>
    </row>
    <row r="301" spans="1:63" ht="16.2" x14ac:dyDescent="0.3">
      <c r="A301" s="121" t="s">
        <v>60</v>
      </c>
    </row>
    <row r="303" spans="1:63" x14ac:dyDescent="0.3">
      <c r="A303" s="60" t="s">
        <v>61</v>
      </c>
    </row>
    <row r="304" spans="1:63" x14ac:dyDescent="0.3">
      <c r="A304" s="60" t="s">
        <v>62</v>
      </c>
    </row>
    <row r="306" spans="2:29" x14ac:dyDescent="0.3">
      <c r="B306" s="60" t="s">
        <v>63</v>
      </c>
    </row>
    <row r="309" spans="2:29" ht="18.75" customHeight="1" x14ac:dyDescent="0.3">
      <c r="B309" s="175" t="s">
        <v>6</v>
      </c>
      <c r="C309" s="175"/>
      <c r="D309" s="175"/>
      <c r="E309" s="175"/>
      <c r="F309" s="175"/>
      <c r="G309" s="175"/>
      <c r="H309" s="175"/>
      <c r="I309" s="175"/>
      <c r="J309" s="175"/>
      <c r="K309" s="175"/>
      <c r="L309" s="175"/>
      <c r="M309" s="175"/>
      <c r="N309" s="175"/>
      <c r="O309" s="175"/>
      <c r="P309" s="56"/>
    </row>
    <row r="310" spans="2:29" ht="19.2" customHeight="1" x14ac:dyDescent="0.3">
      <c r="B310" s="175" t="s">
        <v>7</v>
      </c>
      <c r="C310" s="175"/>
      <c r="D310" s="175"/>
      <c r="E310" s="175"/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56"/>
    </row>
    <row r="311" spans="2:29" ht="7.5" customHeight="1" x14ac:dyDescent="0.3">
      <c r="L311" s="56"/>
      <c r="M311" s="56"/>
      <c r="N311" s="56"/>
      <c r="O311" s="56"/>
      <c r="P311" s="56"/>
    </row>
    <row r="312" spans="2:29" ht="7.5" customHeight="1" x14ac:dyDescent="0.3">
      <c r="L312" s="56"/>
      <c r="M312" s="56"/>
      <c r="N312" s="56"/>
      <c r="O312" s="56"/>
      <c r="P312" s="56"/>
    </row>
    <row r="313" spans="2:29" ht="15.6" x14ac:dyDescent="0.3">
      <c r="B313" s="61" t="s">
        <v>8</v>
      </c>
      <c r="D313" s="185" t="s">
        <v>66</v>
      </c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</row>
    <row r="314" spans="2:29" ht="7.5" customHeight="1" x14ac:dyDescent="0.3">
      <c r="B314" s="62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</row>
    <row r="315" spans="2:29" ht="15.6" x14ac:dyDescent="0.3">
      <c r="B315" s="61" t="s">
        <v>9</v>
      </c>
      <c r="D315" s="5" t="s">
        <v>10</v>
      </c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</row>
    <row r="316" spans="2:29" ht="15.6" x14ac:dyDescent="0.3">
      <c r="B316" s="62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</row>
    <row r="317" spans="2:29" ht="15" customHeight="1" x14ac:dyDescent="0.3">
      <c r="B317" s="64"/>
      <c r="D317" s="65" t="s">
        <v>11</v>
      </c>
      <c r="E317" s="65"/>
      <c r="F317" s="6">
        <v>15000</v>
      </c>
      <c r="G317" s="65" t="s">
        <v>12</v>
      </c>
    </row>
    <row r="318" spans="2:29" x14ac:dyDescent="0.3">
      <c r="B318" s="64"/>
      <c r="G318" s="65"/>
    </row>
    <row r="319" spans="2:29" x14ac:dyDescent="0.3">
      <c r="B319" s="64"/>
      <c r="D319" s="66"/>
      <c r="E319" s="66"/>
      <c r="F319" s="176" t="s">
        <v>13</v>
      </c>
      <c r="G319" s="177"/>
      <c r="H319" s="178"/>
      <c r="J319" s="176" t="s">
        <v>14</v>
      </c>
      <c r="K319" s="177"/>
      <c r="L319" s="178"/>
      <c r="N319" s="176" t="s">
        <v>15</v>
      </c>
      <c r="O319" s="178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</row>
    <row r="320" spans="2:29" x14ac:dyDescent="0.3">
      <c r="B320" s="64"/>
      <c r="D320" s="179" t="s">
        <v>16</v>
      </c>
      <c r="E320" s="67"/>
      <c r="F320" s="68" t="s">
        <v>17</v>
      </c>
      <c r="G320" s="68" t="s">
        <v>18</v>
      </c>
      <c r="H320" s="69" t="s">
        <v>19</v>
      </c>
      <c r="J320" s="68" t="s">
        <v>17</v>
      </c>
      <c r="K320" s="70" t="s">
        <v>18</v>
      </c>
      <c r="L320" s="69" t="s">
        <v>19</v>
      </c>
      <c r="N320" s="181" t="s">
        <v>20</v>
      </c>
      <c r="O320" s="183" t="s">
        <v>21</v>
      </c>
      <c r="Q320" s="126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  <c r="AB320" s="126"/>
      <c r="AC320" s="126"/>
    </row>
    <row r="321" spans="2:29" x14ac:dyDescent="0.3">
      <c r="B321" s="64"/>
      <c r="D321" s="180"/>
      <c r="E321" s="67"/>
      <c r="F321" s="71" t="s">
        <v>22</v>
      </c>
      <c r="G321" s="71"/>
      <c r="H321" s="72" t="s">
        <v>22</v>
      </c>
      <c r="J321" s="71" t="s">
        <v>22</v>
      </c>
      <c r="K321" s="72"/>
      <c r="L321" s="72" t="s">
        <v>22</v>
      </c>
      <c r="N321" s="182"/>
      <c r="O321" s="184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</row>
    <row r="322" spans="2:29" x14ac:dyDescent="0.3">
      <c r="B322" s="73" t="s">
        <v>23</v>
      </c>
      <c r="C322" s="73"/>
      <c r="D322" s="7" t="s">
        <v>24</v>
      </c>
      <c r="E322" s="73"/>
      <c r="F322" s="129">
        <v>32.24</v>
      </c>
      <c r="G322" s="74">
        <v>1</v>
      </c>
      <c r="H322" s="75">
        <f t="shared" ref="H322:H337" si="36">G322*F322</f>
        <v>32.24</v>
      </c>
      <c r="I322" s="76"/>
      <c r="J322" s="129">
        <v>39.4</v>
      </c>
      <c r="K322" s="77">
        <v>1</v>
      </c>
      <c r="L322" s="75">
        <f t="shared" ref="L322:L337" si="37">K322*J322</f>
        <v>39.4</v>
      </c>
      <c r="M322" s="76"/>
      <c r="N322" s="78">
        <f t="shared" ref="N322:N358" si="38">L322-H322</f>
        <v>7.1599999999999966</v>
      </c>
      <c r="O322" s="79">
        <f t="shared" ref="O322:O344" si="39">IF((H322)=0,"",(N322/H322))</f>
        <v>0.22208436724565744</v>
      </c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</row>
    <row r="323" spans="2:29" x14ac:dyDescent="0.3">
      <c r="B323" s="73" t="s">
        <v>25</v>
      </c>
      <c r="C323" s="73"/>
      <c r="D323" s="7" t="s">
        <v>24</v>
      </c>
      <c r="E323" s="73"/>
      <c r="F323" s="133">
        <v>7.33</v>
      </c>
      <c r="G323" s="74">
        <v>1</v>
      </c>
      <c r="H323" s="136">
        <f t="shared" si="36"/>
        <v>7.33</v>
      </c>
      <c r="I323" s="76"/>
      <c r="J323" s="130"/>
      <c r="K323" s="77">
        <v>1</v>
      </c>
      <c r="L323" s="136">
        <f t="shared" si="37"/>
        <v>0</v>
      </c>
      <c r="M323" s="76"/>
      <c r="N323" s="137">
        <f t="shared" si="38"/>
        <v>-7.33</v>
      </c>
      <c r="O323" s="79">
        <f t="shared" si="39"/>
        <v>-1</v>
      </c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</row>
    <row r="324" spans="2:29" x14ac:dyDescent="0.3">
      <c r="B324" s="9"/>
      <c r="C324" s="73"/>
      <c r="D324" s="7"/>
      <c r="E324" s="73"/>
      <c r="F324" s="134"/>
      <c r="G324" s="74">
        <v>1</v>
      </c>
      <c r="H324" s="136">
        <f t="shared" si="36"/>
        <v>0</v>
      </c>
      <c r="I324" s="76"/>
      <c r="J324" s="131"/>
      <c r="K324" s="77">
        <v>1</v>
      </c>
      <c r="L324" s="136">
        <f t="shared" si="37"/>
        <v>0</v>
      </c>
      <c r="M324" s="76"/>
      <c r="N324" s="137">
        <f t="shared" si="38"/>
        <v>0</v>
      </c>
      <c r="O324" s="79" t="str">
        <f t="shared" si="39"/>
        <v/>
      </c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</row>
    <row r="325" spans="2:29" x14ac:dyDescent="0.3">
      <c r="B325" s="9"/>
      <c r="C325" s="73"/>
      <c r="D325" s="7"/>
      <c r="E325" s="73"/>
      <c r="F325" s="134"/>
      <c r="G325" s="74">
        <v>1</v>
      </c>
      <c r="H325" s="136">
        <f t="shared" si="36"/>
        <v>0</v>
      </c>
      <c r="I325" s="76"/>
      <c r="J325" s="131"/>
      <c r="K325" s="77">
        <v>1</v>
      </c>
      <c r="L325" s="136">
        <f t="shared" si="37"/>
        <v>0</v>
      </c>
      <c r="M325" s="76"/>
      <c r="N325" s="137">
        <f t="shared" si="38"/>
        <v>0</v>
      </c>
      <c r="O325" s="79" t="str">
        <f t="shared" si="39"/>
        <v/>
      </c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</row>
    <row r="326" spans="2:29" x14ac:dyDescent="0.3">
      <c r="B326" s="10"/>
      <c r="C326" s="73"/>
      <c r="D326" s="7"/>
      <c r="E326" s="73"/>
      <c r="F326" s="134"/>
      <c r="G326" s="74">
        <v>1</v>
      </c>
      <c r="H326" s="136">
        <f t="shared" si="36"/>
        <v>0</v>
      </c>
      <c r="I326" s="76"/>
      <c r="J326" s="131"/>
      <c r="K326" s="77">
        <v>1</v>
      </c>
      <c r="L326" s="136">
        <f t="shared" si="37"/>
        <v>0</v>
      </c>
      <c r="M326" s="76"/>
      <c r="N326" s="137">
        <f t="shared" si="38"/>
        <v>0</v>
      </c>
      <c r="O326" s="79" t="str">
        <f t="shared" si="39"/>
        <v/>
      </c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</row>
    <row r="327" spans="2:29" x14ac:dyDescent="0.3">
      <c r="B327" s="10"/>
      <c r="C327" s="73"/>
      <c r="D327" s="7"/>
      <c r="E327" s="73"/>
      <c r="F327" s="134"/>
      <c r="G327" s="74">
        <v>1</v>
      </c>
      <c r="H327" s="136">
        <f t="shared" si="36"/>
        <v>0</v>
      </c>
      <c r="I327" s="76"/>
      <c r="J327" s="131"/>
      <c r="K327" s="77">
        <v>1</v>
      </c>
      <c r="L327" s="136">
        <f t="shared" si="37"/>
        <v>0</v>
      </c>
      <c r="M327" s="76"/>
      <c r="N327" s="137">
        <f t="shared" si="38"/>
        <v>0</v>
      </c>
      <c r="O327" s="79" t="str">
        <f t="shared" si="39"/>
        <v/>
      </c>
      <c r="Q327" s="126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  <c r="AB327" s="126"/>
      <c r="AC327" s="126"/>
    </row>
    <row r="328" spans="2:29" x14ac:dyDescent="0.3">
      <c r="B328" s="73" t="s">
        <v>26</v>
      </c>
      <c r="C328" s="73"/>
      <c r="D328" s="7" t="s">
        <v>27</v>
      </c>
      <c r="E328" s="73"/>
      <c r="F328" s="135">
        <v>1.4200000000000001E-2</v>
      </c>
      <c r="G328" s="74">
        <f>$F317</f>
        <v>15000</v>
      </c>
      <c r="H328" s="136">
        <f t="shared" si="36"/>
        <v>213</v>
      </c>
      <c r="I328" s="76"/>
      <c r="J328" s="132">
        <v>1.7399999999999999E-2</v>
      </c>
      <c r="K328" s="74">
        <f>$F317</f>
        <v>15000</v>
      </c>
      <c r="L328" s="136">
        <f t="shared" si="37"/>
        <v>261</v>
      </c>
      <c r="M328" s="76"/>
      <c r="N328" s="137">
        <f t="shared" si="38"/>
        <v>48</v>
      </c>
      <c r="O328" s="79">
        <f t="shared" si="39"/>
        <v>0.22535211267605634</v>
      </c>
      <c r="Q328" s="126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  <c r="AB328" s="126"/>
      <c r="AC328" s="126"/>
    </row>
    <row r="329" spans="2:29" x14ac:dyDescent="0.3">
      <c r="B329" s="73" t="s">
        <v>28</v>
      </c>
      <c r="C329" s="73"/>
      <c r="D329" s="7" t="s">
        <v>24</v>
      </c>
      <c r="E329" s="73"/>
      <c r="F329" s="135">
        <v>4.63</v>
      </c>
      <c r="G329" s="74">
        <v>1</v>
      </c>
      <c r="H329" s="136">
        <f t="shared" si="36"/>
        <v>4.63</v>
      </c>
      <c r="I329" s="76"/>
      <c r="J329" s="132"/>
      <c r="K329" s="74">
        <v>1</v>
      </c>
      <c r="L329" s="136">
        <f t="shared" si="37"/>
        <v>0</v>
      </c>
      <c r="M329" s="76"/>
      <c r="N329" s="137">
        <f t="shared" si="38"/>
        <v>-4.63</v>
      </c>
      <c r="O329" s="79">
        <f t="shared" si="39"/>
        <v>-1</v>
      </c>
      <c r="Q329" s="126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  <c r="AB329" s="126"/>
      <c r="AC329" s="126"/>
    </row>
    <row r="330" spans="2:29" x14ac:dyDescent="0.3">
      <c r="B330" s="73" t="s">
        <v>29</v>
      </c>
      <c r="C330" s="73"/>
      <c r="D330" s="7" t="s">
        <v>27</v>
      </c>
      <c r="E330" s="73"/>
      <c r="F330" s="135">
        <v>0</v>
      </c>
      <c r="G330" s="74">
        <f>$F317</f>
        <v>15000</v>
      </c>
      <c r="H330" s="136">
        <f t="shared" si="36"/>
        <v>0</v>
      </c>
      <c r="I330" s="76"/>
      <c r="J330" s="132">
        <v>1E-4</v>
      </c>
      <c r="K330" s="74">
        <f>$F317</f>
        <v>15000</v>
      </c>
      <c r="L330" s="136">
        <f t="shared" si="37"/>
        <v>1.5</v>
      </c>
      <c r="M330" s="76"/>
      <c r="N330" s="137">
        <f t="shared" si="38"/>
        <v>1.5</v>
      </c>
      <c r="O330" s="79" t="str">
        <f t="shared" si="39"/>
        <v/>
      </c>
      <c r="Q330" s="126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  <c r="AB330" s="126"/>
      <c r="AC330" s="126"/>
    </row>
    <row r="331" spans="2:29" x14ac:dyDescent="0.3">
      <c r="B331" s="11" t="s">
        <v>30</v>
      </c>
      <c r="C331" s="73"/>
      <c r="D331" s="7" t="s">
        <v>27</v>
      </c>
      <c r="E331" s="73"/>
      <c r="F331" s="135">
        <v>1.5E-3</v>
      </c>
      <c r="G331" s="74">
        <f>$F317</f>
        <v>15000</v>
      </c>
      <c r="H331" s="136">
        <f t="shared" si="36"/>
        <v>22.5</v>
      </c>
      <c r="I331" s="76"/>
      <c r="J331" s="132"/>
      <c r="K331" s="74">
        <f>$F317</f>
        <v>15000</v>
      </c>
      <c r="L331" s="136">
        <f t="shared" si="37"/>
        <v>0</v>
      </c>
      <c r="M331" s="76"/>
      <c r="N331" s="137">
        <f t="shared" si="38"/>
        <v>-22.5</v>
      </c>
      <c r="O331" s="79">
        <f t="shared" si="39"/>
        <v>-1</v>
      </c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</row>
    <row r="332" spans="2:29" x14ac:dyDescent="0.3">
      <c r="B332" s="11" t="s">
        <v>31</v>
      </c>
      <c r="C332" s="73"/>
      <c r="D332" s="7" t="s">
        <v>27</v>
      </c>
      <c r="E332" s="73"/>
      <c r="F332" s="135">
        <v>-2.9999999999999997E-4</v>
      </c>
      <c r="G332" s="74">
        <f>$F317</f>
        <v>15000</v>
      </c>
      <c r="H332" s="136">
        <f t="shared" si="36"/>
        <v>-4.5</v>
      </c>
      <c r="I332" s="76"/>
      <c r="J332" s="132"/>
      <c r="K332" s="74">
        <f>$F317</f>
        <v>15000</v>
      </c>
      <c r="L332" s="136">
        <f t="shared" si="37"/>
        <v>0</v>
      </c>
      <c r="M332" s="76"/>
      <c r="N332" s="137">
        <f t="shared" si="38"/>
        <v>4.5</v>
      </c>
      <c r="O332" s="79">
        <f t="shared" si="39"/>
        <v>-1</v>
      </c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</row>
    <row r="333" spans="2:29" x14ac:dyDescent="0.3">
      <c r="B333" s="11" t="s">
        <v>32</v>
      </c>
      <c r="C333" s="73"/>
      <c r="D333" s="7" t="s">
        <v>24</v>
      </c>
      <c r="E333" s="73"/>
      <c r="F333" s="135"/>
      <c r="G333" s="74">
        <v>1</v>
      </c>
      <c r="H333" s="136">
        <f t="shared" si="36"/>
        <v>0</v>
      </c>
      <c r="I333" s="76"/>
      <c r="J333" s="132">
        <v>2.19</v>
      </c>
      <c r="K333" s="74">
        <v>1</v>
      </c>
      <c r="L333" s="136">
        <f t="shared" si="37"/>
        <v>2.19</v>
      </c>
      <c r="M333" s="76"/>
      <c r="N333" s="137">
        <f t="shared" si="38"/>
        <v>2.19</v>
      </c>
      <c r="O333" s="79" t="str">
        <f t="shared" si="39"/>
        <v/>
      </c>
      <c r="Q333" s="126"/>
      <c r="R333" s="126"/>
      <c r="S333" s="126"/>
      <c r="T333" s="126"/>
      <c r="U333" s="126"/>
      <c r="V333" s="126"/>
      <c r="W333" s="126"/>
      <c r="X333" s="126"/>
      <c r="Y333" s="126"/>
      <c r="Z333" s="126"/>
      <c r="AA333" s="126"/>
      <c r="AB333" s="126"/>
      <c r="AC333" s="126"/>
    </row>
    <row r="334" spans="2:29" x14ac:dyDescent="0.3">
      <c r="B334" s="12" t="s">
        <v>33</v>
      </c>
      <c r="C334" s="73"/>
      <c r="D334" s="7" t="s">
        <v>27</v>
      </c>
      <c r="E334" s="73"/>
      <c r="F334" s="134"/>
      <c r="G334" s="74">
        <f>$F317</f>
        <v>15000</v>
      </c>
      <c r="H334" s="136">
        <f t="shared" si="36"/>
        <v>0</v>
      </c>
      <c r="I334" s="76"/>
      <c r="J334" s="132">
        <v>-1E-4</v>
      </c>
      <c r="K334" s="74">
        <f>$F317</f>
        <v>15000</v>
      </c>
      <c r="L334" s="136">
        <f t="shared" si="37"/>
        <v>-1.5</v>
      </c>
      <c r="M334" s="76"/>
      <c r="N334" s="137">
        <f t="shared" si="38"/>
        <v>-1.5</v>
      </c>
      <c r="O334" s="79" t="str">
        <f t="shared" si="39"/>
        <v/>
      </c>
      <c r="Q334" s="126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  <c r="AC334" s="126"/>
    </row>
    <row r="335" spans="2:29" x14ac:dyDescent="0.3">
      <c r="B335" s="12" t="s">
        <v>77</v>
      </c>
      <c r="C335" s="73"/>
      <c r="D335" s="7" t="s">
        <v>27</v>
      </c>
      <c r="E335" s="73"/>
      <c r="F335" s="134"/>
      <c r="G335" s="74">
        <f>$F317</f>
        <v>15000</v>
      </c>
      <c r="H335" s="136">
        <f t="shared" si="36"/>
        <v>0</v>
      </c>
      <c r="I335" s="76"/>
      <c r="J335" s="132">
        <v>2.0000000000000001E-4</v>
      </c>
      <c r="K335" s="74">
        <f>$F317</f>
        <v>15000</v>
      </c>
      <c r="L335" s="136">
        <f t="shared" si="37"/>
        <v>3</v>
      </c>
      <c r="M335" s="76"/>
      <c r="N335" s="137">
        <f t="shared" si="38"/>
        <v>3</v>
      </c>
      <c r="O335" s="79" t="str">
        <f t="shared" si="39"/>
        <v/>
      </c>
      <c r="Q335" s="126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</row>
    <row r="336" spans="2:29" x14ac:dyDescent="0.3">
      <c r="B336" s="12"/>
      <c r="C336" s="73"/>
      <c r="D336" s="7"/>
      <c r="E336" s="73"/>
      <c r="F336" s="131"/>
      <c r="G336" s="74">
        <f>$F317</f>
        <v>15000</v>
      </c>
      <c r="H336" s="136">
        <f t="shared" si="36"/>
        <v>0</v>
      </c>
      <c r="I336" s="76"/>
      <c r="J336" s="131"/>
      <c r="K336" s="74">
        <f>$F317</f>
        <v>15000</v>
      </c>
      <c r="L336" s="136">
        <f t="shared" si="37"/>
        <v>0</v>
      </c>
      <c r="M336" s="76"/>
      <c r="N336" s="137">
        <f t="shared" si="38"/>
        <v>0</v>
      </c>
      <c r="O336" s="79" t="str">
        <f t="shared" si="39"/>
        <v/>
      </c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</row>
    <row r="337" spans="1:63" x14ac:dyDescent="0.3">
      <c r="B337" s="12"/>
      <c r="C337" s="73"/>
      <c r="D337" s="7"/>
      <c r="E337" s="73"/>
      <c r="F337" s="131"/>
      <c r="G337" s="74">
        <f>$F317</f>
        <v>15000</v>
      </c>
      <c r="H337" s="136">
        <f t="shared" si="36"/>
        <v>0</v>
      </c>
      <c r="I337" s="76"/>
      <c r="J337" s="131"/>
      <c r="K337" s="74">
        <f>$F317</f>
        <v>15000</v>
      </c>
      <c r="L337" s="136">
        <f t="shared" si="37"/>
        <v>0</v>
      </c>
      <c r="M337" s="76"/>
      <c r="N337" s="137">
        <f t="shared" si="38"/>
        <v>0</v>
      </c>
      <c r="O337" s="79" t="str">
        <f t="shared" si="39"/>
        <v/>
      </c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126"/>
      <c r="AC337" s="126"/>
    </row>
    <row r="338" spans="1:63" s="4" customFormat="1" x14ac:dyDescent="0.3">
      <c r="A338" s="60"/>
      <c r="B338" s="19" t="s">
        <v>34</v>
      </c>
      <c r="C338" s="20"/>
      <c r="D338" s="20"/>
      <c r="E338" s="20"/>
      <c r="F338" s="21"/>
      <c r="G338" s="22"/>
      <c r="H338" s="23">
        <f>SUM(H322:H337)</f>
        <v>275.2</v>
      </c>
      <c r="I338" s="13"/>
      <c r="J338" s="14"/>
      <c r="K338" s="24"/>
      <c r="L338" s="23">
        <f>SUM(L322:L337)</f>
        <v>305.58999999999997</v>
      </c>
      <c r="M338" s="13"/>
      <c r="N338" s="15">
        <f t="shared" si="38"/>
        <v>30.389999999999986</v>
      </c>
      <c r="O338" s="16">
        <f t="shared" si="39"/>
        <v>0.11042877906976739</v>
      </c>
      <c r="P338" s="60"/>
      <c r="Q338" s="126"/>
      <c r="R338" s="126"/>
      <c r="S338" s="126"/>
      <c r="T338" s="126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</row>
    <row r="339" spans="1:63" x14ac:dyDescent="0.3">
      <c r="B339" s="17" t="s">
        <v>35</v>
      </c>
      <c r="C339" s="73"/>
      <c r="D339" s="7" t="s">
        <v>27</v>
      </c>
      <c r="E339" s="73"/>
      <c r="F339" s="135">
        <v>2.9999999999999997E-4</v>
      </c>
      <c r="G339" s="74">
        <f>$F317</f>
        <v>15000</v>
      </c>
      <c r="H339" s="136">
        <f t="shared" ref="H339:H345" si="40">G339*F339</f>
        <v>4.5</v>
      </c>
      <c r="I339" s="76"/>
      <c r="J339" s="135">
        <v>-6.9999999999999999E-4</v>
      </c>
      <c r="K339" s="74">
        <f>$F317</f>
        <v>15000</v>
      </c>
      <c r="L339" s="136">
        <f t="shared" ref="L339:L345" si="41">K339*J339</f>
        <v>-10.5</v>
      </c>
      <c r="M339" s="76"/>
      <c r="N339" s="137">
        <f t="shared" si="38"/>
        <v>-15</v>
      </c>
      <c r="O339" s="79">
        <f t="shared" si="39"/>
        <v>-3.3333333333333335</v>
      </c>
      <c r="Q339" s="126"/>
      <c r="R339" s="126"/>
      <c r="S339" s="126"/>
      <c r="T339" s="126"/>
      <c r="U339" s="126"/>
      <c r="V339" s="126"/>
      <c r="W339" s="126"/>
      <c r="X339" s="126"/>
      <c r="Y339" s="126"/>
      <c r="Z339" s="126"/>
      <c r="AA339" s="126"/>
      <c r="AB339" s="126"/>
      <c r="AC339" s="126"/>
    </row>
    <row r="340" spans="1:63" x14ac:dyDescent="0.3">
      <c r="B340" s="17"/>
      <c r="C340" s="73"/>
      <c r="D340" s="7"/>
      <c r="E340" s="73"/>
      <c r="F340" s="8"/>
      <c r="G340" s="74">
        <f>$F317</f>
        <v>15000</v>
      </c>
      <c r="H340" s="136">
        <f t="shared" si="40"/>
        <v>0</v>
      </c>
      <c r="I340" s="82"/>
      <c r="J340" s="8"/>
      <c r="K340" s="74">
        <f>$F317</f>
        <v>15000</v>
      </c>
      <c r="L340" s="136">
        <f t="shared" si="41"/>
        <v>0</v>
      </c>
      <c r="M340" s="83"/>
      <c r="N340" s="137">
        <f t="shared" si="38"/>
        <v>0</v>
      </c>
      <c r="O340" s="79" t="str">
        <f t="shared" si="39"/>
        <v/>
      </c>
      <c r="Q340" s="126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126"/>
      <c r="AC340" s="126"/>
    </row>
    <row r="341" spans="1:63" x14ac:dyDescent="0.3">
      <c r="B341" s="17"/>
      <c r="C341" s="73"/>
      <c r="D341" s="7"/>
      <c r="E341" s="73"/>
      <c r="F341" s="8"/>
      <c r="G341" s="74">
        <f>$F317</f>
        <v>15000</v>
      </c>
      <c r="H341" s="136">
        <f t="shared" si="40"/>
        <v>0</v>
      </c>
      <c r="I341" s="82"/>
      <c r="J341" s="8"/>
      <c r="K341" s="74">
        <f>$F317</f>
        <v>15000</v>
      </c>
      <c r="L341" s="136">
        <f t="shared" si="41"/>
        <v>0</v>
      </c>
      <c r="M341" s="83"/>
      <c r="N341" s="137">
        <f t="shared" si="38"/>
        <v>0</v>
      </c>
      <c r="O341" s="79" t="str">
        <f t="shared" si="39"/>
        <v/>
      </c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</row>
    <row r="342" spans="1:63" x14ac:dyDescent="0.3">
      <c r="B342" s="17"/>
      <c r="C342" s="73"/>
      <c r="D342" s="7"/>
      <c r="E342" s="73"/>
      <c r="F342" s="8"/>
      <c r="G342" s="74">
        <f>$F317</f>
        <v>15000</v>
      </c>
      <c r="H342" s="136">
        <f t="shared" si="40"/>
        <v>0</v>
      </c>
      <c r="I342" s="82"/>
      <c r="J342" s="8"/>
      <c r="K342" s="74">
        <f>$F317</f>
        <v>15000</v>
      </c>
      <c r="L342" s="136">
        <f t="shared" si="41"/>
        <v>0</v>
      </c>
      <c r="M342" s="83"/>
      <c r="N342" s="137">
        <f t="shared" si="38"/>
        <v>0</v>
      </c>
      <c r="O342" s="79" t="str">
        <f t="shared" si="39"/>
        <v/>
      </c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</row>
    <row r="343" spans="1:63" x14ac:dyDescent="0.3">
      <c r="B343" s="80" t="s">
        <v>36</v>
      </c>
      <c r="C343" s="73"/>
      <c r="D343" s="7" t="s">
        <v>27</v>
      </c>
      <c r="E343" s="73"/>
      <c r="F343" s="135">
        <v>2.0000000000000001E-4</v>
      </c>
      <c r="G343" s="74">
        <f>$F317</f>
        <v>15000</v>
      </c>
      <c r="H343" s="136">
        <f t="shared" si="40"/>
        <v>3</v>
      </c>
      <c r="I343" s="76"/>
      <c r="J343" s="135">
        <v>2.9999999999999997E-4</v>
      </c>
      <c r="K343" s="74">
        <f>$F317</f>
        <v>15000</v>
      </c>
      <c r="L343" s="136">
        <f t="shared" si="41"/>
        <v>4.5</v>
      </c>
      <c r="M343" s="76"/>
      <c r="N343" s="137">
        <f t="shared" si="38"/>
        <v>1.5</v>
      </c>
      <c r="O343" s="79">
        <f t="shared" si="39"/>
        <v>0.5</v>
      </c>
      <c r="Q343" s="126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</row>
    <row r="344" spans="1:63" x14ac:dyDescent="0.3">
      <c r="B344" s="80" t="s">
        <v>37</v>
      </c>
      <c r="C344" s="73"/>
      <c r="D344" s="7" t="s">
        <v>27</v>
      </c>
      <c r="E344" s="73"/>
      <c r="F344" s="138">
        <f>IF(ISBLANK(D315)=TRUE, 0, IF(D315="TOU", 0.64*$F354+0.18*$F355+0.18*$F356, IF(AND(D315="non-TOU", G358&gt;0), F358,F357)))</f>
        <v>8.3919999999999995E-2</v>
      </c>
      <c r="G344" s="18">
        <f>$F317*(1+$F373)-$F317</f>
        <v>565.50000000000182</v>
      </c>
      <c r="H344" s="136">
        <f t="shared" si="40"/>
        <v>47.456760000000152</v>
      </c>
      <c r="I344" s="76"/>
      <c r="J344" s="138">
        <f>0.64*$F354+0.18*$F355+0.18*$F356</f>
        <v>8.3919999999999995E-2</v>
      </c>
      <c r="K344" s="18">
        <f>$F317*(1+$J373)-$F317</f>
        <v>564.00000000000182</v>
      </c>
      <c r="L344" s="136">
        <f t="shared" si="41"/>
        <v>47.33088000000015</v>
      </c>
      <c r="M344" s="76"/>
      <c r="N344" s="137">
        <f t="shared" si="38"/>
        <v>-0.12588000000000221</v>
      </c>
      <c r="O344" s="79">
        <f t="shared" si="39"/>
        <v>-2.6525198938992423E-3</v>
      </c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</row>
    <row r="345" spans="1:63" x14ac:dyDescent="0.3">
      <c r="B345" s="80" t="s">
        <v>38</v>
      </c>
      <c r="C345" s="73"/>
      <c r="D345" s="7" t="s">
        <v>24</v>
      </c>
      <c r="E345" s="73"/>
      <c r="F345" s="138">
        <v>0.79</v>
      </c>
      <c r="G345" s="74">
        <v>1</v>
      </c>
      <c r="H345" s="136">
        <f t="shared" si="40"/>
        <v>0.79</v>
      </c>
      <c r="I345" s="76"/>
      <c r="J345" s="138">
        <v>0.79</v>
      </c>
      <c r="K345" s="81">
        <v>1</v>
      </c>
      <c r="L345" s="136">
        <f t="shared" si="41"/>
        <v>0.79</v>
      </c>
      <c r="M345" s="76"/>
      <c r="N345" s="137">
        <f t="shared" si="38"/>
        <v>0</v>
      </c>
      <c r="O345" s="79"/>
      <c r="Q345" s="126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  <c r="AC345" s="126"/>
    </row>
    <row r="346" spans="1:63" s="4" customFormat="1" ht="26.4" x14ac:dyDescent="0.3">
      <c r="A346" s="60"/>
      <c r="B346" s="19" t="s">
        <v>39</v>
      </c>
      <c r="C346" s="20"/>
      <c r="D346" s="20"/>
      <c r="E346" s="20"/>
      <c r="F346" s="21"/>
      <c r="G346" s="22"/>
      <c r="H346" s="23">
        <f>SUM(H339:H345)+H338</f>
        <v>330.94676000000015</v>
      </c>
      <c r="I346" s="13"/>
      <c r="J346" s="22"/>
      <c r="K346" s="24"/>
      <c r="L346" s="23">
        <f>SUM(L339:L345)+L338</f>
        <v>347.71088000000015</v>
      </c>
      <c r="M346" s="13"/>
      <c r="N346" s="15">
        <f t="shared" si="38"/>
        <v>16.764119999999991</v>
      </c>
      <c r="O346" s="16">
        <f t="shared" ref="O346:O358" si="42">IF((H346)=0,"",(N346/H346))</f>
        <v>5.0655035873443763E-2</v>
      </c>
      <c r="P346" s="60"/>
      <c r="Q346" s="126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</row>
    <row r="347" spans="1:63" x14ac:dyDescent="0.3">
      <c r="B347" s="76" t="s">
        <v>40</v>
      </c>
      <c r="C347" s="76"/>
      <c r="D347" s="25" t="s">
        <v>27</v>
      </c>
      <c r="E347" s="76"/>
      <c r="F347" s="135">
        <v>7.4000000000000003E-3</v>
      </c>
      <c r="G347" s="18">
        <f>F317*(1+F373)</f>
        <v>15565.500000000002</v>
      </c>
      <c r="H347" s="136">
        <f>G347*F347</f>
        <v>115.18470000000002</v>
      </c>
      <c r="I347" s="76"/>
      <c r="J347" s="135">
        <v>7.0000000000000001E-3</v>
      </c>
      <c r="K347" s="18">
        <f>F317*(1+J373)</f>
        <v>15564.000000000002</v>
      </c>
      <c r="L347" s="136">
        <f>K347*J347</f>
        <v>108.94800000000002</v>
      </c>
      <c r="M347" s="76"/>
      <c r="N347" s="136">
        <f t="shared" si="38"/>
        <v>-6.236699999999999</v>
      </c>
      <c r="O347" s="79">
        <f t="shared" si="42"/>
        <v>-5.4145211994301307E-2</v>
      </c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</row>
    <row r="348" spans="1:63" x14ac:dyDescent="0.3">
      <c r="B348" s="85" t="s">
        <v>41</v>
      </c>
      <c r="C348" s="76"/>
      <c r="D348" s="25" t="s">
        <v>27</v>
      </c>
      <c r="E348" s="76"/>
      <c r="F348" s="135">
        <v>5.0000000000000001E-3</v>
      </c>
      <c r="G348" s="18">
        <f>G347</f>
        <v>15565.500000000002</v>
      </c>
      <c r="H348" s="136">
        <f>G348*F348</f>
        <v>77.827500000000015</v>
      </c>
      <c r="I348" s="76"/>
      <c r="J348" s="135">
        <v>3.5000000000000001E-3</v>
      </c>
      <c r="K348" s="18">
        <f>K347</f>
        <v>15564.000000000002</v>
      </c>
      <c r="L348" s="136">
        <f>K348*J348</f>
        <v>54.474000000000011</v>
      </c>
      <c r="M348" s="76"/>
      <c r="N348" s="136">
        <f t="shared" si="38"/>
        <v>-23.353500000000004</v>
      </c>
      <c r="O348" s="79">
        <f t="shared" si="42"/>
        <v>-0.30006745687578296</v>
      </c>
      <c r="Q348" s="126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126"/>
      <c r="AC348" s="126"/>
    </row>
    <row r="349" spans="1:63" s="4" customFormat="1" x14ac:dyDescent="0.3">
      <c r="A349" s="60"/>
      <c r="B349" s="19" t="s">
        <v>42</v>
      </c>
      <c r="C349" s="20"/>
      <c r="D349" s="20"/>
      <c r="E349" s="20"/>
      <c r="F349" s="21"/>
      <c r="G349" s="22"/>
      <c r="H349" s="23">
        <f>SUM(H346:H348)</f>
        <v>523.95896000000016</v>
      </c>
      <c r="I349" s="13"/>
      <c r="J349" s="26"/>
      <c r="K349" s="22"/>
      <c r="L349" s="23">
        <f>SUM(L346:L348)</f>
        <v>511.13288000000017</v>
      </c>
      <c r="M349" s="13"/>
      <c r="N349" s="15">
        <f t="shared" si="38"/>
        <v>-12.82607999999999</v>
      </c>
      <c r="O349" s="16">
        <f t="shared" si="42"/>
        <v>-2.4479169131872439E-2</v>
      </c>
      <c r="P349" s="60"/>
      <c r="Q349" s="126"/>
      <c r="R349" s="126"/>
      <c r="S349" s="126"/>
      <c r="T349" s="126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</row>
    <row r="350" spans="1:63" x14ac:dyDescent="0.3">
      <c r="B350" s="86" t="s">
        <v>43</v>
      </c>
      <c r="C350" s="73"/>
      <c r="D350" s="7" t="s">
        <v>27</v>
      </c>
      <c r="E350" s="73"/>
      <c r="F350" s="135">
        <v>4.4000000000000003E-3</v>
      </c>
      <c r="G350" s="18">
        <f>G348</f>
        <v>15565.500000000002</v>
      </c>
      <c r="H350" s="139">
        <f t="shared" ref="H350:H358" si="43">G350*F350</f>
        <v>68.488200000000006</v>
      </c>
      <c r="I350" s="76"/>
      <c r="J350" s="135">
        <f>+F350</f>
        <v>4.4000000000000003E-3</v>
      </c>
      <c r="K350" s="18">
        <f>K348</f>
        <v>15564.000000000002</v>
      </c>
      <c r="L350" s="139">
        <f t="shared" ref="L350:L358" si="44">K350*J350</f>
        <v>68.481600000000014</v>
      </c>
      <c r="M350" s="76"/>
      <c r="N350" s="137">
        <f t="shared" si="38"/>
        <v>-6.5999999999917236E-3</v>
      </c>
      <c r="O350" s="87">
        <f t="shared" si="42"/>
        <v>-9.6366965404138567E-5</v>
      </c>
      <c r="Q350" s="126"/>
      <c r="R350" s="126"/>
      <c r="S350" s="126"/>
      <c r="T350" s="126"/>
      <c r="U350" s="126"/>
      <c r="V350" s="126"/>
      <c r="W350" s="126"/>
      <c r="X350" s="126"/>
      <c r="Y350" s="126"/>
      <c r="Z350" s="126"/>
      <c r="AA350" s="126"/>
      <c r="AB350" s="126"/>
      <c r="AC350" s="126"/>
    </row>
    <row r="351" spans="1:63" x14ac:dyDescent="0.3">
      <c r="B351" s="86" t="s">
        <v>44</v>
      </c>
      <c r="C351" s="73"/>
      <c r="D351" s="7" t="s">
        <v>27</v>
      </c>
      <c r="E351" s="73"/>
      <c r="F351" s="135">
        <v>1.1999999999999999E-3</v>
      </c>
      <c r="G351" s="18">
        <f>G348</f>
        <v>15565.500000000002</v>
      </c>
      <c r="H351" s="139">
        <f t="shared" si="43"/>
        <v>18.678599999999999</v>
      </c>
      <c r="I351" s="76"/>
      <c r="J351" s="135">
        <f>+F351</f>
        <v>1.1999999999999999E-3</v>
      </c>
      <c r="K351" s="18">
        <f>+K350</f>
        <v>15564.000000000002</v>
      </c>
      <c r="L351" s="139">
        <f t="shared" si="44"/>
        <v>18.6768</v>
      </c>
      <c r="M351" s="76"/>
      <c r="N351" s="137">
        <f t="shared" si="38"/>
        <v>-1.7999999999993577E-3</v>
      </c>
      <c r="O351" s="87">
        <f t="shared" si="42"/>
        <v>-9.6366965404225032E-5</v>
      </c>
      <c r="Q351" s="126"/>
      <c r="R351" s="126"/>
      <c r="S351" s="126"/>
      <c r="T351" s="126"/>
      <c r="U351" s="126"/>
      <c r="V351" s="126"/>
      <c r="W351" s="126"/>
      <c r="X351" s="126"/>
      <c r="Y351" s="126"/>
      <c r="Z351" s="126"/>
      <c r="AA351" s="126"/>
      <c r="AB351" s="126"/>
      <c r="AC351" s="126"/>
    </row>
    <row r="352" spans="1:63" x14ac:dyDescent="0.3">
      <c r="B352" s="73" t="s">
        <v>45</v>
      </c>
      <c r="C352" s="73"/>
      <c r="D352" s="7" t="s">
        <v>24</v>
      </c>
      <c r="E352" s="73"/>
      <c r="F352" s="135">
        <v>0.25</v>
      </c>
      <c r="G352" s="81">
        <v>1</v>
      </c>
      <c r="H352" s="139">
        <f t="shared" si="43"/>
        <v>0.25</v>
      </c>
      <c r="I352" s="76"/>
      <c r="J352" s="135">
        <f>+F352</f>
        <v>0.25</v>
      </c>
      <c r="K352" s="77">
        <v>1</v>
      </c>
      <c r="L352" s="139">
        <f t="shared" si="44"/>
        <v>0.25</v>
      </c>
      <c r="M352" s="76"/>
      <c r="N352" s="137">
        <f t="shared" si="38"/>
        <v>0</v>
      </c>
      <c r="O352" s="87">
        <f t="shared" si="42"/>
        <v>0</v>
      </c>
      <c r="Q352" s="126"/>
      <c r="R352" s="126"/>
      <c r="S352" s="126"/>
      <c r="T352" s="126"/>
      <c r="U352" s="126"/>
      <c r="V352" s="126"/>
      <c r="W352" s="126"/>
      <c r="X352" s="126"/>
      <c r="Y352" s="126"/>
      <c r="Z352" s="126"/>
      <c r="AA352" s="126"/>
      <c r="AB352" s="126"/>
      <c r="AC352" s="126"/>
    </row>
    <row r="353" spans="1:63" x14ac:dyDescent="0.3">
      <c r="B353" s="73" t="s">
        <v>46</v>
      </c>
      <c r="C353" s="73"/>
      <c r="D353" s="7" t="s">
        <v>27</v>
      </c>
      <c r="E353" s="73"/>
      <c r="F353" s="135">
        <v>7.0000000000000001E-3</v>
      </c>
      <c r="G353" s="84">
        <f>F317</f>
        <v>15000</v>
      </c>
      <c r="H353" s="139">
        <f t="shared" si="43"/>
        <v>105</v>
      </c>
      <c r="I353" s="76"/>
      <c r="J353" s="135">
        <f>+F353</f>
        <v>7.0000000000000001E-3</v>
      </c>
      <c r="K353" s="77">
        <f>F317</f>
        <v>15000</v>
      </c>
      <c r="L353" s="139">
        <f t="shared" si="44"/>
        <v>105</v>
      </c>
      <c r="M353" s="76"/>
      <c r="N353" s="137">
        <f t="shared" si="38"/>
        <v>0</v>
      </c>
      <c r="O353" s="87">
        <f t="shared" si="42"/>
        <v>0</v>
      </c>
      <c r="Q353" s="126"/>
      <c r="R353" s="126"/>
      <c r="S353" s="126"/>
      <c r="T353" s="126"/>
      <c r="U353" s="126"/>
      <c r="V353" s="126"/>
      <c r="W353" s="126"/>
      <c r="X353" s="126"/>
      <c r="Y353" s="126"/>
      <c r="Z353" s="126"/>
      <c r="AA353" s="126"/>
      <c r="AB353" s="126"/>
      <c r="AC353" s="126"/>
    </row>
    <row r="354" spans="1:63" x14ac:dyDescent="0.3">
      <c r="B354" s="80" t="s">
        <v>47</v>
      </c>
      <c r="C354" s="73"/>
      <c r="D354" s="7" t="s">
        <v>27</v>
      </c>
      <c r="E354" s="73"/>
      <c r="F354" s="138">
        <v>6.7000000000000004E-2</v>
      </c>
      <c r="G354" s="27">
        <f>0.64*$F317</f>
        <v>9600</v>
      </c>
      <c r="H354" s="139">
        <f t="shared" si="43"/>
        <v>643.20000000000005</v>
      </c>
      <c r="I354" s="76"/>
      <c r="J354" s="138">
        <v>6.7000000000000004E-2</v>
      </c>
      <c r="K354" s="28">
        <f>G354</f>
        <v>9600</v>
      </c>
      <c r="L354" s="139">
        <f t="shared" si="44"/>
        <v>643.20000000000005</v>
      </c>
      <c r="M354" s="76"/>
      <c r="N354" s="137">
        <f t="shared" si="38"/>
        <v>0</v>
      </c>
      <c r="O354" s="87">
        <f t="shared" si="42"/>
        <v>0</v>
      </c>
      <c r="Q354" s="126"/>
      <c r="R354" s="126"/>
      <c r="S354" s="127"/>
      <c r="T354" s="126"/>
      <c r="U354" s="126"/>
      <c r="V354" s="126"/>
      <c r="W354" s="126"/>
      <c r="X354" s="126"/>
      <c r="Y354" s="126"/>
      <c r="Z354" s="126"/>
      <c r="AA354" s="126"/>
      <c r="AB354" s="126"/>
      <c r="AC354" s="126"/>
    </row>
    <row r="355" spans="1:63" x14ac:dyDescent="0.3">
      <c r="B355" s="80" t="s">
        <v>48</v>
      </c>
      <c r="C355" s="73"/>
      <c r="D355" s="7" t="s">
        <v>27</v>
      </c>
      <c r="E355" s="73"/>
      <c r="F355" s="138">
        <v>0.104</v>
      </c>
      <c r="G355" s="27">
        <f>0.18*$F317</f>
        <v>2700</v>
      </c>
      <c r="H355" s="139">
        <f t="shared" si="43"/>
        <v>280.8</v>
      </c>
      <c r="I355" s="76"/>
      <c r="J355" s="138">
        <v>0.104</v>
      </c>
      <c r="K355" s="28">
        <f>G355</f>
        <v>2700</v>
      </c>
      <c r="L355" s="139">
        <f t="shared" si="44"/>
        <v>280.8</v>
      </c>
      <c r="M355" s="76"/>
      <c r="N355" s="137">
        <f t="shared" si="38"/>
        <v>0</v>
      </c>
      <c r="O355" s="87">
        <f t="shared" si="42"/>
        <v>0</v>
      </c>
      <c r="Q355" s="126"/>
      <c r="R355" s="126"/>
      <c r="S355" s="127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</row>
    <row r="356" spans="1:63" x14ac:dyDescent="0.3">
      <c r="B356" s="64" t="s">
        <v>49</v>
      </c>
      <c r="C356" s="73"/>
      <c r="D356" s="7" t="s">
        <v>27</v>
      </c>
      <c r="E356" s="73"/>
      <c r="F356" s="138">
        <v>0.124</v>
      </c>
      <c r="G356" s="27">
        <f>0.18*$F317</f>
        <v>2700</v>
      </c>
      <c r="H356" s="139">
        <f t="shared" si="43"/>
        <v>334.8</v>
      </c>
      <c r="I356" s="76"/>
      <c r="J356" s="138">
        <v>0.124</v>
      </c>
      <c r="K356" s="28">
        <f>G356</f>
        <v>2700</v>
      </c>
      <c r="L356" s="139">
        <f t="shared" si="44"/>
        <v>334.8</v>
      </c>
      <c r="M356" s="76"/>
      <c r="N356" s="137">
        <f t="shared" si="38"/>
        <v>0</v>
      </c>
      <c r="O356" s="87">
        <f t="shared" si="42"/>
        <v>0</v>
      </c>
      <c r="Q356" s="126"/>
      <c r="R356" s="126"/>
      <c r="S356" s="127"/>
      <c r="T356" s="126"/>
      <c r="U356" s="126"/>
      <c r="V356" s="126"/>
      <c r="W356" s="126"/>
      <c r="X356" s="126"/>
      <c r="Y356" s="126"/>
      <c r="Z356" s="126"/>
      <c r="AA356" s="126"/>
      <c r="AB356" s="126"/>
      <c r="AC356" s="126"/>
    </row>
    <row r="357" spans="1:63" s="92" customFormat="1" x14ac:dyDescent="0.25">
      <c r="B357" s="89" t="s">
        <v>50</v>
      </c>
      <c r="C357" s="90"/>
      <c r="D357" s="29" t="s">
        <v>27</v>
      </c>
      <c r="E357" s="90"/>
      <c r="F357" s="138">
        <v>7.4999999999999997E-2</v>
      </c>
      <c r="G357" s="30">
        <f>IF(AND($T$1=1, F317&gt;=750), 750, IF(AND($T$1=1, AND(F317&lt;750, F317&gt;=0)), F317, IF(AND($T$1=2, F317&gt;=750), 750, IF(AND($T$1=2, AND(F317&lt;750, F317&gt;=0)), F317))))</f>
        <v>750</v>
      </c>
      <c r="H357" s="139">
        <f t="shared" si="43"/>
        <v>56.25</v>
      </c>
      <c r="I357" s="91"/>
      <c r="J357" s="138">
        <v>7.4999999999999997E-2</v>
      </c>
      <c r="K357" s="31">
        <f>G357</f>
        <v>750</v>
      </c>
      <c r="L357" s="139">
        <f t="shared" si="44"/>
        <v>56.25</v>
      </c>
      <c r="M357" s="91"/>
      <c r="N357" s="140">
        <f t="shared" si="38"/>
        <v>0</v>
      </c>
      <c r="O357" s="87">
        <f t="shared" si="42"/>
        <v>0</v>
      </c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</row>
    <row r="358" spans="1:63" s="92" customFormat="1" ht="15" thickBot="1" x14ac:dyDescent="0.3">
      <c r="B358" s="89" t="s">
        <v>51</v>
      </c>
      <c r="C358" s="90"/>
      <c r="D358" s="29" t="s">
        <v>27</v>
      </c>
      <c r="E358" s="90"/>
      <c r="F358" s="138">
        <v>8.7999999999999995E-2</v>
      </c>
      <c r="G358" s="30">
        <f>IF(AND($T$1=1, F317&gt;=750), F317-750, IF(AND($T$1=1, AND(F317&lt;750, F317&gt;=0)), 0, IF(AND($T$1=2, F317&gt;=750), F317-750, IF(AND($T$1=2, AND(F317&lt;750, F317&gt;=0)), 0))))</f>
        <v>14250</v>
      </c>
      <c r="H358" s="139">
        <f t="shared" si="43"/>
        <v>1254</v>
      </c>
      <c r="I358" s="91"/>
      <c r="J358" s="138">
        <v>8.7999999999999995E-2</v>
      </c>
      <c r="K358" s="31">
        <f>G358</f>
        <v>14250</v>
      </c>
      <c r="L358" s="139">
        <f t="shared" si="44"/>
        <v>1254</v>
      </c>
      <c r="M358" s="91"/>
      <c r="N358" s="140">
        <f t="shared" si="38"/>
        <v>0</v>
      </c>
      <c r="O358" s="87">
        <f t="shared" si="42"/>
        <v>0</v>
      </c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</row>
    <row r="359" spans="1:63" s="4" customFormat="1" ht="15" thickBot="1" x14ac:dyDescent="0.35">
      <c r="A359" s="60"/>
      <c r="B359" s="32"/>
      <c r="C359" s="33"/>
      <c r="D359" s="124"/>
      <c r="E359" s="33"/>
      <c r="F359" s="35"/>
      <c r="G359" s="36"/>
      <c r="H359" s="122"/>
      <c r="I359" s="123"/>
      <c r="J359" s="35"/>
      <c r="K359" s="39"/>
      <c r="L359" s="122"/>
      <c r="M359" s="123"/>
      <c r="N359" s="40"/>
      <c r="O359" s="41"/>
      <c r="P359" s="60"/>
      <c r="Q359" s="126"/>
      <c r="R359" s="126"/>
      <c r="S359" s="126"/>
      <c r="T359" s="126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</row>
    <row r="360" spans="1:63" x14ac:dyDescent="0.3">
      <c r="B360" s="93" t="s">
        <v>52</v>
      </c>
      <c r="C360" s="73"/>
      <c r="D360" s="73"/>
      <c r="E360" s="73"/>
      <c r="F360" s="94"/>
      <c r="G360" s="95"/>
      <c r="H360" s="141">
        <f>SUM(H350:H356,H349)</f>
        <v>1975.1757600000001</v>
      </c>
      <c r="I360" s="96"/>
      <c r="J360" s="97"/>
      <c r="K360" s="97"/>
      <c r="L360" s="144">
        <f>SUM(L350:L356,L349)</f>
        <v>1962.3412800000001</v>
      </c>
      <c r="M360" s="145"/>
      <c r="N360" s="146">
        <f>L360-H360</f>
        <v>-12.834479999999985</v>
      </c>
      <c r="O360" s="98">
        <f>IF((H360)=0,"",(N360/H360))</f>
        <v>-6.4978926229835796E-3</v>
      </c>
      <c r="Q360" s="126"/>
      <c r="R360" s="126"/>
      <c r="S360" s="127"/>
      <c r="T360" s="126"/>
      <c r="U360" s="126"/>
      <c r="V360" s="126"/>
      <c r="W360" s="126"/>
      <c r="X360" s="126"/>
      <c r="Y360" s="126"/>
      <c r="Z360" s="126"/>
      <c r="AA360" s="126"/>
      <c r="AB360" s="126"/>
      <c r="AC360" s="126"/>
    </row>
    <row r="361" spans="1:63" x14ac:dyDescent="0.3">
      <c r="B361" s="99" t="s">
        <v>53</v>
      </c>
      <c r="C361" s="73"/>
      <c r="D361" s="73"/>
      <c r="E361" s="73"/>
      <c r="F361" s="100">
        <v>0.13</v>
      </c>
      <c r="G361" s="101"/>
      <c r="H361" s="142">
        <f>H360*F361</f>
        <v>256.77284880000002</v>
      </c>
      <c r="I361" s="102"/>
      <c r="J361" s="103">
        <v>0.13</v>
      </c>
      <c r="K361" s="102"/>
      <c r="L361" s="147">
        <f>L360*J361</f>
        <v>255.10436640000003</v>
      </c>
      <c r="M361" s="148"/>
      <c r="N361" s="149">
        <f>L361-H361</f>
        <v>-1.6684823999999878</v>
      </c>
      <c r="O361" s="104">
        <f>IF((H361)=0,"",(N361/H361))</f>
        <v>-6.4978926229835388E-3</v>
      </c>
      <c r="Q361" s="126"/>
      <c r="R361" s="126"/>
      <c r="S361" s="127"/>
      <c r="T361" s="126"/>
      <c r="U361" s="126"/>
      <c r="V361" s="126"/>
      <c r="W361" s="126"/>
      <c r="X361" s="126"/>
      <c r="Y361" s="126"/>
      <c r="Z361" s="126"/>
      <c r="AA361" s="126"/>
      <c r="AB361" s="126"/>
      <c r="AC361" s="126"/>
    </row>
    <row r="362" spans="1:63" x14ac:dyDescent="0.3">
      <c r="B362" s="105" t="s">
        <v>54</v>
      </c>
      <c r="C362" s="73"/>
      <c r="D362" s="73"/>
      <c r="E362" s="73"/>
      <c r="F362" s="106"/>
      <c r="G362" s="101"/>
      <c r="H362" s="142">
        <f>H360+H361</f>
        <v>2231.9486088000003</v>
      </c>
      <c r="I362" s="102"/>
      <c r="J362" s="102"/>
      <c r="K362" s="102"/>
      <c r="L362" s="147">
        <f>L360+L361</f>
        <v>2217.4456464</v>
      </c>
      <c r="M362" s="148"/>
      <c r="N362" s="149">
        <f>L362-H362</f>
        <v>-14.502962400000342</v>
      </c>
      <c r="O362" s="104">
        <f>IF((H362)=0,"",(N362/H362))</f>
        <v>-6.4978926229837392E-3</v>
      </c>
      <c r="Q362" s="126"/>
      <c r="R362" s="126"/>
      <c r="S362" s="127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</row>
    <row r="363" spans="1:63" ht="14.4" customHeight="1" x14ac:dyDescent="0.3">
      <c r="B363" s="172" t="s">
        <v>55</v>
      </c>
      <c r="C363" s="172"/>
      <c r="D363" s="172"/>
      <c r="E363" s="73"/>
      <c r="F363" s="106"/>
      <c r="G363" s="101"/>
      <c r="H363" s="143">
        <f>ROUND(-H362*10%,2)</f>
        <v>-223.19</v>
      </c>
      <c r="I363" s="102"/>
      <c r="J363" s="102"/>
      <c r="K363" s="102"/>
      <c r="L363" s="150">
        <f>ROUND(-L362*10%,2)</f>
        <v>-221.74</v>
      </c>
      <c r="M363" s="148"/>
      <c r="N363" s="151">
        <f>L363-H363</f>
        <v>1.4499999999999886</v>
      </c>
      <c r="O363" s="107">
        <f>IF((H363)=0,"",(N363/H363))</f>
        <v>-6.4967068417043266E-3</v>
      </c>
      <c r="Q363" s="126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</row>
    <row r="364" spans="1:63" s="4" customFormat="1" ht="15" thickBot="1" x14ac:dyDescent="0.35">
      <c r="A364" s="60"/>
      <c r="B364" s="173" t="s">
        <v>56</v>
      </c>
      <c r="C364" s="173"/>
      <c r="D364" s="173"/>
      <c r="E364" s="42"/>
      <c r="F364" s="43"/>
      <c r="G364" s="44"/>
      <c r="H364" s="45">
        <f>H362+H363</f>
        <v>2008.7586088000003</v>
      </c>
      <c r="I364" s="46"/>
      <c r="J364" s="46"/>
      <c r="K364" s="46"/>
      <c r="L364" s="47">
        <f>L362+L363</f>
        <v>1995.7056464</v>
      </c>
      <c r="M364" s="48"/>
      <c r="N364" s="49">
        <f>L364-H364</f>
        <v>-13.052962400000297</v>
      </c>
      <c r="O364" s="50">
        <f>IF((H364)=0,"",(N364/H364))</f>
        <v>-6.4980243732709747E-3</v>
      </c>
      <c r="P364" s="60"/>
      <c r="Q364" s="126"/>
      <c r="R364" s="126"/>
      <c r="S364" s="126"/>
      <c r="T364" s="126"/>
      <c r="U364" s="126"/>
      <c r="V364" s="126"/>
      <c r="W364" s="126"/>
      <c r="X364" s="126"/>
      <c r="Y364" s="126"/>
      <c r="Z364" s="126"/>
      <c r="AA364" s="126"/>
      <c r="AB364" s="126"/>
      <c r="AC364" s="126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</row>
    <row r="365" spans="1:63" s="4" customFormat="1" ht="15" thickBot="1" x14ac:dyDescent="0.35">
      <c r="A365" s="60"/>
      <c r="B365" s="32"/>
      <c r="C365" s="33"/>
      <c r="D365" s="34"/>
      <c r="E365" s="33"/>
      <c r="F365" s="35"/>
      <c r="G365" s="36"/>
      <c r="H365" s="37"/>
      <c r="I365" s="38"/>
      <c r="J365" s="35"/>
      <c r="K365" s="39"/>
      <c r="L365" s="37"/>
      <c r="M365" s="123"/>
      <c r="N365" s="40"/>
      <c r="O365" s="41"/>
      <c r="P365" s="60"/>
      <c r="Q365" s="126"/>
      <c r="R365" s="126"/>
      <c r="S365" s="126"/>
      <c r="T365" s="126"/>
      <c r="U365" s="126"/>
      <c r="V365" s="126"/>
      <c r="W365" s="126"/>
      <c r="X365" s="126"/>
      <c r="Y365" s="126"/>
      <c r="Z365" s="126"/>
      <c r="AA365" s="126"/>
      <c r="AB365" s="126"/>
      <c r="AC365" s="126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</row>
    <row r="366" spans="1:63" s="92" customFormat="1" ht="13.2" x14ac:dyDescent="0.25">
      <c r="B366" s="108" t="s">
        <v>57</v>
      </c>
      <c r="C366" s="90"/>
      <c r="D366" s="90"/>
      <c r="E366" s="90"/>
      <c r="F366" s="109"/>
      <c r="G366" s="110"/>
      <c r="H366" s="152">
        <f>SUM(H357:H358,H349,H350:H353)</f>
        <v>2026.6257600000001</v>
      </c>
      <c r="I366" s="111"/>
      <c r="J366" s="112"/>
      <c r="K366" s="112"/>
      <c r="L366" s="155">
        <f>SUM(L357:L358,L349,L350:L353)</f>
        <v>2013.7912800000001</v>
      </c>
      <c r="M366" s="156"/>
      <c r="N366" s="157">
        <f>L366-H366</f>
        <v>-12.834479999999985</v>
      </c>
      <c r="O366" s="98">
        <f>IF((H366)=0,"",(N366/H366))</f>
        <v>-6.332930456780528E-3</v>
      </c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</row>
    <row r="367" spans="1:63" s="92" customFormat="1" ht="13.2" x14ac:dyDescent="0.25">
      <c r="B367" s="113" t="s">
        <v>53</v>
      </c>
      <c r="C367" s="90"/>
      <c r="D367" s="90"/>
      <c r="E367" s="90"/>
      <c r="F367" s="114">
        <v>0.13</v>
      </c>
      <c r="G367" s="110"/>
      <c r="H367" s="153">
        <f>H366*F367</f>
        <v>263.46134880000005</v>
      </c>
      <c r="I367" s="115"/>
      <c r="J367" s="116">
        <v>0.13</v>
      </c>
      <c r="K367" s="117"/>
      <c r="L367" s="158">
        <f>L366*J367</f>
        <v>261.79286640000004</v>
      </c>
      <c r="M367" s="159"/>
      <c r="N367" s="160">
        <f>L367-H367</f>
        <v>-1.6684824000000162</v>
      </c>
      <c r="O367" s="104">
        <f>IF((H367)=0,"",(N367/H367))</f>
        <v>-6.3329304567805956E-3</v>
      </c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</row>
    <row r="368" spans="1:63" s="92" customFormat="1" ht="13.2" x14ac:dyDescent="0.25">
      <c r="B368" s="118" t="s">
        <v>54</v>
      </c>
      <c r="C368" s="90"/>
      <c r="D368" s="90"/>
      <c r="E368" s="90"/>
      <c r="F368" s="119"/>
      <c r="G368" s="120"/>
      <c r="H368" s="153">
        <f>H366+H367</f>
        <v>2290.0871088000004</v>
      </c>
      <c r="I368" s="115"/>
      <c r="J368" s="115"/>
      <c r="K368" s="115"/>
      <c r="L368" s="158">
        <f>L366+L367</f>
        <v>2275.5841464</v>
      </c>
      <c r="M368" s="159"/>
      <c r="N368" s="160">
        <f>L368-H368</f>
        <v>-14.502962400000342</v>
      </c>
      <c r="O368" s="104">
        <f>IF((H368)=0,"",(N368/H368))</f>
        <v>-6.3329304567806841E-3</v>
      </c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</row>
    <row r="369" spans="1:63" s="92" customFormat="1" ht="13.2" customHeight="1" x14ac:dyDescent="0.25">
      <c r="B369" s="174" t="s">
        <v>55</v>
      </c>
      <c r="C369" s="174"/>
      <c r="D369" s="174"/>
      <c r="E369" s="90"/>
      <c r="F369" s="119"/>
      <c r="G369" s="120"/>
      <c r="H369" s="154">
        <f>ROUND(-H368*10%,2)</f>
        <v>-229.01</v>
      </c>
      <c r="I369" s="115"/>
      <c r="J369" s="115"/>
      <c r="K369" s="115"/>
      <c r="L369" s="161">
        <f>ROUND(-L368*10%,2)</f>
        <v>-227.56</v>
      </c>
      <c r="M369" s="159"/>
      <c r="N369" s="162">
        <f>L369-H369</f>
        <v>1.4499999999999886</v>
      </c>
      <c r="O369" s="107">
        <f>IF((H369)=0,"",(N369/H369))</f>
        <v>-6.3316012401204696E-3</v>
      </c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</row>
    <row r="370" spans="1:63" s="4" customFormat="1" ht="15" thickBot="1" x14ac:dyDescent="0.35">
      <c r="A370" s="60"/>
      <c r="B370" s="173" t="s">
        <v>58</v>
      </c>
      <c r="C370" s="173"/>
      <c r="D370" s="173"/>
      <c r="E370" s="42"/>
      <c r="F370" s="43"/>
      <c r="G370" s="44"/>
      <c r="H370" s="45">
        <f>SUM(H368:H369)</f>
        <v>2061.0771088000001</v>
      </c>
      <c r="I370" s="46"/>
      <c r="J370" s="46"/>
      <c r="K370" s="46"/>
      <c r="L370" s="47">
        <f>SUM(L368:L369)</f>
        <v>2048.0241464000001</v>
      </c>
      <c r="M370" s="48"/>
      <c r="N370" s="49">
        <f>L370-H370</f>
        <v>-13.052962400000069</v>
      </c>
      <c r="O370" s="50">
        <f>IF((H370)=0,"",(N370/H370))</f>
        <v>-6.3330781484443165E-3</v>
      </c>
      <c r="P370" s="60"/>
      <c r="Q370" s="126"/>
      <c r="R370" s="126"/>
      <c r="S370" s="126"/>
      <c r="T370" s="126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</row>
    <row r="371" spans="1:63" s="4" customFormat="1" ht="15" thickBot="1" x14ac:dyDescent="0.35">
      <c r="A371" s="60"/>
      <c r="B371" s="32"/>
      <c r="C371" s="33"/>
      <c r="D371" s="34"/>
      <c r="E371" s="33"/>
      <c r="F371" s="35"/>
      <c r="G371" s="36"/>
      <c r="H371" s="122"/>
      <c r="I371" s="123"/>
      <c r="J371" s="35"/>
      <c r="K371" s="39"/>
      <c r="L371" s="37"/>
      <c r="M371" s="123"/>
      <c r="N371" s="40"/>
      <c r="O371" s="41"/>
      <c r="P371" s="60"/>
      <c r="Q371" s="126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</row>
    <row r="372" spans="1:63" x14ac:dyDescent="0.3">
      <c r="L372" s="88"/>
    </row>
    <row r="373" spans="1:63" x14ac:dyDescent="0.3">
      <c r="B373" s="65" t="s">
        <v>59</v>
      </c>
      <c r="F373" s="51">
        <v>3.7699999999999997E-2</v>
      </c>
      <c r="J373" s="51">
        <f>+Residential!$J$74</f>
        <v>3.7600000000000001E-2</v>
      </c>
    </row>
    <row r="375" spans="1:63" x14ac:dyDescent="0.3">
      <c r="L375" s="56"/>
      <c r="M375" s="56"/>
      <c r="N375" s="56"/>
      <c r="O375" s="56"/>
      <c r="P375" s="56"/>
    </row>
    <row r="376" spans="1:63" ht="16.2" x14ac:dyDescent="0.3">
      <c r="A376" s="121" t="s">
        <v>60</v>
      </c>
    </row>
    <row r="378" spans="1:63" x14ac:dyDescent="0.3">
      <c r="A378" s="60" t="s">
        <v>61</v>
      </c>
    </row>
    <row r="379" spans="1:63" x14ac:dyDescent="0.3">
      <c r="A379" s="60" t="s">
        <v>62</v>
      </c>
    </row>
    <row r="381" spans="1:63" x14ac:dyDescent="0.3">
      <c r="B381" s="60" t="s">
        <v>63</v>
      </c>
    </row>
    <row r="382" spans="1:63" x14ac:dyDescent="0.3">
      <c r="A382" s="64"/>
    </row>
  </sheetData>
  <mergeCells count="66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B218:D218"/>
    <mergeCell ref="B363:D363"/>
    <mergeCell ref="B364:D364"/>
    <mergeCell ref="B369:D369"/>
    <mergeCell ref="B370:D370"/>
    <mergeCell ref="B294:D294"/>
    <mergeCell ref="B295:D295"/>
    <mergeCell ref="B309:O309"/>
    <mergeCell ref="B310:O310"/>
    <mergeCell ref="B219:D219"/>
    <mergeCell ref="B234:O234"/>
    <mergeCell ref="B235:O235"/>
    <mergeCell ref="D238:O238"/>
    <mergeCell ref="F244:H244"/>
    <mergeCell ref="J244:L244"/>
    <mergeCell ref="N244:O244"/>
    <mergeCell ref="D169:D170"/>
    <mergeCell ref="N169:N170"/>
    <mergeCell ref="O169:O170"/>
    <mergeCell ref="B212:D212"/>
    <mergeCell ref="B213:D213"/>
    <mergeCell ref="B158:O158"/>
    <mergeCell ref="B159:O159"/>
    <mergeCell ref="D162:O162"/>
    <mergeCell ref="F168:H168"/>
    <mergeCell ref="J168:L168"/>
    <mergeCell ref="N168:O168"/>
    <mergeCell ref="D245:D246"/>
    <mergeCell ref="N245:N246"/>
    <mergeCell ref="O245:O246"/>
    <mergeCell ref="B288:D288"/>
    <mergeCell ref="B289:D289"/>
    <mergeCell ref="D313:O313"/>
    <mergeCell ref="F319:H319"/>
    <mergeCell ref="J319:L319"/>
    <mergeCell ref="N319:O319"/>
    <mergeCell ref="D320:D321"/>
    <mergeCell ref="N320:N321"/>
    <mergeCell ref="O320:O321"/>
    <mergeCell ref="B84:O84"/>
    <mergeCell ref="B85:O85"/>
    <mergeCell ref="D88:O88"/>
    <mergeCell ref="F94:H94"/>
    <mergeCell ref="J94:L94"/>
    <mergeCell ref="N94:O94"/>
    <mergeCell ref="B144:D144"/>
    <mergeCell ref="B145:D145"/>
    <mergeCell ref="D95:D96"/>
    <mergeCell ref="N95:N96"/>
    <mergeCell ref="O95:O96"/>
    <mergeCell ref="B138:D138"/>
    <mergeCell ref="B139:D139"/>
  </mergeCells>
  <dataValidations count="4">
    <dataValidation type="list" allowBlank="1" showInputMessage="1" showErrorMessage="1" sqref="E48:E49 E40:E46 E23:E38 E51:E57 E60 E196:E197 E188:E194 E171:E186 E199:E205 E208 E272:E273 E264:E270 E247:E262 E275:E281 E284 E347:E348 E339:E345 E322:E337 E350:E356 E359 E122:E123 E114:E120 E97:E112 E125:E131 E134">
      <formula1>#REF!</formula1>
    </dataValidation>
    <dataValidation type="list" allowBlank="1" showInputMessage="1" showErrorMessage="1" prompt="Select Charge Unit - monthly, per kWh, per kW" sqref="D48:D49 D40:D46 D66 D23:D38 D72 D51:D60 D196:D197 D188:D194 D214 D171:D186 D220 D199:D208 D272:D273 D264:D270 D290 D247:D262 D296 D275:D284 D347:D348 D339:D345 D365 D322:D337 D371 D350:D359 D122:D123 D114:D120 D140 D97:D112 D146 D125:D134">
      <formula1>"Monthly, per kWh, per kW"</formula1>
    </dataValidation>
    <dataValidation type="list" allowBlank="1" showInputMessage="1" showErrorMessage="1" sqref="E72 E66 E58:E59 E220 E214 E206:E207 E296 E290 E282:E283 E371 E365 E357:E358 E146 E140 E132:E133">
      <formula1>#REF!</formula1>
    </dataValidation>
    <dataValidation type="list" allowBlank="1" showInputMessage="1" showErrorMessage="1" sqref="D16 D164 D240 D315 D90">
      <formula1>"TOU, non-TOU"</formula1>
    </dataValidation>
  </dataValidations>
  <pageMargins left="0.7" right="0.7" top="0.75" bottom="0.75" header="0.3" footer="0.3"/>
  <pageSetup scale="52" fitToHeight="0" orientation="portrait" r:id="rId1"/>
  <rowBreaks count="4" manualBreakCount="4">
    <brk id="83" max="15" man="1"/>
    <brk id="157" max="15" man="1"/>
    <brk id="233" max="15" man="1"/>
    <brk id="30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87" r:id="rId4" name="Option Button 167">
              <controlPr defaultSize="0" autoFill="0" autoLine="0" autoPict="0">
                <anchor moveWithCells="1">
                  <from>
                    <xdr:col>6</xdr:col>
                    <xdr:colOff>861060</xdr:colOff>
                    <xdr:row>16</xdr:row>
                    <xdr:rowOff>190500</xdr:rowOff>
                  </from>
                  <to>
                    <xdr:col>7</xdr:col>
                    <xdr:colOff>815340</xdr:colOff>
                    <xdr:row>17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5" name="Option Button 168">
              <controlPr defaultSize="0" autoFill="0" autoLine="0" autoPict="0">
                <anchor moveWithCells="1">
                  <from>
                    <xdr:col>9</xdr:col>
                    <xdr:colOff>182880</xdr:colOff>
                    <xdr:row>16</xdr:row>
                    <xdr:rowOff>152400</xdr:rowOff>
                  </from>
                  <to>
                    <xdr:col>14</xdr:col>
                    <xdr:colOff>441960</xdr:colOff>
                    <xdr:row>17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307"/>
  <sheetViews>
    <sheetView view="pageBreakPreview" topLeftCell="A30" zoomScale="80" zoomScaleNormal="80" zoomScaleSheetLayoutView="80" workbookViewId="0">
      <selection activeCell="K351" sqref="K351"/>
    </sheetView>
  </sheetViews>
  <sheetFormatPr defaultColWidth="9.109375" defaultRowHeight="14.4" x14ac:dyDescent="0.3"/>
  <cols>
    <col min="1" max="1" width="4.44140625" style="60" customWidth="1"/>
    <col min="2" max="2" width="45.3320312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2.33203125" style="60" customWidth="1"/>
    <col min="9" max="9" width="2.88671875" style="60" customWidth="1"/>
    <col min="10" max="10" width="12.109375" style="60" customWidth="1"/>
    <col min="11" max="11" width="12" style="60" customWidth="1"/>
    <col min="12" max="12" width="12.554687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78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69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64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100</v>
      </c>
      <c r="G18" s="65" t="s">
        <v>65</v>
      </c>
    </row>
    <row r="19" spans="2:29" x14ac:dyDescent="0.3">
      <c r="B19" s="64"/>
      <c r="F19" s="6">
        <v>30000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118.45</v>
      </c>
      <c r="G23" s="74">
        <v>1</v>
      </c>
      <c r="H23" s="75">
        <f t="shared" ref="H23:H38" si="0">G23*F23</f>
        <v>118.45</v>
      </c>
      <c r="I23" s="76"/>
      <c r="J23" s="129">
        <v>158.52000000000001</v>
      </c>
      <c r="K23" s="77">
        <v>1</v>
      </c>
      <c r="L23" s="75">
        <f t="shared" ref="L23:L38" si="1">K23*J23</f>
        <v>158.52000000000001</v>
      </c>
      <c r="M23" s="76"/>
      <c r="N23" s="78">
        <f t="shared" ref="N23:N59" si="2">L23-H23</f>
        <v>40.070000000000007</v>
      </c>
      <c r="O23" s="79">
        <f t="shared" ref="O23:O45" si="3">IF((H23)=0,"",(N23/H23))</f>
        <v>0.33828619670747156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68</v>
      </c>
      <c r="E29" s="73"/>
      <c r="F29" s="135">
        <v>3.6776</v>
      </c>
      <c r="G29" s="74">
        <f>$F18</f>
        <v>100</v>
      </c>
      <c r="H29" s="136">
        <f t="shared" si="0"/>
        <v>367.76</v>
      </c>
      <c r="I29" s="76"/>
      <c r="J29" s="132">
        <v>4.9028</v>
      </c>
      <c r="K29" s="74">
        <f>$F18</f>
        <v>100</v>
      </c>
      <c r="L29" s="136">
        <f t="shared" si="1"/>
        <v>490.28000000000003</v>
      </c>
      <c r="M29" s="76"/>
      <c r="N29" s="137">
        <f t="shared" si="2"/>
        <v>122.52000000000004</v>
      </c>
      <c r="O29" s="79">
        <f t="shared" si="3"/>
        <v>0.3331520556884926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68</v>
      </c>
      <c r="E31" s="73"/>
      <c r="F31" s="135">
        <v>3.3E-3</v>
      </c>
      <c r="G31" s="74">
        <f>$F18</f>
        <v>100</v>
      </c>
      <c r="H31" s="136">
        <f t="shared" si="0"/>
        <v>0.33</v>
      </c>
      <c r="I31" s="76"/>
      <c r="J31" s="132">
        <v>1.21E-2</v>
      </c>
      <c r="K31" s="74">
        <f>$F18</f>
        <v>100</v>
      </c>
      <c r="L31" s="136">
        <f t="shared" si="1"/>
        <v>1.21</v>
      </c>
      <c r="M31" s="76"/>
      <c r="N31" s="137">
        <f t="shared" si="2"/>
        <v>0.87999999999999989</v>
      </c>
      <c r="O31" s="79">
        <f t="shared" si="3"/>
        <v>2.6666666666666661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68</v>
      </c>
      <c r="E32" s="73"/>
      <c r="F32" s="135">
        <v>0.25109999999999999</v>
      </c>
      <c r="G32" s="74">
        <f>$F18</f>
        <v>100</v>
      </c>
      <c r="H32" s="136">
        <f t="shared" si="0"/>
        <v>25.11</v>
      </c>
      <c r="I32" s="76"/>
      <c r="J32" s="132"/>
      <c r="K32" s="74">
        <f>$F18</f>
        <v>100</v>
      </c>
      <c r="L32" s="136">
        <f t="shared" si="1"/>
        <v>0</v>
      </c>
      <c r="M32" s="76"/>
      <c r="N32" s="137">
        <f t="shared" si="2"/>
        <v>-25.11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68</v>
      </c>
      <c r="E33" s="73"/>
      <c r="F33" s="135">
        <v>-4.65E-2</v>
      </c>
      <c r="G33" s="74">
        <f>$F18</f>
        <v>100</v>
      </c>
      <c r="H33" s="136">
        <f t="shared" si="0"/>
        <v>-4.6500000000000004</v>
      </c>
      <c r="I33" s="76"/>
      <c r="J33" s="132"/>
      <c r="K33" s="74">
        <f>$F18</f>
        <v>100</v>
      </c>
      <c r="L33" s="136">
        <f t="shared" si="1"/>
        <v>0</v>
      </c>
      <c r="M33" s="76"/>
      <c r="N33" s="137">
        <f t="shared" si="2"/>
        <v>4.6500000000000004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32</v>
      </c>
      <c r="C34" s="73"/>
      <c r="D34" s="7" t="s">
        <v>24</v>
      </c>
      <c r="E34" s="73"/>
      <c r="F34" s="135"/>
      <c r="G34" s="74">
        <v>1</v>
      </c>
      <c r="H34" s="136">
        <f t="shared" si="0"/>
        <v>0</v>
      </c>
      <c r="I34" s="76"/>
      <c r="J34" s="132"/>
      <c r="K34" s="74">
        <v>1</v>
      </c>
      <c r="L34" s="136">
        <f t="shared" si="1"/>
        <v>0</v>
      </c>
      <c r="M34" s="76"/>
      <c r="N34" s="137">
        <f t="shared" si="2"/>
        <v>0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">
        <v>33</v>
      </c>
      <c r="C35" s="73"/>
      <c r="D35" s="7" t="s">
        <v>68</v>
      </c>
      <c r="E35" s="73"/>
      <c r="F35" s="134"/>
      <c r="G35" s="74">
        <f>$F18</f>
        <v>100</v>
      </c>
      <c r="H35" s="136">
        <f t="shared" si="0"/>
        <v>0</v>
      </c>
      <c r="I35" s="76"/>
      <c r="J35" s="132">
        <v>-4.58E-2</v>
      </c>
      <c r="K35" s="74">
        <f>$F18</f>
        <v>100</v>
      </c>
      <c r="L35" s="136">
        <f t="shared" si="1"/>
        <v>-4.58</v>
      </c>
      <c r="M35" s="76"/>
      <c r="N35" s="137">
        <f t="shared" si="2"/>
        <v>-4.58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">
        <v>77</v>
      </c>
      <c r="C36" s="73"/>
      <c r="D36" s="7" t="s">
        <v>68</v>
      </c>
      <c r="E36" s="73"/>
      <c r="F36" s="134"/>
      <c r="G36" s="74">
        <f>$F18</f>
        <v>100</v>
      </c>
      <c r="H36" s="136">
        <f t="shared" si="0"/>
        <v>0</v>
      </c>
      <c r="I36" s="76"/>
      <c r="J36" s="132">
        <v>6.8199999999999997E-2</v>
      </c>
      <c r="K36" s="74">
        <f>$F18</f>
        <v>100</v>
      </c>
      <c r="L36" s="136">
        <f t="shared" si="1"/>
        <v>6.8199999999999994</v>
      </c>
      <c r="M36" s="76"/>
      <c r="N36" s="137">
        <f t="shared" si="2"/>
        <v>6.8199999999999994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>$F18</f>
        <v>100</v>
      </c>
      <c r="H37" s="136">
        <f t="shared" si="0"/>
        <v>0</v>
      </c>
      <c r="I37" s="76"/>
      <c r="J37" s="131"/>
      <c r="K37" s="74">
        <f>$F18</f>
        <v>100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100</v>
      </c>
      <c r="H38" s="136">
        <f t="shared" si="0"/>
        <v>0</v>
      </c>
      <c r="I38" s="76"/>
      <c r="J38" s="131"/>
      <c r="K38" s="74">
        <f>$F18</f>
        <v>100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34</v>
      </c>
      <c r="C39" s="20"/>
      <c r="D39" s="20"/>
      <c r="E39" s="20"/>
      <c r="F39" s="21"/>
      <c r="G39" s="22"/>
      <c r="H39" s="23">
        <f>SUM(H23:H38)</f>
        <v>507</v>
      </c>
      <c r="I39" s="13"/>
      <c r="J39" s="14"/>
      <c r="K39" s="24"/>
      <c r="L39" s="23">
        <f>SUM(L23:L38)</f>
        <v>652.25000000000011</v>
      </c>
      <c r="M39" s="13"/>
      <c r="N39" s="15">
        <f t="shared" si="2"/>
        <v>145.25000000000011</v>
      </c>
      <c r="O39" s="16">
        <f t="shared" si="3"/>
        <v>0.2864891518737675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35</v>
      </c>
      <c r="C40" s="73"/>
      <c r="D40" s="7" t="s">
        <v>68</v>
      </c>
      <c r="E40" s="73"/>
      <c r="F40" s="135">
        <v>9.5299999999999996E-2</v>
      </c>
      <c r="G40" s="74">
        <f>$F18</f>
        <v>100</v>
      </c>
      <c r="H40" s="136">
        <f t="shared" ref="H40:H46" si="4">G40*F40</f>
        <v>9.5299999999999994</v>
      </c>
      <c r="I40" s="76"/>
      <c r="J40" s="135">
        <v>-0.52969999999999995</v>
      </c>
      <c r="K40" s="74">
        <f>$F18</f>
        <v>100</v>
      </c>
      <c r="L40" s="136">
        <f t="shared" ref="L40:L46" si="5">K40*J40</f>
        <v>-52.969999999999992</v>
      </c>
      <c r="M40" s="76"/>
      <c r="N40" s="137">
        <f t="shared" si="2"/>
        <v>-62.499999999999993</v>
      </c>
      <c r="O40" s="79">
        <f t="shared" si="3"/>
        <v>-6.5582371458551938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100</v>
      </c>
      <c r="H41" s="136">
        <f t="shared" si="4"/>
        <v>0</v>
      </c>
      <c r="I41" s="82"/>
      <c r="J41" s="8"/>
      <c r="K41" s="74">
        <f>$F18</f>
        <v>100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100</v>
      </c>
      <c r="H42" s="136">
        <f t="shared" si="4"/>
        <v>0</v>
      </c>
      <c r="I42" s="82"/>
      <c r="J42" s="8"/>
      <c r="K42" s="74">
        <f>$F18</f>
        <v>100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100</v>
      </c>
      <c r="H43" s="136">
        <f t="shared" si="4"/>
        <v>0</v>
      </c>
      <c r="I43" s="82"/>
      <c r="J43" s="8"/>
      <c r="K43" s="74">
        <f>$F18</f>
        <v>100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36</v>
      </c>
      <c r="C44" s="73"/>
      <c r="D44" s="7" t="s">
        <v>68</v>
      </c>
      <c r="E44" s="73"/>
      <c r="F44" s="135">
        <v>6.3799999999999996E-2</v>
      </c>
      <c r="G44" s="74">
        <f>$F18</f>
        <v>100</v>
      </c>
      <c r="H44" s="136">
        <f t="shared" si="4"/>
        <v>6.38</v>
      </c>
      <c r="I44" s="76"/>
      <c r="J44" s="135">
        <v>0.1313</v>
      </c>
      <c r="K44" s="74">
        <f>$F18</f>
        <v>100</v>
      </c>
      <c r="L44" s="136">
        <f t="shared" si="5"/>
        <v>13.13</v>
      </c>
      <c r="M44" s="76"/>
      <c r="N44" s="137">
        <f t="shared" si="2"/>
        <v>6.7500000000000009</v>
      </c>
      <c r="O44" s="79">
        <f t="shared" si="3"/>
        <v>1.0579937304075238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37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8.7999999999999995E-2</v>
      </c>
      <c r="G45" s="18">
        <f>$F19*(1+$F74)-$F19</f>
        <v>1131.0000000000036</v>
      </c>
      <c r="H45" s="136">
        <f t="shared" si="4"/>
        <v>99.528000000000318</v>
      </c>
      <c r="I45" s="76"/>
      <c r="J45" s="138">
        <f>+F45</f>
        <v>8.7999999999999995E-2</v>
      </c>
      <c r="K45" s="18">
        <f>$F19*(1+$J74)-$F19</f>
        <v>1128.0000000000036</v>
      </c>
      <c r="L45" s="136">
        <f t="shared" si="5"/>
        <v>99.264000000000308</v>
      </c>
      <c r="M45" s="76"/>
      <c r="N45" s="137">
        <f t="shared" si="2"/>
        <v>-0.26400000000001</v>
      </c>
      <c r="O45" s="79">
        <f t="shared" si="3"/>
        <v>-2.6525198938992965E-3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38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4"/>
        <v>0</v>
      </c>
      <c r="I46" s="76"/>
      <c r="J46" s="138"/>
      <c r="K46" s="81">
        <v>1</v>
      </c>
      <c r="L46" s="136">
        <f t="shared" si="5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39</v>
      </c>
      <c r="C47" s="20"/>
      <c r="D47" s="20"/>
      <c r="E47" s="20"/>
      <c r="F47" s="21"/>
      <c r="G47" s="22"/>
      <c r="H47" s="23">
        <f>SUM(H40:H46)+H39</f>
        <v>622.43800000000033</v>
      </c>
      <c r="I47" s="13"/>
      <c r="J47" s="22"/>
      <c r="K47" s="24"/>
      <c r="L47" s="23">
        <f>SUM(L40:L46)+L39</f>
        <v>711.67400000000043</v>
      </c>
      <c r="M47" s="13"/>
      <c r="N47" s="15">
        <f t="shared" si="2"/>
        <v>89.236000000000104</v>
      </c>
      <c r="O47" s="16">
        <f t="shared" ref="O47:O59" si="6">IF((H47)=0,"",(N47/H47))</f>
        <v>0.14336528296794229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40</v>
      </c>
      <c r="C48" s="76"/>
      <c r="D48" s="25" t="s">
        <v>68</v>
      </c>
      <c r="E48" s="76"/>
      <c r="F48" s="135">
        <v>2.7667000000000002</v>
      </c>
      <c r="G48" s="18">
        <f>F18*(1+F74)</f>
        <v>103.77000000000001</v>
      </c>
      <c r="H48" s="136">
        <f>G48*F48</f>
        <v>287.10045900000006</v>
      </c>
      <c r="I48" s="76"/>
      <c r="J48" s="135">
        <v>2.6019999999999999</v>
      </c>
      <c r="K48" s="18">
        <f>F18*(1+J74)</f>
        <v>103.76</v>
      </c>
      <c r="L48" s="136">
        <f>K48*J48</f>
        <v>269.98352</v>
      </c>
      <c r="M48" s="76"/>
      <c r="N48" s="136">
        <f t="shared" si="2"/>
        <v>-17.116939000000059</v>
      </c>
      <c r="O48" s="79">
        <f t="shared" si="6"/>
        <v>-5.9620033557661628E-2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41</v>
      </c>
      <c r="C49" s="76"/>
      <c r="D49" s="25" t="s">
        <v>68</v>
      </c>
      <c r="E49" s="76"/>
      <c r="F49" s="135">
        <v>1.8766</v>
      </c>
      <c r="G49" s="18">
        <f>G48</f>
        <v>103.77000000000001</v>
      </c>
      <c r="H49" s="136">
        <f>G49*F49</f>
        <v>194.73478200000002</v>
      </c>
      <c r="I49" s="76"/>
      <c r="J49" s="135">
        <v>1.3172999999999999</v>
      </c>
      <c r="K49" s="18">
        <f>K48</f>
        <v>103.76</v>
      </c>
      <c r="L49" s="136">
        <f>K49*J49</f>
        <v>136.68304799999999</v>
      </c>
      <c r="M49" s="76"/>
      <c r="N49" s="136">
        <f t="shared" si="2"/>
        <v>-58.051734000000039</v>
      </c>
      <c r="O49" s="79">
        <f t="shared" si="6"/>
        <v>-0.29810665256502578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42</v>
      </c>
      <c r="C50" s="20"/>
      <c r="D50" s="20"/>
      <c r="E50" s="20"/>
      <c r="F50" s="21"/>
      <c r="G50" s="22"/>
      <c r="H50" s="23">
        <f>SUM(H47:H49)</f>
        <v>1104.2732410000003</v>
      </c>
      <c r="I50" s="13"/>
      <c r="J50" s="26"/>
      <c r="K50" s="22"/>
      <c r="L50" s="23">
        <f>SUM(L47:L49)</f>
        <v>1118.3405680000005</v>
      </c>
      <c r="M50" s="13"/>
      <c r="N50" s="15">
        <f t="shared" si="2"/>
        <v>14.067327000000205</v>
      </c>
      <c r="O50" s="16">
        <f t="shared" si="6"/>
        <v>1.273899110990067E-2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43</v>
      </c>
      <c r="C51" s="73"/>
      <c r="D51" s="7" t="s">
        <v>27</v>
      </c>
      <c r="E51" s="73"/>
      <c r="F51" s="135">
        <v>4.4000000000000003E-3</v>
      </c>
      <c r="G51" s="18">
        <f>F19*(1+F74)</f>
        <v>31131.000000000004</v>
      </c>
      <c r="H51" s="139">
        <f t="shared" ref="H51:H59" si="7">G51*F51</f>
        <v>136.97640000000001</v>
      </c>
      <c r="I51" s="76"/>
      <c r="J51" s="135">
        <f>+F51</f>
        <v>4.4000000000000003E-3</v>
      </c>
      <c r="K51" s="18">
        <f>F19*(1+J74)</f>
        <v>31128.000000000004</v>
      </c>
      <c r="L51" s="139">
        <f t="shared" ref="L51:L59" si="8">K51*J51</f>
        <v>136.96320000000003</v>
      </c>
      <c r="M51" s="76"/>
      <c r="N51" s="137">
        <f t="shared" si="2"/>
        <v>-1.3199999999983447E-2</v>
      </c>
      <c r="O51" s="87">
        <f t="shared" si="6"/>
        <v>-9.6366965404138567E-5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44</v>
      </c>
      <c r="C52" s="73"/>
      <c r="D52" s="7" t="s">
        <v>27</v>
      </c>
      <c r="E52" s="73"/>
      <c r="F52" s="135">
        <v>1.1999999999999999E-3</v>
      </c>
      <c r="G52" s="18">
        <f>+G51</f>
        <v>31131.000000000004</v>
      </c>
      <c r="H52" s="139">
        <f t="shared" si="7"/>
        <v>37.357199999999999</v>
      </c>
      <c r="I52" s="76"/>
      <c r="J52" s="135">
        <f>+F52</f>
        <v>1.1999999999999999E-3</v>
      </c>
      <c r="K52" s="18">
        <f>+K51</f>
        <v>31128.000000000004</v>
      </c>
      <c r="L52" s="139">
        <f t="shared" si="8"/>
        <v>37.3536</v>
      </c>
      <c r="M52" s="76"/>
      <c r="N52" s="137">
        <f t="shared" si="2"/>
        <v>-3.5999999999987153E-3</v>
      </c>
      <c r="O52" s="87">
        <f t="shared" si="6"/>
        <v>-9.6366965404225032E-5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45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46</v>
      </c>
      <c r="C54" s="73"/>
      <c r="D54" s="7" t="s">
        <v>27</v>
      </c>
      <c r="E54" s="73"/>
      <c r="F54" s="135">
        <v>7.0000000000000001E-3</v>
      </c>
      <c r="G54" s="84">
        <f>F19</f>
        <v>30000</v>
      </c>
      <c r="H54" s="139">
        <f t="shared" si="7"/>
        <v>210</v>
      </c>
      <c r="I54" s="76"/>
      <c r="J54" s="135">
        <f>+F54</f>
        <v>7.0000000000000001E-3</v>
      </c>
      <c r="K54" s="77">
        <f>F19</f>
        <v>30000</v>
      </c>
      <c r="L54" s="139">
        <f t="shared" si="8"/>
        <v>210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47</v>
      </c>
      <c r="C55" s="73"/>
      <c r="D55" s="7" t="s">
        <v>27</v>
      </c>
      <c r="E55" s="73"/>
      <c r="F55" s="138">
        <v>6.7000000000000004E-2</v>
      </c>
      <c r="G55" s="27">
        <f>0.64*$F19</f>
        <v>19200</v>
      </c>
      <c r="H55" s="139">
        <f t="shared" si="7"/>
        <v>1286.4000000000001</v>
      </c>
      <c r="I55" s="76"/>
      <c r="J55" s="138">
        <v>6.7000000000000004E-2</v>
      </c>
      <c r="K55" s="28">
        <f>G55</f>
        <v>19200</v>
      </c>
      <c r="L55" s="139">
        <f t="shared" si="8"/>
        <v>1286.4000000000001</v>
      </c>
      <c r="M55" s="76"/>
      <c r="N55" s="137">
        <f t="shared" si="2"/>
        <v>0</v>
      </c>
      <c r="O55" s="87">
        <f t="shared" si="6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48</v>
      </c>
      <c r="C56" s="73"/>
      <c r="D56" s="7" t="s">
        <v>27</v>
      </c>
      <c r="E56" s="73"/>
      <c r="F56" s="138">
        <v>0.104</v>
      </c>
      <c r="G56" s="27">
        <f>0.18*$F19</f>
        <v>5400</v>
      </c>
      <c r="H56" s="139">
        <f t="shared" si="7"/>
        <v>561.6</v>
      </c>
      <c r="I56" s="76"/>
      <c r="J56" s="138">
        <v>0.104</v>
      </c>
      <c r="K56" s="28">
        <f>G56</f>
        <v>5400</v>
      </c>
      <c r="L56" s="139">
        <f t="shared" si="8"/>
        <v>561.6</v>
      </c>
      <c r="M56" s="76"/>
      <c r="N56" s="137">
        <f t="shared" si="2"/>
        <v>0</v>
      </c>
      <c r="O56" s="87">
        <f t="shared" si="6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49</v>
      </c>
      <c r="C57" s="73"/>
      <c r="D57" s="7" t="s">
        <v>27</v>
      </c>
      <c r="E57" s="73"/>
      <c r="F57" s="138">
        <v>0.124</v>
      </c>
      <c r="G57" s="27">
        <f>0.18*$F19</f>
        <v>5400</v>
      </c>
      <c r="H57" s="139">
        <f t="shared" si="7"/>
        <v>669.6</v>
      </c>
      <c r="I57" s="76"/>
      <c r="J57" s="138">
        <v>0.124</v>
      </c>
      <c r="K57" s="28">
        <f>G57</f>
        <v>5400</v>
      </c>
      <c r="L57" s="139">
        <f t="shared" si="8"/>
        <v>669.6</v>
      </c>
      <c r="M57" s="76"/>
      <c r="N57" s="137">
        <f t="shared" si="2"/>
        <v>0</v>
      </c>
      <c r="O57" s="87">
        <f t="shared" si="6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50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</f>
        <v>750</v>
      </c>
      <c r="H58" s="139">
        <f t="shared" si="7"/>
        <v>56.25</v>
      </c>
      <c r="I58" s="91"/>
      <c r="J58" s="138">
        <v>7.4999999999999997E-2</v>
      </c>
      <c r="K58" s="31">
        <f>G58</f>
        <v>750</v>
      </c>
      <c r="L58" s="139">
        <f t="shared" si="8"/>
        <v>56.25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51</v>
      </c>
      <c r="C59" s="90"/>
      <c r="D59" s="29" t="s">
        <v>27</v>
      </c>
      <c r="E59" s="90"/>
      <c r="F59" s="138">
        <v>8.7999999999999995E-2</v>
      </c>
      <c r="G59" s="30">
        <f>IF(AND($T$1=1, F19&gt;=750), F19-750, IF(AND($T$1=1, AND(F19&lt;750, F19&gt;=0)), 0, IF(AND($T$1=2, F19&gt;=750), F19-750, IF(AND($T$1=2, AND(F19&lt;750, F19&gt;=0)), 0))))</f>
        <v>29250</v>
      </c>
      <c r="H59" s="139">
        <f t="shared" si="7"/>
        <v>2574</v>
      </c>
      <c r="I59" s="91"/>
      <c r="J59" s="138">
        <v>8.7999999999999995E-2</v>
      </c>
      <c r="K59" s="31">
        <f>G59</f>
        <v>29250</v>
      </c>
      <c r="L59" s="139">
        <f t="shared" si="8"/>
        <v>2574</v>
      </c>
      <c r="M59" s="91"/>
      <c r="N59" s="140">
        <f t="shared" si="2"/>
        <v>0</v>
      </c>
      <c r="O59" s="87">
        <f t="shared" si="6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52</v>
      </c>
      <c r="C61" s="73"/>
      <c r="D61" s="73"/>
      <c r="E61" s="73"/>
      <c r="F61" s="94"/>
      <c r="G61" s="95"/>
      <c r="H61" s="141">
        <f>SUM(H51:H57,H50)</f>
        <v>4006.4568410000002</v>
      </c>
      <c r="I61" s="96"/>
      <c r="J61" s="97"/>
      <c r="K61" s="97"/>
      <c r="L61" s="144">
        <f>SUM(L51:L57,L50)</f>
        <v>4020.5073680000005</v>
      </c>
      <c r="M61" s="145"/>
      <c r="N61" s="146">
        <f>L61-H61</f>
        <v>14.050527000000329</v>
      </c>
      <c r="O61" s="98">
        <f>IF((H61)=0,"",(N61/H61))</f>
        <v>3.5069707618498539E-3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53</v>
      </c>
      <c r="C62" s="73"/>
      <c r="D62" s="73"/>
      <c r="E62" s="73"/>
      <c r="F62" s="100">
        <v>0.13</v>
      </c>
      <c r="G62" s="101"/>
      <c r="H62" s="142">
        <f>H61*F62</f>
        <v>520.83938933000002</v>
      </c>
      <c r="I62" s="102"/>
      <c r="J62" s="103">
        <v>0.13</v>
      </c>
      <c r="K62" s="102"/>
      <c r="L62" s="147">
        <f>L61*J62</f>
        <v>522.66595784000003</v>
      </c>
      <c r="M62" s="148"/>
      <c r="N62" s="149">
        <f>L62-H62</f>
        <v>1.8265685100000155</v>
      </c>
      <c r="O62" s="104">
        <f>IF((H62)=0,"",(N62/H62))</f>
        <v>3.5069707618498014E-3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54</v>
      </c>
      <c r="C63" s="73"/>
      <c r="D63" s="73"/>
      <c r="E63" s="73"/>
      <c r="F63" s="106"/>
      <c r="G63" s="101"/>
      <c r="H63" s="142">
        <f>H61+H62</f>
        <v>4527.2962303300001</v>
      </c>
      <c r="I63" s="102"/>
      <c r="J63" s="102"/>
      <c r="K63" s="102"/>
      <c r="L63" s="147">
        <f>L61+L62</f>
        <v>4543.1733258400009</v>
      </c>
      <c r="M63" s="148"/>
      <c r="N63" s="149">
        <f>L63-H63</f>
        <v>15.8770955100008</v>
      </c>
      <c r="O63" s="104">
        <f>IF((H63)=0,"",(N63/H63))</f>
        <v>3.5069707618499485E-3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55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56</v>
      </c>
      <c r="C65" s="173"/>
      <c r="D65" s="173"/>
      <c r="E65" s="42"/>
      <c r="F65" s="43"/>
      <c r="G65" s="44"/>
      <c r="H65" s="45">
        <f>H63+H64</f>
        <v>4527.2962303300001</v>
      </c>
      <c r="I65" s="46"/>
      <c r="J65" s="46"/>
      <c r="K65" s="46"/>
      <c r="L65" s="47">
        <f>L63+L64</f>
        <v>4543.1733258400009</v>
      </c>
      <c r="M65" s="48"/>
      <c r="N65" s="49">
        <f>L65-H65</f>
        <v>15.8770955100008</v>
      </c>
      <c r="O65" s="50">
        <f>IF((H65)=0,"",(N65/H65))</f>
        <v>3.5069707618499485E-3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57</v>
      </c>
      <c r="C67" s="90"/>
      <c r="D67" s="90"/>
      <c r="E67" s="90"/>
      <c r="F67" s="109"/>
      <c r="G67" s="110"/>
      <c r="H67" s="152">
        <f>SUM(H58:H59,H50,H51:H54)</f>
        <v>4119.1068410000007</v>
      </c>
      <c r="I67" s="111"/>
      <c r="J67" s="112"/>
      <c r="K67" s="112"/>
      <c r="L67" s="155">
        <f>SUM(L58:L59,L50,L51:L54)</f>
        <v>4133.1573680000001</v>
      </c>
      <c r="M67" s="156"/>
      <c r="N67" s="157">
        <f>L67-H67</f>
        <v>14.05052699999942</v>
      </c>
      <c r="O67" s="98">
        <f>IF((H67)=0,"",(N67/H67))</f>
        <v>3.4110615583324748E-3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53</v>
      </c>
      <c r="C68" s="90"/>
      <c r="D68" s="90"/>
      <c r="E68" s="90"/>
      <c r="F68" s="114">
        <v>0.13</v>
      </c>
      <c r="G68" s="110"/>
      <c r="H68" s="153">
        <f>H67*F68</f>
        <v>535.48388933000012</v>
      </c>
      <c r="I68" s="115"/>
      <c r="J68" s="116">
        <v>0.13</v>
      </c>
      <c r="K68" s="117"/>
      <c r="L68" s="158">
        <f>L67*J68</f>
        <v>537.31045784000003</v>
      </c>
      <c r="M68" s="159"/>
      <c r="N68" s="160">
        <f>L68-H68</f>
        <v>1.8265685099999018</v>
      </c>
      <c r="O68" s="104">
        <f>IF((H68)=0,"",(N68/H68))</f>
        <v>3.4110615583324319E-3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54</v>
      </c>
      <c r="C69" s="90"/>
      <c r="D69" s="90"/>
      <c r="E69" s="90"/>
      <c r="F69" s="119"/>
      <c r="G69" s="120"/>
      <c r="H69" s="153">
        <f>H67+H68</f>
        <v>4654.590730330001</v>
      </c>
      <c r="I69" s="115"/>
      <c r="J69" s="115"/>
      <c r="K69" s="115"/>
      <c r="L69" s="158">
        <f>L67+L68</f>
        <v>4670.4678258399999</v>
      </c>
      <c r="M69" s="159"/>
      <c r="N69" s="160">
        <f>L69-H69</f>
        <v>15.877095509998981</v>
      </c>
      <c r="O69" s="104">
        <f>IF((H69)=0,"",(N69/H69))</f>
        <v>3.4110615583323963E-3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55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58</v>
      </c>
      <c r="C71" s="173"/>
      <c r="D71" s="173"/>
      <c r="E71" s="42"/>
      <c r="F71" s="43"/>
      <c r="G71" s="44"/>
      <c r="H71" s="45">
        <f>SUM(H69:H70)</f>
        <v>4654.590730330001</v>
      </c>
      <c r="I71" s="46"/>
      <c r="J71" s="46"/>
      <c r="K71" s="46"/>
      <c r="L71" s="47">
        <f>SUM(L69:L70)</f>
        <v>4670.4678258399999</v>
      </c>
      <c r="M71" s="48"/>
      <c r="N71" s="49">
        <f>L71-H71</f>
        <v>15.877095509998981</v>
      </c>
      <c r="O71" s="50">
        <f>IF((H71)=0,"",(N71/H71))</f>
        <v>3.4110615583323963E-3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59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60</v>
      </c>
    </row>
    <row r="79" spans="1:63" x14ac:dyDescent="0.3">
      <c r="A79" s="60" t="s">
        <v>61</v>
      </c>
    </row>
    <row r="80" spans="1:63" x14ac:dyDescent="0.3">
      <c r="A80" s="60" t="s">
        <v>62</v>
      </c>
    </row>
    <row r="82" spans="2:29" x14ac:dyDescent="0.3">
      <c r="B82" s="60" t="s">
        <v>63</v>
      </c>
    </row>
    <row r="85" spans="2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2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2:29" ht="7.5" customHeight="1" x14ac:dyDescent="0.3">
      <c r="L87" s="56"/>
      <c r="M87" s="56"/>
      <c r="N87" s="56"/>
      <c r="O87" s="56"/>
      <c r="P87" s="56"/>
    </row>
    <row r="88" spans="2:29" ht="7.5" customHeight="1" x14ac:dyDescent="0.3">
      <c r="L88" s="56"/>
      <c r="M88" s="56"/>
      <c r="N88" s="56"/>
      <c r="O88" s="56"/>
      <c r="P88" s="56"/>
    </row>
    <row r="89" spans="2:29" ht="15.6" x14ac:dyDescent="0.3">
      <c r="B89" s="61" t="s">
        <v>8</v>
      </c>
      <c r="D89" s="185" t="s">
        <v>69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2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2:29" ht="15.6" x14ac:dyDescent="0.3">
      <c r="B91" s="61" t="s">
        <v>9</v>
      </c>
      <c r="D91" s="5" t="s">
        <v>64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2:29" ht="15.6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2:29" x14ac:dyDescent="0.3">
      <c r="B93" s="64"/>
      <c r="D93" s="65" t="s">
        <v>11</v>
      </c>
      <c r="E93" s="65"/>
      <c r="F93" s="6">
        <v>160</v>
      </c>
      <c r="G93" s="65" t="s">
        <v>65</v>
      </c>
    </row>
    <row r="94" spans="2:29" x14ac:dyDescent="0.3">
      <c r="B94" s="64"/>
      <c r="F94" s="6">
        <v>64000</v>
      </c>
      <c r="G94" s="65" t="s">
        <v>12</v>
      </c>
    </row>
    <row r="95" spans="2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2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23</v>
      </c>
      <c r="C98" s="73"/>
      <c r="D98" s="7" t="s">
        <v>24</v>
      </c>
      <c r="E98" s="73"/>
      <c r="F98" s="129">
        <v>118.45</v>
      </c>
      <c r="G98" s="74">
        <v>1</v>
      </c>
      <c r="H98" s="75">
        <f t="shared" ref="H98:H113" si="9">G98*F98</f>
        <v>118.45</v>
      </c>
      <c r="I98" s="76"/>
      <c r="J98" s="129">
        <v>158.52000000000001</v>
      </c>
      <c r="K98" s="77">
        <v>1</v>
      </c>
      <c r="L98" s="75">
        <f t="shared" ref="L98:L113" si="10">K98*J98</f>
        <v>158.52000000000001</v>
      </c>
      <c r="M98" s="76"/>
      <c r="N98" s="78">
        <f t="shared" ref="N98:N134" si="11">L98-H98</f>
        <v>40.070000000000007</v>
      </c>
      <c r="O98" s="79">
        <f t="shared" ref="O98:O120" si="12">IF((H98)=0,"",(N98/H98))</f>
        <v>0.33828619670747156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73" t="s">
        <v>25</v>
      </c>
      <c r="C99" s="73"/>
      <c r="D99" s="7" t="s">
        <v>24</v>
      </c>
      <c r="E99" s="73"/>
      <c r="F99" s="133"/>
      <c r="G99" s="74">
        <v>1</v>
      </c>
      <c r="H99" s="136">
        <f t="shared" si="9"/>
        <v>0</v>
      </c>
      <c r="I99" s="76"/>
      <c r="J99" s="130"/>
      <c r="K99" s="77">
        <v>1</v>
      </c>
      <c r="L99" s="136">
        <f t="shared" si="10"/>
        <v>0</v>
      </c>
      <c r="M99" s="76"/>
      <c r="N99" s="137">
        <f t="shared" si="11"/>
        <v>0</v>
      </c>
      <c r="O99" s="79" t="str">
        <f t="shared" si="12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9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10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26</v>
      </c>
      <c r="C104" s="73"/>
      <c r="D104" s="7" t="s">
        <v>68</v>
      </c>
      <c r="E104" s="73"/>
      <c r="F104" s="135">
        <v>3.6776</v>
      </c>
      <c r="G104" s="74">
        <f>$F93</f>
        <v>160</v>
      </c>
      <c r="H104" s="136">
        <f t="shared" si="9"/>
        <v>588.41599999999994</v>
      </c>
      <c r="I104" s="76"/>
      <c r="J104" s="132">
        <v>4.9028</v>
      </c>
      <c r="K104" s="74">
        <f>$F93</f>
        <v>160</v>
      </c>
      <c r="L104" s="136">
        <f t="shared" si="10"/>
        <v>784.44799999999998</v>
      </c>
      <c r="M104" s="76"/>
      <c r="N104" s="137">
        <f t="shared" si="11"/>
        <v>196.03200000000004</v>
      </c>
      <c r="O104" s="79">
        <f t="shared" si="12"/>
        <v>0.3331520556884926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28</v>
      </c>
      <c r="C105" s="73"/>
      <c r="D105" s="7" t="s">
        <v>24</v>
      </c>
      <c r="E105" s="73"/>
      <c r="F105" s="135"/>
      <c r="G105" s="74">
        <v>1</v>
      </c>
      <c r="H105" s="136">
        <f t="shared" si="9"/>
        <v>0</v>
      </c>
      <c r="I105" s="76"/>
      <c r="J105" s="132"/>
      <c r="K105" s="74">
        <v>1</v>
      </c>
      <c r="L105" s="136">
        <f t="shared" si="10"/>
        <v>0</v>
      </c>
      <c r="M105" s="76"/>
      <c r="N105" s="137">
        <f t="shared" si="11"/>
        <v>0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29</v>
      </c>
      <c r="C106" s="73"/>
      <c r="D106" s="7" t="s">
        <v>68</v>
      </c>
      <c r="E106" s="73"/>
      <c r="F106" s="135">
        <v>3.3E-3</v>
      </c>
      <c r="G106" s="74">
        <f>$F93</f>
        <v>160</v>
      </c>
      <c r="H106" s="136">
        <f t="shared" si="9"/>
        <v>0.52800000000000002</v>
      </c>
      <c r="I106" s="76"/>
      <c r="J106" s="132">
        <v>1.21E-2</v>
      </c>
      <c r="K106" s="74">
        <f>$F93</f>
        <v>160</v>
      </c>
      <c r="L106" s="136">
        <f t="shared" si="10"/>
        <v>1.9359999999999999</v>
      </c>
      <c r="M106" s="76"/>
      <c r="N106" s="137">
        <f t="shared" si="11"/>
        <v>1.4079999999999999</v>
      </c>
      <c r="O106" s="79">
        <f t="shared" si="12"/>
        <v>2.6666666666666665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30</v>
      </c>
      <c r="C107" s="73"/>
      <c r="D107" s="7" t="s">
        <v>68</v>
      </c>
      <c r="E107" s="73"/>
      <c r="F107" s="135">
        <v>0.25109999999999999</v>
      </c>
      <c r="G107" s="74">
        <f>$F93</f>
        <v>160</v>
      </c>
      <c r="H107" s="136">
        <f t="shared" si="9"/>
        <v>40.176000000000002</v>
      </c>
      <c r="I107" s="76"/>
      <c r="J107" s="132"/>
      <c r="K107" s="74">
        <f>$F93</f>
        <v>160</v>
      </c>
      <c r="L107" s="136">
        <f t="shared" si="10"/>
        <v>0</v>
      </c>
      <c r="M107" s="76"/>
      <c r="N107" s="137">
        <f t="shared" si="11"/>
        <v>-40.176000000000002</v>
      </c>
      <c r="O107" s="79">
        <f t="shared" si="12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31</v>
      </c>
      <c r="C108" s="73"/>
      <c r="D108" s="7" t="s">
        <v>68</v>
      </c>
      <c r="E108" s="73"/>
      <c r="F108" s="135">
        <v>-4.65E-2</v>
      </c>
      <c r="G108" s="74">
        <f>$F93</f>
        <v>160</v>
      </c>
      <c r="H108" s="136">
        <f t="shared" si="9"/>
        <v>-7.4399999999999995</v>
      </c>
      <c r="I108" s="76"/>
      <c r="J108" s="132"/>
      <c r="K108" s="74">
        <f>$F93</f>
        <v>160</v>
      </c>
      <c r="L108" s="136">
        <f t="shared" si="10"/>
        <v>0</v>
      </c>
      <c r="M108" s="76"/>
      <c r="N108" s="137">
        <f t="shared" si="11"/>
        <v>7.4399999999999995</v>
      </c>
      <c r="O108" s="79">
        <f t="shared" si="12"/>
        <v>-1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1" t="s">
        <v>32</v>
      </c>
      <c r="C109" s="73"/>
      <c r="D109" s="7" t="s">
        <v>24</v>
      </c>
      <c r="E109" s="73"/>
      <c r="F109" s="135"/>
      <c r="G109" s="74">
        <v>1</v>
      </c>
      <c r="H109" s="136">
        <f t="shared" si="9"/>
        <v>0</v>
      </c>
      <c r="I109" s="76"/>
      <c r="J109" s="132"/>
      <c r="K109" s="74">
        <v>1</v>
      </c>
      <c r="L109" s="136">
        <f t="shared" si="10"/>
        <v>0</v>
      </c>
      <c r="M109" s="76"/>
      <c r="N109" s="137">
        <f t="shared" si="11"/>
        <v>0</v>
      </c>
      <c r="O109" s="79" t="str">
        <f t="shared" si="12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">
        <v>33</v>
      </c>
      <c r="C110" s="73"/>
      <c r="D110" s="7" t="s">
        <v>68</v>
      </c>
      <c r="E110" s="73"/>
      <c r="F110" s="134"/>
      <c r="G110" s="74">
        <f>$F93</f>
        <v>160</v>
      </c>
      <c r="H110" s="136">
        <f t="shared" si="9"/>
        <v>0</v>
      </c>
      <c r="I110" s="76"/>
      <c r="J110" s="132">
        <v>-4.58E-2</v>
      </c>
      <c r="K110" s="74">
        <f>$F93</f>
        <v>160</v>
      </c>
      <c r="L110" s="136">
        <f t="shared" si="10"/>
        <v>-7.3280000000000003</v>
      </c>
      <c r="M110" s="76"/>
      <c r="N110" s="137">
        <f t="shared" si="11"/>
        <v>-7.3280000000000003</v>
      </c>
      <c r="O110" s="79" t="str">
        <f t="shared" si="12"/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 t="s">
        <v>77</v>
      </c>
      <c r="C111" s="73"/>
      <c r="D111" s="7" t="s">
        <v>68</v>
      </c>
      <c r="E111" s="73"/>
      <c r="F111" s="134"/>
      <c r="G111" s="74">
        <f>$F93</f>
        <v>160</v>
      </c>
      <c r="H111" s="136">
        <f t="shared" si="9"/>
        <v>0</v>
      </c>
      <c r="I111" s="76"/>
      <c r="J111" s="132">
        <v>6.8199999999999997E-2</v>
      </c>
      <c r="K111" s="74">
        <f>$F93</f>
        <v>160</v>
      </c>
      <c r="L111" s="136">
        <f t="shared" si="10"/>
        <v>10.911999999999999</v>
      </c>
      <c r="M111" s="76"/>
      <c r="N111" s="137">
        <f t="shared" si="11"/>
        <v>10.911999999999999</v>
      </c>
      <c r="O111" s="79" t="str">
        <f t="shared" si="12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/>
      <c r="C112" s="73"/>
      <c r="D112" s="7"/>
      <c r="E112" s="73"/>
      <c r="F112" s="131"/>
      <c r="G112" s="74">
        <f>$F93</f>
        <v>160</v>
      </c>
      <c r="H112" s="136">
        <f t="shared" si="9"/>
        <v>0</v>
      </c>
      <c r="I112" s="76"/>
      <c r="J112" s="131"/>
      <c r="K112" s="74">
        <f>$F93</f>
        <v>160</v>
      </c>
      <c r="L112" s="136">
        <f t="shared" si="10"/>
        <v>0</v>
      </c>
      <c r="M112" s="76"/>
      <c r="N112" s="137">
        <f t="shared" si="11"/>
        <v>0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/>
      <c r="C113" s="73"/>
      <c r="D113" s="7"/>
      <c r="E113" s="73"/>
      <c r="F113" s="131"/>
      <c r="G113" s="74">
        <f>$F93</f>
        <v>160</v>
      </c>
      <c r="H113" s="136">
        <f t="shared" si="9"/>
        <v>0</v>
      </c>
      <c r="I113" s="76"/>
      <c r="J113" s="131"/>
      <c r="K113" s="74">
        <f>$F93</f>
        <v>160</v>
      </c>
      <c r="L113" s="136">
        <f t="shared" si="10"/>
        <v>0</v>
      </c>
      <c r="M113" s="76"/>
      <c r="N113" s="137">
        <f t="shared" si="11"/>
        <v>0</v>
      </c>
      <c r="O113" s="79" t="str">
        <f t="shared" si="12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s="4" customFormat="1" x14ac:dyDescent="0.3">
      <c r="A114" s="60"/>
      <c r="B114" s="19" t="s">
        <v>34</v>
      </c>
      <c r="C114" s="20"/>
      <c r="D114" s="20"/>
      <c r="E114" s="20"/>
      <c r="F114" s="21"/>
      <c r="G114" s="22"/>
      <c r="H114" s="23">
        <f>SUM(H98:H113)</f>
        <v>740.13</v>
      </c>
      <c r="I114" s="13"/>
      <c r="J114" s="14"/>
      <c r="K114" s="24"/>
      <c r="L114" s="23">
        <f>SUM(L98:L113)</f>
        <v>948.48800000000006</v>
      </c>
      <c r="M114" s="13"/>
      <c r="N114" s="15">
        <f t="shared" si="11"/>
        <v>208.35800000000006</v>
      </c>
      <c r="O114" s="16">
        <f t="shared" si="12"/>
        <v>0.28151540945509579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35</v>
      </c>
      <c r="C115" s="73"/>
      <c r="D115" s="7" t="s">
        <v>68</v>
      </c>
      <c r="E115" s="73"/>
      <c r="F115" s="135">
        <v>9.5299999999999996E-2</v>
      </c>
      <c r="G115" s="74">
        <f>$F93</f>
        <v>160</v>
      </c>
      <c r="H115" s="136">
        <f t="shared" ref="H115:H121" si="13">G115*F115</f>
        <v>15.247999999999999</v>
      </c>
      <c r="I115" s="76"/>
      <c r="J115" s="135">
        <v>-0.52969999999999995</v>
      </c>
      <c r="K115" s="74">
        <f>$F93</f>
        <v>160</v>
      </c>
      <c r="L115" s="136">
        <f t="shared" ref="L115:L121" si="14">K115*J115</f>
        <v>-84.751999999999995</v>
      </c>
      <c r="M115" s="76"/>
      <c r="N115" s="137">
        <f t="shared" si="11"/>
        <v>-100</v>
      </c>
      <c r="O115" s="79">
        <f t="shared" si="12"/>
        <v>-6.5582371458551947</v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>$F93</f>
        <v>160</v>
      </c>
      <c r="H116" s="136">
        <f t="shared" si="13"/>
        <v>0</v>
      </c>
      <c r="I116" s="82"/>
      <c r="J116" s="8"/>
      <c r="K116" s="74">
        <f>$F93</f>
        <v>160</v>
      </c>
      <c r="L116" s="136">
        <f t="shared" si="14"/>
        <v>0</v>
      </c>
      <c r="M116" s="83"/>
      <c r="N116" s="137">
        <f t="shared" si="11"/>
        <v>0</v>
      </c>
      <c r="O116" s="79" t="str">
        <f t="shared" si="12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>$F93</f>
        <v>160</v>
      </c>
      <c r="H117" s="136">
        <f t="shared" si="13"/>
        <v>0</v>
      </c>
      <c r="I117" s="82"/>
      <c r="J117" s="8"/>
      <c r="K117" s="74">
        <f>$F93</f>
        <v>160</v>
      </c>
      <c r="L117" s="136">
        <f t="shared" si="14"/>
        <v>0</v>
      </c>
      <c r="M117" s="83"/>
      <c r="N117" s="137">
        <f t="shared" si="11"/>
        <v>0</v>
      </c>
      <c r="O117" s="79" t="str">
        <f t="shared" si="12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>$F93</f>
        <v>160</v>
      </c>
      <c r="H118" s="136">
        <f t="shared" si="13"/>
        <v>0</v>
      </c>
      <c r="I118" s="82"/>
      <c r="J118" s="8"/>
      <c r="K118" s="74">
        <f>$F93</f>
        <v>160</v>
      </c>
      <c r="L118" s="136">
        <f t="shared" si="14"/>
        <v>0</v>
      </c>
      <c r="M118" s="83"/>
      <c r="N118" s="137">
        <f t="shared" si="11"/>
        <v>0</v>
      </c>
      <c r="O118" s="79" t="str">
        <f t="shared" si="12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36</v>
      </c>
      <c r="C119" s="73"/>
      <c r="D119" s="7" t="s">
        <v>68</v>
      </c>
      <c r="E119" s="73"/>
      <c r="F119" s="135">
        <v>6.3799999999999996E-2</v>
      </c>
      <c r="G119" s="74">
        <f>$F93</f>
        <v>160</v>
      </c>
      <c r="H119" s="136">
        <f t="shared" si="13"/>
        <v>10.207999999999998</v>
      </c>
      <c r="I119" s="76"/>
      <c r="J119" s="135">
        <v>0.1313</v>
      </c>
      <c r="K119" s="74">
        <f>$F93</f>
        <v>160</v>
      </c>
      <c r="L119" s="136">
        <f t="shared" si="14"/>
        <v>21.007999999999999</v>
      </c>
      <c r="M119" s="76"/>
      <c r="N119" s="137">
        <f t="shared" si="11"/>
        <v>10.8</v>
      </c>
      <c r="O119" s="79">
        <f t="shared" si="12"/>
        <v>1.0579937304075238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37</v>
      </c>
      <c r="C120" s="73"/>
      <c r="D120" s="7" t="s">
        <v>27</v>
      </c>
      <c r="E120" s="73"/>
      <c r="F120" s="138">
        <f>IF(ISBLANK(D91)=TRUE, 0, IF(D91="TOU", 0.64*$F130+0.18*$F131+0.18*$F132, IF(AND(D91="non-TOU", G134&gt;0), F134,F133)))</f>
        <v>8.7999999999999995E-2</v>
      </c>
      <c r="G120" s="18">
        <f>$F94*(1+$F149)-$F94</f>
        <v>2412.8000000000029</v>
      </c>
      <c r="H120" s="136">
        <f t="shared" si="13"/>
        <v>212.32640000000023</v>
      </c>
      <c r="I120" s="76"/>
      <c r="J120" s="138">
        <f>+F120</f>
        <v>8.7999999999999995E-2</v>
      </c>
      <c r="K120" s="18">
        <f>$F94*(1+$J149)-$F94</f>
        <v>2406.4000000000087</v>
      </c>
      <c r="L120" s="136">
        <f t="shared" si="14"/>
        <v>211.76320000000075</v>
      </c>
      <c r="M120" s="76"/>
      <c r="N120" s="137">
        <f t="shared" si="11"/>
        <v>-0.56319999999948323</v>
      </c>
      <c r="O120" s="79">
        <f t="shared" si="12"/>
        <v>-2.6525198938967673E-3</v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38</v>
      </c>
      <c r="C121" s="73"/>
      <c r="D121" s="7" t="s">
        <v>24</v>
      </c>
      <c r="E121" s="73"/>
      <c r="F121" s="138">
        <v>0</v>
      </c>
      <c r="G121" s="74">
        <v>1</v>
      </c>
      <c r="H121" s="136">
        <f t="shared" si="13"/>
        <v>0</v>
      </c>
      <c r="I121" s="76"/>
      <c r="J121" s="138"/>
      <c r="K121" s="81">
        <v>1</v>
      </c>
      <c r="L121" s="136">
        <f t="shared" si="14"/>
        <v>0</v>
      </c>
      <c r="M121" s="76"/>
      <c r="N121" s="137">
        <f t="shared" si="11"/>
        <v>0</v>
      </c>
      <c r="O121" s="79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s="4" customFormat="1" x14ac:dyDescent="0.3">
      <c r="A122" s="60"/>
      <c r="B122" s="19" t="s">
        <v>39</v>
      </c>
      <c r="C122" s="20"/>
      <c r="D122" s="20"/>
      <c r="E122" s="20"/>
      <c r="F122" s="21"/>
      <c r="G122" s="22"/>
      <c r="H122" s="23">
        <f>SUM(H115:H121)+H114</f>
        <v>977.91240000000016</v>
      </c>
      <c r="I122" s="13"/>
      <c r="J122" s="22"/>
      <c r="K122" s="24"/>
      <c r="L122" s="23">
        <f>SUM(L115:L121)+L114</f>
        <v>1096.5072000000009</v>
      </c>
      <c r="M122" s="13"/>
      <c r="N122" s="15">
        <f t="shared" si="11"/>
        <v>118.59480000000076</v>
      </c>
      <c r="O122" s="16">
        <f t="shared" ref="O122:O134" si="15">IF((H122)=0,"",(N122/H122))</f>
        <v>0.12127343921602869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40</v>
      </c>
      <c r="C123" s="76"/>
      <c r="D123" s="25" t="s">
        <v>68</v>
      </c>
      <c r="E123" s="76"/>
      <c r="F123" s="135">
        <v>2.7667000000000002</v>
      </c>
      <c r="G123" s="18">
        <f>F93*(1+F149)</f>
        <v>166.03200000000001</v>
      </c>
      <c r="H123" s="136">
        <f>G123*F123</f>
        <v>459.36073440000007</v>
      </c>
      <c r="I123" s="76"/>
      <c r="J123" s="135">
        <v>2.6019999999999999</v>
      </c>
      <c r="K123" s="18">
        <f>F93*(1+J149)</f>
        <v>166.01600000000002</v>
      </c>
      <c r="L123" s="136">
        <f>K123*J123</f>
        <v>431.97363200000001</v>
      </c>
      <c r="M123" s="76"/>
      <c r="N123" s="136">
        <f t="shared" si="11"/>
        <v>-27.38710240000006</v>
      </c>
      <c r="O123" s="79">
        <f t="shared" si="15"/>
        <v>-5.9620033557661552E-2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x14ac:dyDescent="0.3">
      <c r="B124" s="85" t="s">
        <v>41</v>
      </c>
      <c r="C124" s="76"/>
      <c r="D124" s="25" t="s">
        <v>68</v>
      </c>
      <c r="E124" s="76"/>
      <c r="F124" s="135">
        <v>1.8766</v>
      </c>
      <c r="G124" s="18">
        <f>G123</f>
        <v>166.03200000000001</v>
      </c>
      <c r="H124" s="136">
        <f>G124*F124</f>
        <v>311.57565120000004</v>
      </c>
      <c r="I124" s="76"/>
      <c r="J124" s="135">
        <v>1.3172999999999999</v>
      </c>
      <c r="K124" s="18">
        <f>K123</f>
        <v>166.01600000000002</v>
      </c>
      <c r="L124" s="136">
        <f>K124*J124</f>
        <v>218.69287680000002</v>
      </c>
      <c r="M124" s="76"/>
      <c r="N124" s="136">
        <f t="shared" si="11"/>
        <v>-92.882774400000017</v>
      </c>
      <c r="O124" s="79">
        <f t="shared" si="15"/>
        <v>-0.29810665256502561</v>
      </c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</row>
    <row r="125" spans="1:63" s="4" customFormat="1" x14ac:dyDescent="0.3">
      <c r="A125" s="60"/>
      <c r="B125" s="19" t="s">
        <v>42</v>
      </c>
      <c r="C125" s="20"/>
      <c r="D125" s="20"/>
      <c r="E125" s="20"/>
      <c r="F125" s="21"/>
      <c r="G125" s="22"/>
      <c r="H125" s="23">
        <f>SUM(H122:H124)</f>
        <v>1748.8487856000004</v>
      </c>
      <c r="I125" s="13"/>
      <c r="J125" s="26"/>
      <c r="K125" s="22"/>
      <c r="L125" s="23">
        <f>SUM(L122:L124)</f>
        <v>1747.1737088000009</v>
      </c>
      <c r="M125" s="13"/>
      <c r="N125" s="15">
        <f t="shared" si="11"/>
        <v>-1.6750767999994878</v>
      </c>
      <c r="O125" s="16">
        <f t="shared" si="15"/>
        <v>-9.5781683001529337E-4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43</v>
      </c>
      <c r="C126" s="73"/>
      <c r="D126" s="7" t="s">
        <v>27</v>
      </c>
      <c r="E126" s="73"/>
      <c r="F126" s="135">
        <v>4.4000000000000003E-3</v>
      </c>
      <c r="G126" s="18">
        <f>F94*(1+F149)</f>
        <v>66412.800000000003</v>
      </c>
      <c r="H126" s="139">
        <f t="shared" ref="H126:H134" si="16">G126*F126</f>
        <v>292.21632000000005</v>
      </c>
      <c r="I126" s="76"/>
      <c r="J126" s="135">
        <f>+F126</f>
        <v>4.4000000000000003E-3</v>
      </c>
      <c r="K126" s="18">
        <f>F94*(1+J149)</f>
        <v>66406.400000000009</v>
      </c>
      <c r="L126" s="139">
        <f t="shared" ref="L126:L134" si="17">K126*J126</f>
        <v>292.18816000000004</v>
      </c>
      <c r="M126" s="76"/>
      <c r="N126" s="137">
        <f t="shared" si="11"/>
        <v>-2.8160000000013952E-2</v>
      </c>
      <c r="O126" s="87">
        <f t="shared" si="15"/>
        <v>-9.6366965404307147E-5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86" t="s">
        <v>44</v>
      </c>
      <c r="C127" s="73"/>
      <c r="D127" s="7" t="s">
        <v>27</v>
      </c>
      <c r="E127" s="73"/>
      <c r="F127" s="135">
        <v>1.1999999999999999E-3</v>
      </c>
      <c r="G127" s="18">
        <f>+G126</f>
        <v>66412.800000000003</v>
      </c>
      <c r="H127" s="139">
        <f t="shared" si="16"/>
        <v>79.695359999999994</v>
      </c>
      <c r="I127" s="76"/>
      <c r="J127" s="135">
        <f>+F127</f>
        <v>1.1999999999999999E-3</v>
      </c>
      <c r="K127" s="18">
        <f>+K126</f>
        <v>66406.400000000009</v>
      </c>
      <c r="L127" s="139">
        <f t="shared" si="17"/>
        <v>79.68768</v>
      </c>
      <c r="M127" s="76"/>
      <c r="N127" s="137">
        <f t="shared" si="11"/>
        <v>-7.6799999999934698E-3</v>
      </c>
      <c r="O127" s="87">
        <f t="shared" si="15"/>
        <v>-9.636696540417749E-5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45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16"/>
        <v>0.25</v>
      </c>
      <c r="I128" s="76"/>
      <c r="J128" s="135">
        <f>+F128</f>
        <v>0.25</v>
      </c>
      <c r="K128" s="77">
        <v>1</v>
      </c>
      <c r="L128" s="139">
        <f t="shared" si="17"/>
        <v>0.25</v>
      </c>
      <c r="M128" s="76"/>
      <c r="N128" s="137">
        <f t="shared" si="11"/>
        <v>0</v>
      </c>
      <c r="O128" s="87">
        <f t="shared" si="15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73" t="s">
        <v>46</v>
      </c>
      <c r="C129" s="73"/>
      <c r="D129" s="7" t="s">
        <v>27</v>
      </c>
      <c r="E129" s="73"/>
      <c r="F129" s="135">
        <v>7.0000000000000001E-3</v>
      </c>
      <c r="G129" s="84">
        <f>F94</f>
        <v>64000</v>
      </c>
      <c r="H129" s="139">
        <f t="shared" si="16"/>
        <v>448</v>
      </c>
      <c r="I129" s="76"/>
      <c r="J129" s="135">
        <f>+F129</f>
        <v>7.0000000000000001E-3</v>
      </c>
      <c r="K129" s="77">
        <f>F94</f>
        <v>64000</v>
      </c>
      <c r="L129" s="139">
        <f t="shared" si="17"/>
        <v>448</v>
      </c>
      <c r="M129" s="76"/>
      <c r="N129" s="137">
        <f t="shared" si="11"/>
        <v>0</v>
      </c>
      <c r="O129" s="87">
        <f t="shared" si="15"/>
        <v>0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47</v>
      </c>
      <c r="C130" s="73"/>
      <c r="D130" s="7" t="s">
        <v>27</v>
      </c>
      <c r="E130" s="73"/>
      <c r="F130" s="138">
        <v>6.7000000000000004E-2</v>
      </c>
      <c r="G130" s="27">
        <f>0.64*$F94</f>
        <v>40960</v>
      </c>
      <c r="H130" s="139">
        <f t="shared" si="16"/>
        <v>2744.32</v>
      </c>
      <c r="I130" s="76"/>
      <c r="J130" s="138">
        <v>6.7000000000000004E-2</v>
      </c>
      <c r="K130" s="28">
        <f>G130</f>
        <v>40960</v>
      </c>
      <c r="L130" s="139">
        <f t="shared" si="17"/>
        <v>2744.32</v>
      </c>
      <c r="M130" s="76"/>
      <c r="N130" s="137">
        <f t="shared" si="11"/>
        <v>0</v>
      </c>
      <c r="O130" s="87">
        <f t="shared" si="15"/>
        <v>0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80" t="s">
        <v>48</v>
      </c>
      <c r="C131" s="73"/>
      <c r="D131" s="7" t="s">
        <v>27</v>
      </c>
      <c r="E131" s="73"/>
      <c r="F131" s="138">
        <v>0.104</v>
      </c>
      <c r="G131" s="27">
        <f>0.18*$F94</f>
        <v>11520</v>
      </c>
      <c r="H131" s="139">
        <f t="shared" si="16"/>
        <v>1198.08</v>
      </c>
      <c r="I131" s="76"/>
      <c r="J131" s="138">
        <v>0.104</v>
      </c>
      <c r="K131" s="28">
        <f>G131</f>
        <v>11520</v>
      </c>
      <c r="L131" s="139">
        <f t="shared" si="17"/>
        <v>1198.08</v>
      </c>
      <c r="M131" s="76"/>
      <c r="N131" s="137">
        <f t="shared" si="11"/>
        <v>0</v>
      </c>
      <c r="O131" s="87">
        <f t="shared" si="15"/>
        <v>0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64" t="s">
        <v>49</v>
      </c>
      <c r="C132" s="73"/>
      <c r="D132" s="7" t="s">
        <v>27</v>
      </c>
      <c r="E132" s="73"/>
      <c r="F132" s="138">
        <v>0.124</v>
      </c>
      <c r="G132" s="27">
        <f>0.18*$F94</f>
        <v>11520</v>
      </c>
      <c r="H132" s="139">
        <f t="shared" si="16"/>
        <v>1428.48</v>
      </c>
      <c r="I132" s="76"/>
      <c r="J132" s="138">
        <v>0.124</v>
      </c>
      <c r="K132" s="28">
        <f>G132</f>
        <v>11520</v>
      </c>
      <c r="L132" s="139">
        <f t="shared" si="17"/>
        <v>1428.48</v>
      </c>
      <c r="M132" s="76"/>
      <c r="N132" s="137">
        <f t="shared" si="11"/>
        <v>0</v>
      </c>
      <c r="O132" s="87">
        <f t="shared" si="15"/>
        <v>0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s="92" customFormat="1" x14ac:dyDescent="0.25">
      <c r="B133" s="89" t="s">
        <v>50</v>
      </c>
      <c r="C133" s="90"/>
      <c r="D133" s="29" t="s">
        <v>27</v>
      </c>
      <c r="E133" s="90"/>
      <c r="F133" s="138">
        <v>7.4999999999999997E-2</v>
      </c>
      <c r="G133" s="30">
        <f>IF(AND($T$1=1, F94&gt;=750), 750, IF(AND($T$1=1, AND(F94&lt;750, F94&gt;=0)), F94, IF(AND($T$1=2, F94&gt;=750), 750, IF(AND($T$1=2, AND(F94&lt;750, F94&gt;=0)), F94))))</f>
        <v>750</v>
      </c>
      <c r="H133" s="139">
        <f t="shared" si="16"/>
        <v>56.25</v>
      </c>
      <c r="I133" s="91"/>
      <c r="J133" s="138">
        <v>7.4999999999999997E-2</v>
      </c>
      <c r="K133" s="31">
        <f>G133</f>
        <v>750</v>
      </c>
      <c r="L133" s="139">
        <f t="shared" si="17"/>
        <v>56.25</v>
      </c>
      <c r="M133" s="91"/>
      <c r="N133" s="140">
        <f t="shared" si="11"/>
        <v>0</v>
      </c>
      <c r="O133" s="87">
        <f t="shared" si="15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51</v>
      </c>
      <c r="C134" s="90"/>
      <c r="D134" s="29" t="s">
        <v>27</v>
      </c>
      <c r="E134" s="90"/>
      <c r="F134" s="138">
        <v>8.7999999999999995E-2</v>
      </c>
      <c r="G134" s="30">
        <f>IF(AND($T$1=1, F94&gt;=750), F94-750, IF(AND($T$1=1, AND(F94&lt;750, F94&gt;=0)), 0, IF(AND($T$1=2, F94&gt;=750), F94-750, IF(AND($T$1=2, AND(F94&lt;750, F94&gt;=0)), 0))))</f>
        <v>63250</v>
      </c>
      <c r="H134" s="139">
        <f t="shared" si="16"/>
        <v>5566</v>
      </c>
      <c r="I134" s="91"/>
      <c r="J134" s="138">
        <v>8.7999999999999995E-2</v>
      </c>
      <c r="K134" s="31">
        <f>G134</f>
        <v>63250</v>
      </c>
      <c r="L134" s="139">
        <f t="shared" si="17"/>
        <v>5566</v>
      </c>
      <c r="M134" s="91"/>
      <c r="N134" s="140">
        <f t="shared" si="11"/>
        <v>0</v>
      </c>
      <c r="O134" s="87">
        <f t="shared" si="15"/>
        <v>0</v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52</v>
      </c>
      <c r="C136" s="73"/>
      <c r="D136" s="73"/>
      <c r="E136" s="73"/>
      <c r="F136" s="94"/>
      <c r="G136" s="95"/>
      <c r="H136" s="141">
        <f>SUM(H126:H132,H125)</f>
        <v>7939.8904656000004</v>
      </c>
      <c r="I136" s="96"/>
      <c r="J136" s="97"/>
      <c r="K136" s="97"/>
      <c r="L136" s="144">
        <f>SUM(L126:L132,L125)</f>
        <v>7938.1795488000007</v>
      </c>
      <c r="M136" s="145"/>
      <c r="N136" s="146">
        <f>L136-H136</f>
        <v>-1.7109167999997226</v>
      </c>
      <c r="O136" s="98">
        <f>IF((H136)=0,"",(N136/H136))</f>
        <v>-2.1548367794396674E-4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99" t="s">
        <v>53</v>
      </c>
      <c r="C137" s="73"/>
      <c r="D137" s="73"/>
      <c r="E137" s="73"/>
      <c r="F137" s="100">
        <v>0.13</v>
      </c>
      <c r="G137" s="101"/>
      <c r="H137" s="142">
        <f>H136*F137</f>
        <v>1032.1857605280002</v>
      </c>
      <c r="I137" s="102"/>
      <c r="J137" s="103">
        <v>0.13</v>
      </c>
      <c r="K137" s="102"/>
      <c r="L137" s="147">
        <f>L136*J137</f>
        <v>1031.9633413440001</v>
      </c>
      <c r="M137" s="148"/>
      <c r="N137" s="149">
        <f>L137-H137</f>
        <v>-0.22241918400004579</v>
      </c>
      <c r="O137" s="104">
        <f>IF((H137)=0,"",(N137/H137))</f>
        <v>-2.1548367794404602E-4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x14ac:dyDescent="0.3">
      <c r="B138" s="105" t="s">
        <v>54</v>
      </c>
      <c r="C138" s="73"/>
      <c r="D138" s="73"/>
      <c r="E138" s="73"/>
      <c r="F138" s="106"/>
      <c r="G138" s="101"/>
      <c r="H138" s="142">
        <f>H136+H137</f>
        <v>8972.0762261279997</v>
      </c>
      <c r="I138" s="102"/>
      <c r="J138" s="102"/>
      <c r="K138" s="102"/>
      <c r="L138" s="147">
        <f>L136+L137</f>
        <v>8970.1428901440013</v>
      </c>
      <c r="M138" s="148"/>
      <c r="N138" s="149">
        <f>L138-H138</f>
        <v>-1.9333359839984041</v>
      </c>
      <c r="O138" s="104">
        <f>IF((H138)=0,"",(N138/H138))</f>
        <v>-2.1548367794382381E-4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ht="14.4" customHeight="1" x14ac:dyDescent="0.3">
      <c r="B139" s="172" t="s">
        <v>55</v>
      </c>
      <c r="C139" s="172"/>
      <c r="D139" s="172"/>
      <c r="E139" s="73"/>
      <c r="F139" s="106"/>
      <c r="G139" s="101"/>
      <c r="H139" s="143">
        <v>0</v>
      </c>
      <c r="I139" s="102"/>
      <c r="J139" s="102"/>
      <c r="K139" s="102"/>
      <c r="L139" s="150">
        <v>0</v>
      </c>
      <c r="M139" s="148"/>
      <c r="N139" s="151">
        <f>L139-H139</f>
        <v>0</v>
      </c>
      <c r="O139" s="107" t="str">
        <f>IF((H139)=0,"",(N139/H139))</f>
        <v/>
      </c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s="4" customFormat="1" ht="15" thickBot="1" x14ac:dyDescent="0.35">
      <c r="A140" s="60"/>
      <c r="B140" s="173" t="s">
        <v>56</v>
      </c>
      <c r="C140" s="173"/>
      <c r="D140" s="173"/>
      <c r="E140" s="42"/>
      <c r="F140" s="43"/>
      <c r="G140" s="44"/>
      <c r="H140" s="45">
        <f>H138+H139</f>
        <v>8972.0762261279997</v>
      </c>
      <c r="I140" s="46"/>
      <c r="J140" s="46"/>
      <c r="K140" s="46"/>
      <c r="L140" s="47">
        <f>L138+L139</f>
        <v>8970.1428901440013</v>
      </c>
      <c r="M140" s="48"/>
      <c r="N140" s="49">
        <f>L140-H140</f>
        <v>-1.9333359839984041</v>
      </c>
      <c r="O140" s="50">
        <f>IF((H140)=0,"",(N140/H140))</f>
        <v>-2.1548367794382381E-4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57</v>
      </c>
      <c r="C142" s="90"/>
      <c r="D142" s="90"/>
      <c r="E142" s="90"/>
      <c r="F142" s="109"/>
      <c r="G142" s="110"/>
      <c r="H142" s="152">
        <f>SUM(H133:H134,H125,H126:H129)</f>
        <v>8191.2604656000003</v>
      </c>
      <c r="I142" s="111"/>
      <c r="J142" s="112"/>
      <c r="K142" s="112"/>
      <c r="L142" s="155">
        <f>SUM(L133:L134,L125,L126:L129)</f>
        <v>8189.5495488000006</v>
      </c>
      <c r="M142" s="156"/>
      <c r="N142" s="157">
        <f>L142-H142</f>
        <v>-1.7109167999997226</v>
      </c>
      <c r="O142" s="98">
        <f>IF((H142)=0,"",(N142/H142))</f>
        <v>-2.0887100430817517E-4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53</v>
      </c>
      <c r="C143" s="90"/>
      <c r="D143" s="90"/>
      <c r="E143" s="90"/>
      <c r="F143" s="114">
        <v>0.13</v>
      </c>
      <c r="G143" s="110"/>
      <c r="H143" s="153">
        <f>H142*F143</f>
        <v>1064.863860528</v>
      </c>
      <c r="I143" s="115"/>
      <c r="J143" s="116">
        <v>0.13</v>
      </c>
      <c r="K143" s="117"/>
      <c r="L143" s="158">
        <f>L142*J143</f>
        <v>1064.6414413440002</v>
      </c>
      <c r="M143" s="159"/>
      <c r="N143" s="160">
        <f>L143-H143</f>
        <v>-0.22241918399981842</v>
      </c>
      <c r="O143" s="104">
        <f>IF((H143)=0,"",(N143/H143))</f>
        <v>-2.088710043080385E-4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54</v>
      </c>
      <c r="C144" s="90"/>
      <c r="D144" s="90"/>
      <c r="E144" s="90"/>
      <c r="F144" s="119"/>
      <c r="G144" s="120"/>
      <c r="H144" s="153">
        <f>H142+H143</f>
        <v>9256.1243261279997</v>
      </c>
      <c r="I144" s="115"/>
      <c r="J144" s="115"/>
      <c r="K144" s="115"/>
      <c r="L144" s="158">
        <f>L142+L143</f>
        <v>9254.1909901440013</v>
      </c>
      <c r="M144" s="159"/>
      <c r="N144" s="160">
        <f>L144-H144</f>
        <v>-1.9333359839984041</v>
      </c>
      <c r="O144" s="104">
        <f>IF((H144)=0,"",(N144/H144))</f>
        <v>-2.0887100430803663E-4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55</v>
      </c>
      <c r="C145" s="174"/>
      <c r="D145" s="174"/>
      <c r="E145" s="90"/>
      <c r="F145" s="119"/>
      <c r="G145" s="120"/>
      <c r="H145" s="154">
        <v>0</v>
      </c>
      <c r="I145" s="115"/>
      <c r="J145" s="115"/>
      <c r="K145" s="115"/>
      <c r="L145" s="161">
        <v>0</v>
      </c>
      <c r="M145" s="159"/>
      <c r="N145" s="162">
        <f>L145-H145</f>
        <v>0</v>
      </c>
      <c r="O145" s="107" t="str">
        <f>IF((H145)=0,"",(N145/H145))</f>
        <v/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58</v>
      </c>
      <c r="C146" s="173"/>
      <c r="D146" s="173"/>
      <c r="E146" s="42"/>
      <c r="F146" s="43"/>
      <c r="G146" s="44"/>
      <c r="H146" s="45">
        <f>SUM(H144:H145)</f>
        <v>9256.1243261279997</v>
      </c>
      <c r="I146" s="46"/>
      <c r="J146" s="46"/>
      <c r="K146" s="46"/>
      <c r="L146" s="47">
        <f>SUM(L144:L145)</f>
        <v>9254.1909901440013</v>
      </c>
      <c r="M146" s="48"/>
      <c r="N146" s="49">
        <f>L146-H146</f>
        <v>-1.9333359839984041</v>
      </c>
      <c r="O146" s="50">
        <f>IF((H146)=0,"",(N146/H146))</f>
        <v>-2.0887100430803663E-4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59</v>
      </c>
      <c r="F149" s="51">
        <v>3.7699999999999997E-2</v>
      </c>
      <c r="J149" s="51">
        <f>+Residential!$J$74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60</v>
      </c>
    </row>
    <row r="154" spans="1:63" x14ac:dyDescent="0.3">
      <c r="A154" s="60" t="s">
        <v>61</v>
      </c>
    </row>
    <row r="155" spans="1:63" x14ac:dyDescent="0.3">
      <c r="A155" s="60" t="s">
        <v>62</v>
      </c>
    </row>
    <row r="157" spans="1:63" x14ac:dyDescent="0.3">
      <c r="B157" s="60" t="s">
        <v>63</v>
      </c>
    </row>
    <row r="160" spans="1:63" ht="18.75" customHeight="1" x14ac:dyDescent="0.3">
      <c r="B160" s="175" t="s">
        <v>6</v>
      </c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56"/>
    </row>
    <row r="161" spans="2:29" ht="18.75" customHeight="1" x14ac:dyDescent="0.3">
      <c r="B161" s="175" t="s">
        <v>7</v>
      </c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56"/>
    </row>
    <row r="162" spans="2:29" ht="7.5" customHeight="1" x14ac:dyDescent="0.3">
      <c r="L162" s="56"/>
      <c r="M162" s="56"/>
      <c r="N162" s="56"/>
      <c r="O162" s="56"/>
      <c r="P162" s="56"/>
    </row>
    <row r="163" spans="2:29" ht="7.5" customHeight="1" x14ac:dyDescent="0.3">
      <c r="L163" s="56"/>
      <c r="M163" s="56"/>
      <c r="N163" s="56"/>
      <c r="O163" s="56"/>
      <c r="P163" s="56"/>
    </row>
    <row r="164" spans="2:29" ht="15.6" x14ac:dyDescent="0.3">
      <c r="B164" s="61" t="s">
        <v>8</v>
      </c>
      <c r="D164" s="185" t="s">
        <v>69</v>
      </c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</row>
    <row r="165" spans="2:29" ht="7.5" customHeight="1" x14ac:dyDescent="0.3">
      <c r="B165" s="62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2:29" ht="15.6" x14ac:dyDescent="0.3">
      <c r="B166" s="61" t="s">
        <v>9</v>
      </c>
      <c r="D166" s="5" t="s">
        <v>64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</row>
    <row r="167" spans="2:29" ht="15.6" x14ac:dyDescent="0.3">
      <c r="B167" s="62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</row>
    <row r="168" spans="2:29" x14ac:dyDescent="0.3">
      <c r="B168" s="64"/>
      <c r="D168" s="65" t="s">
        <v>11</v>
      </c>
      <c r="E168" s="65"/>
      <c r="F168" s="6">
        <v>300</v>
      </c>
      <c r="G168" s="65" t="s">
        <v>65</v>
      </c>
    </row>
    <row r="169" spans="2:29" x14ac:dyDescent="0.3">
      <c r="B169" s="64"/>
      <c r="F169" s="6">
        <v>120000</v>
      </c>
      <c r="G169" s="65" t="s">
        <v>12</v>
      </c>
    </row>
    <row r="170" spans="2:29" x14ac:dyDescent="0.3">
      <c r="B170" s="64"/>
      <c r="D170" s="66"/>
      <c r="E170" s="66"/>
      <c r="F170" s="176" t="s">
        <v>13</v>
      </c>
      <c r="G170" s="177"/>
      <c r="H170" s="178"/>
      <c r="J170" s="176" t="s">
        <v>14</v>
      </c>
      <c r="K170" s="177"/>
      <c r="L170" s="178"/>
      <c r="N170" s="176" t="s">
        <v>15</v>
      </c>
      <c r="O170" s="178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</row>
    <row r="171" spans="2:29" x14ac:dyDescent="0.3">
      <c r="B171" s="64"/>
      <c r="D171" s="179" t="s">
        <v>16</v>
      </c>
      <c r="E171" s="67"/>
      <c r="F171" s="68" t="s">
        <v>17</v>
      </c>
      <c r="G171" s="68" t="s">
        <v>18</v>
      </c>
      <c r="H171" s="69" t="s">
        <v>19</v>
      </c>
      <c r="J171" s="68" t="s">
        <v>17</v>
      </c>
      <c r="K171" s="70" t="s">
        <v>18</v>
      </c>
      <c r="L171" s="69" t="s">
        <v>19</v>
      </c>
      <c r="N171" s="181" t="s">
        <v>20</v>
      </c>
      <c r="O171" s="183" t="s">
        <v>21</v>
      </c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</row>
    <row r="172" spans="2:29" x14ac:dyDescent="0.3">
      <c r="B172" s="64"/>
      <c r="D172" s="180"/>
      <c r="E172" s="67"/>
      <c r="F172" s="71" t="s">
        <v>22</v>
      </c>
      <c r="G172" s="71"/>
      <c r="H172" s="72" t="s">
        <v>22</v>
      </c>
      <c r="J172" s="71" t="s">
        <v>22</v>
      </c>
      <c r="K172" s="72"/>
      <c r="L172" s="72" t="s">
        <v>22</v>
      </c>
      <c r="N172" s="182"/>
      <c r="O172" s="184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</row>
    <row r="173" spans="2:29" x14ac:dyDescent="0.3">
      <c r="B173" s="73" t="s">
        <v>23</v>
      </c>
      <c r="C173" s="73"/>
      <c r="D173" s="7" t="s">
        <v>24</v>
      </c>
      <c r="E173" s="73"/>
      <c r="F173" s="129">
        <v>118.45</v>
      </c>
      <c r="G173" s="74">
        <v>1</v>
      </c>
      <c r="H173" s="75">
        <f t="shared" ref="H173:H188" si="18">G173*F173</f>
        <v>118.45</v>
      </c>
      <c r="I173" s="76"/>
      <c r="J173" s="129">
        <v>158.52000000000001</v>
      </c>
      <c r="K173" s="77">
        <v>1</v>
      </c>
      <c r="L173" s="75">
        <f t="shared" ref="L173:L188" si="19">K173*J173</f>
        <v>158.52000000000001</v>
      </c>
      <c r="M173" s="76"/>
      <c r="N173" s="78">
        <f t="shared" ref="N173:N209" si="20">L173-H173</f>
        <v>40.070000000000007</v>
      </c>
      <c r="O173" s="79">
        <f t="shared" ref="O173:O195" si="21">IF((H173)=0,"",(N173/H173))</f>
        <v>0.33828619670747156</v>
      </c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</row>
    <row r="174" spans="2:29" x14ac:dyDescent="0.3">
      <c r="B174" s="73" t="s">
        <v>25</v>
      </c>
      <c r="C174" s="73"/>
      <c r="D174" s="7" t="s">
        <v>24</v>
      </c>
      <c r="E174" s="73"/>
      <c r="F174" s="133"/>
      <c r="G174" s="74">
        <v>1</v>
      </c>
      <c r="H174" s="136">
        <f t="shared" si="18"/>
        <v>0</v>
      </c>
      <c r="I174" s="76"/>
      <c r="J174" s="130"/>
      <c r="K174" s="77">
        <v>1</v>
      </c>
      <c r="L174" s="136">
        <f t="shared" si="19"/>
        <v>0</v>
      </c>
      <c r="M174" s="76"/>
      <c r="N174" s="137">
        <f t="shared" si="20"/>
        <v>0</v>
      </c>
      <c r="O174" s="79" t="str">
        <f t="shared" si="21"/>
        <v/>
      </c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</row>
    <row r="175" spans="2:29" x14ac:dyDescent="0.3">
      <c r="B175" s="9"/>
      <c r="C175" s="73"/>
      <c r="D175" s="7"/>
      <c r="E175" s="73"/>
      <c r="F175" s="134"/>
      <c r="G175" s="74">
        <v>1</v>
      </c>
      <c r="H175" s="136">
        <f t="shared" si="18"/>
        <v>0</v>
      </c>
      <c r="I175" s="76"/>
      <c r="J175" s="131"/>
      <c r="K175" s="77">
        <v>1</v>
      </c>
      <c r="L175" s="136">
        <f t="shared" si="19"/>
        <v>0</v>
      </c>
      <c r="M175" s="76"/>
      <c r="N175" s="137">
        <f t="shared" si="20"/>
        <v>0</v>
      </c>
      <c r="O175" s="79" t="str">
        <f t="shared" si="21"/>
        <v/>
      </c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</row>
    <row r="176" spans="2:29" x14ac:dyDescent="0.3">
      <c r="B176" s="9"/>
      <c r="C176" s="73"/>
      <c r="D176" s="7"/>
      <c r="E176" s="73"/>
      <c r="F176" s="134"/>
      <c r="G176" s="74">
        <v>1</v>
      </c>
      <c r="H176" s="136">
        <f t="shared" si="18"/>
        <v>0</v>
      </c>
      <c r="I176" s="76"/>
      <c r="J176" s="131"/>
      <c r="K176" s="77">
        <v>1</v>
      </c>
      <c r="L176" s="136">
        <f t="shared" si="19"/>
        <v>0</v>
      </c>
      <c r="M176" s="76"/>
      <c r="N176" s="137">
        <f t="shared" si="20"/>
        <v>0</v>
      </c>
      <c r="O176" s="79" t="str">
        <f t="shared" si="21"/>
        <v/>
      </c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</row>
    <row r="177" spans="1:63" x14ac:dyDescent="0.3">
      <c r="B177" s="10"/>
      <c r="C177" s="73"/>
      <c r="D177" s="7"/>
      <c r="E177" s="73"/>
      <c r="F177" s="134"/>
      <c r="G177" s="74">
        <v>1</v>
      </c>
      <c r="H177" s="136">
        <f t="shared" si="18"/>
        <v>0</v>
      </c>
      <c r="I177" s="76"/>
      <c r="J177" s="131"/>
      <c r="K177" s="77">
        <v>1</v>
      </c>
      <c r="L177" s="136">
        <f t="shared" si="19"/>
        <v>0</v>
      </c>
      <c r="M177" s="76"/>
      <c r="N177" s="137">
        <f t="shared" si="20"/>
        <v>0</v>
      </c>
      <c r="O177" s="79" t="str">
        <f t="shared" si="21"/>
        <v/>
      </c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</row>
    <row r="178" spans="1:63" x14ac:dyDescent="0.3">
      <c r="B178" s="10"/>
      <c r="C178" s="73"/>
      <c r="D178" s="7"/>
      <c r="E178" s="73"/>
      <c r="F178" s="134"/>
      <c r="G178" s="74">
        <v>1</v>
      </c>
      <c r="H178" s="136">
        <f t="shared" si="18"/>
        <v>0</v>
      </c>
      <c r="I178" s="76"/>
      <c r="J178" s="131"/>
      <c r="K178" s="77">
        <v>1</v>
      </c>
      <c r="L178" s="136">
        <f t="shared" si="19"/>
        <v>0</v>
      </c>
      <c r="M178" s="76"/>
      <c r="N178" s="137">
        <f t="shared" si="20"/>
        <v>0</v>
      </c>
      <c r="O178" s="79" t="str">
        <f t="shared" si="21"/>
        <v/>
      </c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</row>
    <row r="179" spans="1:63" x14ac:dyDescent="0.3">
      <c r="B179" s="73" t="s">
        <v>26</v>
      </c>
      <c r="C179" s="73"/>
      <c r="D179" s="7" t="s">
        <v>68</v>
      </c>
      <c r="E179" s="73"/>
      <c r="F179" s="135">
        <v>3.6776</v>
      </c>
      <c r="G179" s="74">
        <f>$F168</f>
        <v>300</v>
      </c>
      <c r="H179" s="136">
        <f t="shared" si="18"/>
        <v>1103.28</v>
      </c>
      <c r="I179" s="76"/>
      <c r="J179" s="132">
        <v>4.9028</v>
      </c>
      <c r="K179" s="74">
        <f>$F168</f>
        <v>300</v>
      </c>
      <c r="L179" s="136">
        <f t="shared" si="19"/>
        <v>1470.84</v>
      </c>
      <c r="M179" s="76"/>
      <c r="N179" s="137">
        <f t="shared" si="20"/>
        <v>367.55999999999995</v>
      </c>
      <c r="O179" s="79">
        <f t="shared" si="21"/>
        <v>0.33315205568849243</v>
      </c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</row>
    <row r="180" spans="1:63" x14ac:dyDescent="0.3">
      <c r="B180" s="73" t="s">
        <v>28</v>
      </c>
      <c r="C180" s="73"/>
      <c r="D180" s="7" t="s">
        <v>24</v>
      </c>
      <c r="E180" s="73"/>
      <c r="F180" s="135"/>
      <c r="G180" s="74">
        <v>1</v>
      </c>
      <c r="H180" s="136">
        <f t="shared" si="18"/>
        <v>0</v>
      </c>
      <c r="I180" s="76"/>
      <c r="J180" s="132"/>
      <c r="K180" s="74">
        <v>1</v>
      </c>
      <c r="L180" s="136">
        <f t="shared" si="19"/>
        <v>0</v>
      </c>
      <c r="M180" s="76"/>
      <c r="N180" s="137">
        <f t="shared" si="20"/>
        <v>0</v>
      </c>
      <c r="O180" s="79" t="str">
        <f t="shared" si="21"/>
        <v/>
      </c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</row>
    <row r="181" spans="1:63" x14ac:dyDescent="0.3">
      <c r="B181" s="73" t="s">
        <v>29</v>
      </c>
      <c r="C181" s="73"/>
      <c r="D181" s="7" t="s">
        <v>68</v>
      </c>
      <c r="E181" s="73"/>
      <c r="F181" s="135">
        <v>3.3E-3</v>
      </c>
      <c r="G181" s="74">
        <f>$F168</f>
        <v>300</v>
      </c>
      <c r="H181" s="136">
        <f t="shared" si="18"/>
        <v>0.99</v>
      </c>
      <c r="I181" s="76"/>
      <c r="J181" s="132">
        <v>1.21E-2</v>
      </c>
      <c r="K181" s="74">
        <f>$F168</f>
        <v>300</v>
      </c>
      <c r="L181" s="136">
        <f t="shared" si="19"/>
        <v>3.63</v>
      </c>
      <c r="M181" s="76"/>
      <c r="N181" s="137">
        <f t="shared" si="20"/>
        <v>2.6399999999999997</v>
      </c>
      <c r="O181" s="79">
        <f t="shared" si="21"/>
        <v>2.6666666666666665</v>
      </c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</row>
    <row r="182" spans="1:63" x14ac:dyDescent="0.3">
      <c r="B182" s="11" t="s">
        <v>30</v>
      </c>
      <c r="C182" s="73"/>
      <c r="D182" s="7" t="s">
        <v>68</v>
      </c>
      <c r="E182" s="73"/>
      <c r="F182" s="135">
        <v>0.25109999999999999</v>
      </c>
      <c r="G182" s="74">
        <f>$F168</f>
        <v>300</v>
      </c>
      <c r="H182" s="136">
        <f t="shared" si="18"/>
        <v>75.33</v>
      </c>
      <c r="I182" s="76"/>
      <c r="J182" s="132"/>
      <c r="K182" s="74">
        <f>$F168</f>
        <v>300</v>
      </c>
      <c r="L182" s="136">
        <f t="shared" si="19"/>
        <v>0</v>
      </c>
      <c r="M182" s="76"/>
      <c r="N182" s="137">
        <f t="shared" si="20"/>
        <v>-75.33</v>
      </c>
      <c r="O182" s="79">
        <f t="shared" si="21"/>
        <v>-1</v>
      </c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</row>
    <row r="183" spans="1:63" x14ac:dyDescent="0.3">
      <c r="B183" s="11" t="s">
        <v>31</v>
      </c>
      <c r="C183" s="73"/>
      <c r="D183" s="7" t="s">
        <v>68</v>
      </c>
      <c r="E183" s="73"/>
      <c r="F183" s="135">
        <v>-4.65E-2</v>
      </c>
      <c r="G183" s="74">
        <f>$F168</f>
        <v>300</v>
      </c>
      <c r="H183" s="136">
        <f t="shared" si="18"/>
        <v>-13.95</v>
      </c>
      <c r="I183" s="76"/>
      <c r="J183" s="132"/>
      <c r="K183" s="74">
        <f>$F168</f>
        <v>300</v>
      </c>
      <c r="L183" s="136">
        <f t="shared" si="19"/>
        <v>0</v>
      </c>
      <c r="M183" s="76"/>
      <c r="N183" s="137">
        <f t="shared" si="20"/>
        <v>13.95</v>
      </c>
      <c r="O183" s="79">
        <f t="shared" si="21"/>
        <v>-1</v>
      </c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</row>
    <row r="184" spans="1:63" x14ac:dyDescent="0.3">
      <c r="B184" s="11" t="s">
        <v>32</v>
      </c>
      <c r="C184" s="73"/>
      <c r="D184" s="7" t="s">
        <v>24</v>
      </c>
      <c r="E184" s="73"/>
      <c r="F184" s="135"/>
      <c r="G184" s="74">
        <v>1</v>
      </c>
      <c r="H184" s="136">
        <f t="shared" si="18"/>
        <v>0</v>
      </c>
      <c r="I184" s="76"/>
      <c r="J184" s="132"/>
      <c r="K184" s="74">
        <v>1</v>
      </c>
      <c r="L184" s="136">
        <f t="shared" si="19"/>
        <v>0</v>
      </c>
      <c r="M184" s="76"/>
      <c r="N184" s="137">
        <f t="shared" si="20"/>
        <v>0</v>
      </c>
      <c r="O184" s="79" t="str">
        <f t="shared" si="21"/>
        <v/>
      </c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</row>
    <row r="185" spans="1:63" x14ac:dyDescent="0.3">
      <c r="B185" s="12" t="s">
        <v>33</v>
      </c>
      <c r="C185" s="73"/>
      <c r="D185" s="7" t="s">
        <v>68</v>
      </c>
      <c r="E185" s="73"/>
      <c r="F185" s="134"/>
      <c r="G185" s="74">
        <f>$F168</f>
        <v>300</v>
      </c>
      <c r="H185" s="136">
        <f t="shared" si="18"/>
        <v>0</v>
      </c>
      <c r="I185" s="76"/>
      <c r="J185" s="132">
        <v>-4.58E-2</v>
      </c>
      <c r="K185" s="74">
        <f>$F168</f>
        <v>300</v>
      </c>
      <c r="L185" s="136">
        <f t="shared" si="19"/>
        <v>-13.74</v>
      </c>
      <c r="M185" s="76"/>
      <c r="N185" s="137">
        <f t="shared" si="20"/>
        <v>-13.74</v>
      </c>
      <c r="O185" s="79" t="str">
        <f t="shared" si="21"/>
        <v/>
      </c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</row>
    <row r="186" spans="1:63" x14ac:dyDescent="0.3">
      <c r="B186" s="12" t="s">
        <v>77</v>
      </c>
      <c r="C186" s="73"/>
      <c r="D186" s="7" t="s">
        <v>68</v>
      </c>
      <c r="E186" s="73"/>
      <c r="F186" s="134"/>
      <c r="G186" s="74">
        <f>$F168</f>
        <v>300</v>
      </c>
      <c r="H186" s="136">
        <f t="shared" si="18"/>
        <v>0</v>
      </c>
      <c r="I186" s="76"/>
      <c r="J186" s="132">
        <v>6.8199999999999997E-2</v>
      </c>
      <c r="K186" s="74">
        <f>$F168</f>
        <v>300</v>
      </c>
      <c r="L186" s="136">
        <f t="shared" si="19"/>
        <v>20.459999999999997</v>
      </c>
      <c r="M186" s="76"/>
      <c r="N186" s="137">
        <f t="shared" si="20"/>
        <v>20.459999999999997</v>
      </c>
      <c r="O186" s="79" t="str">
        <f t="shared" si="21"/>
        <v/>
      </c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</row>
    <row r="187" spans="1:63" x14ac:dyDescent="0.3">
      <c r="B187" s="12"/>
      <c r="C187" s="73"/>
      <c r="D187" s="7"/>
      <c r="E187" s="73"/>
      <c r="F187" s="131"/>
      <c r="G187" s="74">
        <f>$F168</f>
        <v>300</v>
      </c>
      <c r="H187" s="136">
        <f t="shared" si="18"/>
        <v>0</v>
      </c>
      <c r="I187" s="76"/>
      <c r="J187" s="131"/>
      <c r="K187" s="74">
        <f>$F168</f>
        <v>300</v>
      </c>
      <c r="L187" s="136">
        <f t="shared" si="19"/>
        <v>0</v>
      </c>
      <c r="M187" s="76"/>
      <c r="N187" s="137">
        <f t="shared" si="20"/>
        <v>0</v>
      </c>
      <c r="O187" s="79" t="str">
        <f t="shared" si="21"/>
        <v/>
      </c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</row>
    <row r="188" spans="1:63" x14ac:dyDescent="0.3">
      <c r="B188" s="12"/>
      <c r="C188" s="73"/>
      <c r="D188" s="7"/>
      <c r="E188" s="73"/>
      <c r="F188" s="131"/>
      <c r="G188" s="74">
        <f>$F168</f>
        <v>300</v>
      </c>
      <c r="H188" s="136">
        <f t="shared" si="18"/>
        <v>0</v>
      </c>
      <c r="I188" s="76"/>
      <c r="J188" s="131"/>
      <c r="K188" s="74">
        <f>$F168</f>
        <v>300</v>
      </c>
      <c r="L188" s="136">
        <f t="shared" si="19"/>
        <v>0</v>
      </c>
      <c r="M188" s="76"/>
      <c r="N188" s="137">
        <f t="shared" si="20"/>
        <v>0</v>
      </c>
      <c r="O188" s="79" t="str">
        <f t="shared" si="21"/>
        <v/>
      </c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</row>
    <row r="189" spans="1:63" s="4" customFormat="1" x14ac:dyDescent="0.3">
      <c r="A189" s="60"/>
      <c r="B189" s="19" t="s">
        <v>34</v>
      </c>
      <c r="C189" s="20"/>
      <c r="D189" s="20"/>
      <c r="E189" s="20"/>
      <c r="F189" s="21"/>
      <c r="G189" s="22"/>
      <c r="H189" s="23">
        <f>SUM(H173:H188)</f>
        <v>1284.0999999999999</v>
      </c>
      <c r="I189" s="13"/>
      <c r="J189" s="14"/>
      <c r="K189" s="24"/>
      <c r="L189" s="23">
        <f>SUM(L173:L188)</f>
        <v>1639.71</v>
      </c>
      <c r="M189" s="13"/>
      <c r="N189" s="15">
        <f t="shared" si="20"/>
        <v>355.61000000000013</v>
      </c>
      <c r="O189" s="16">
        <f t="shared" si="21"/>
        <v>0.27693326064948226</v>
      </c>
      <c r="P189" s="60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</row>
    <row r="190" spans="1:63" x14ac:dyDescent="0.3">
      <c r="B190" s="17" t="s">
        <v>35</v>
      </c>
      <c r="C190" s="73"/>
      <c r="D190" s="7" t="s">
        <v>68</v>
      </c>
      <c r="E190" s="73"/>
      <c r="F190" s="135">
        <v>9.5299999999999996E-2</v>
      </c>
      <c r="G190" s="74">
        <f>$F168</f>
        <v>300</v>
      </c>
      <c r="H190" s="136">
        <f t="shared" ref="H190:H196" si="22">G190*F190</f>
        <v>28.59</v>
      </c>
      <c r="I190" s="76"/>
      <c r="J190" s="135">
        <v>-0.52969999999999995</v>
      </c>
      <c r="K190" s="74">
        <f>$F168</f>
        <v>300</v>
      </c>
      <c r="L190" s="136">
        <f t="shared" ref="L190:L196" si="23">K190*J190</f>
        <v>-158.91</v>
      </c>
      <c r="M190" s="76"/>
      <c r="N190" s="137">
        <f t="shared" si="20"/>
        <v>-187.5</v>
      </c>
      <c r="O190" s="79">
        <f t="shared" si="21"/>
        <v>-6.5582371458551938</v>
      </c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</row>
    <row r="191" spans="1:63" x14ac:dyDescent="0.3">
      <c r="B191" s="17"/>
      <c r="C191" s="73"/>
      <c r="D191" s="7"/>
      <c r="E191" s="73"/>
      <c r="F191" s="8"/>
      <c r="G191" s="74">
        <f>$F168</f>
        <v>300</v>
      </c>
      <c r="H191" s="136">
        <f t="shared" si="22"/>
        <v>0</v>
      </c>
      <c r="I191" s="82"/>
      <c r="J191" s="8"/>
      <c r="K191" s="74">
        <f>$F168</f>
        <v>300</v>
      </c>
      <c r="L191" s="136">
        <f t="shared" si="23"/>
        <v>0</v>
      </c>
      <c r="M191" s="83"/>
      <c r="N191" s="137">
        <f t="shared" si="20"/>
        <v>0</v>
      </c>
      <c r="O191" s="79" t="str">
        <f t="shared" si="21"/>
        <v/>
      </c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</row>
    <row r="192" spans="1:63" x14ac:dyDescent="0.3">
      <c r="B192" s="17"/>
      <c r="C192" s="73"/>
      <c r="D192" s="7"/>
      <c r="E192" s="73"/>
      <c r="F192" s="8"/>
      <c r="G192" s="74">
        <f>$F168</f>
        <v>300</v>
      </c>
      <c r="H192" s="136">
        <f t="shared" si="22"/>
        <v>0</v>
      </c>
      <c r="I192" s="82"/>
      <c r="J192" s="8"/>
      <c r="K192" s="74">
        <f>$F168</f>
        <v>300</v>
      </c>
      <c r="L192" s="136">
        <f t="shared" si="23"/>
        <v>0</v>
      </c>
      <c r="M192" s="83"/>
      <c r="N192" s="137">
        <f t="shared" si="20"/>
        <v>0</v>
      </c>
      <c r="O192" s="79" t="str">
        <f t="shared" si="21"/>
        <v/>
      </c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</row>
    <row r="193" spans="1:63" x14ac:dyDescent="0.3">
      <c r="B193" s="17"/>
      <c r="C193" s="73"/>
      <c r="D193" s="7"/>
      <c r="E193" s="73"/>
      <c r="F193" s="8"/>
      <c r="G193" s="74">
        <f>$F168</f>
        <v>300</v>
      </c>
      <c r="H193" s="136">
        <f t="shared" si="22"/>
        <v>0</v>
      </c>
      <c r="I193" s="82"/>
      <c r="J193" s="8"/>
      <c r="K193" s="74">
        <f>$F168</f>
        <v>300</v>
      </c>
      <c r="L193" s="136">
        <f t="shared" si="23"/>
        <v>0</v>
      </c>
      <c r="M193" s="83"/>
      <c r="N193" s="137">
        <f t="shared" si="20"/>
        <v>0</v>
      </c>
      <c r="O193" s="79" t="str">
        <f t="shared" si="21"/>
        <v/>
      </c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</row>
    <row r="194" spans="1:63" x14ac:dyDescent="0.3">
      <c r="B194" s="80" t="s">
        <v>36</v>
      </c>
      <c r="C194" s="73"/>
      <c r="D194" s="7" t="s">
        <v>68</v>
      </c>
      <c r="E194" s="73"/>
      <c r="F194" s="135">
        <v>6.3799999999999996E-2</v>
      </c>
      <c r="G194" s="74">
        <f>$F168</f>
        <v>300</v>
      </c>
      <c r="H194" s="136">
        <f t="shared" si="22"/>
        <v>19.139999999999997</v>
      </c>
      <c r="I194" s="76"/>
      <c r="J194" s="135">
        <v>0.1313</v>
      </c>
      <c r="K194" s="74">
        <f>$F168</f>
        <v>300</v>
      </c>
      <c r="L194" s="136">
        <f t="shared" si="23"/>
        <v>39.39</v>
      </c>
      <c r="M194" s="76"/>
      <c r="N194" s="137">
        <f t="shared" si="20"/>
        <v>20.250000000000004</v>
      </c>
      <c r="O194" s="79">
        <f t="shared" si="21"/>
        <v>1.0579937304075238</v>
      </c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</row>
    <row r="195" spans="1:63" x14ac:dyDescent="0.3">
      <c r="B195" s="80" t="s">
        <v>37</v>
      </c>
      <c r="C195" s="73"/>
      <c r="D195" s="7" t="s">
        <v>27</v>
      </c>
      <c r="E195" s="73"/>
      <c r="F195" s="138">
        <f>IF(ISBLANK(D166)=TRUE, 0, IF(D166="TOU", 0.64*$F205+0.18*$F206+0.18*$F207, IF(AND(D166="non-TOU", G209&gt;0), F209,F208)))</f>
        <v>8.7999999999999995E-2</v>
      </c>
      <c r="G195" s="18">
        <f>$F169*(1+$F224)-$F169</f>
        <v>4524.0000000000146</v>
      </c>
      <c r="H195" s="136">
        <f t="shared" si="22"/>
        <v>398.11200000000127</v>
      </c>
      <c r="I195" s="76"/>
      <c r="J195" s="138">
        <f>+F195</f>
        <v>8.7999999999999995E-2</v>
      </c>
      <c r="K195" s="18">
        <f>$F169*(1+$J224)-$F169</f>
        <v>4512.0000000000146</v>
      </c>
      <c r="L195" s="136">
        <f t="shared" si="23"/>
        <v>397.05600000000123</v>
      </c>
      <c r="M195" s="76"/>
      <c r="N195" s="137">
        <f t="shared" si="20"/>
        <v>-1.05600000000004</v>
      </c>
      <c r="O195" s="79">
        <f t="shared" si="21"/>
        <v>-2.6525198938992965E-3</v>
      </c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</row>
    <row r="196" spans="1:63" x14ac:dyDescent="0.3">
      <c r="B196" s="80" t="s">
        <v>38</v>
      </c>
      <c r="C196" s="73"/>
      <c r="D196" s="7" t="s">
        <v>24</v>
      </c>
      <c r="E196" s="73"/>
      <c r="F196" s="138">
        <v>0</v>
      </c>
      <c r="G196" s="74">
        <v>1</v>
      </c>
      <c r="H196" s="136">
        <f t="shared" si="22"/>
        <v>0</v>
      </c>
      <c r="I196" s="76"/>
      <c r="J196" s="138"/>
      <c r="K196" s="81">
        <v>1</v>
      </c>
      <c r="L196" s="136">
        <f t="shared" si="23"/>
        <v>0</v>
      </c>
      <c r="M196" s="76"/>
      <c r="N196" s="137">
        <f t="shared" si="20"/>
        <v>0</v>
      </c>
      <c r="O196" s="79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</row>
    <row r="197" spans="1:63" s="4" customFormat="1" x14ac:dyDescent="0.3">
      <c r="A197" s="60"/>
      <c r="B197" s="19" t="s">
        <v>39</v>
      </c>
      <c r="C197" s="20"/>
      <c r="D197" s="20"/>
      <c r="E197" s="20"/>
      <c r="F197" s="21"/>
      <c r="G197" s="22"/>
      <c r="H197" s="23">
        <f>SUM(H190:H196)+H189</f>
        <v>1729.9420000000011</v>
      </c>
      <c r="I197" s="13"/>
      <c r="J197" s="22"/>
      <c r="K197" s="24"/>
      <c r="L197" s="23">
        <f>SUM(L190:L196)+L189</f>
        <v>1917.2460000000012</v>
      </c>
      <c r="M197" s="13"/>
      <c r="N197" s="15">
        <f t="shared" si="20"/>
        <v>187.30400000000009</v>
      </c>
      <c r="O197" s="16">
        <f t="shared" ref="O197:O209" si="24">IF((H197)=0,"",(N197/H197))</f>
        <v>0.10827183801537853</v>
      </c>
      <c r="P197" s="60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</row>
    <row r="198" spans="1:63" x14ac:dyDescent="0.3">
      <c r="B198" s="76" t="s">
        <v>40</v>
      </c>
      <c r="C198" s="76"/>
      <c r="D198" s="25" t="s">
        <v>68</v>
      </c>
      <c r="E198" s="76"/>
      <c r="F198" s="135">
        <v>2.7667000000000002</v>
      </c>
      <c r="G198" s="18">
        <f>F168*(1+F224)</f>
        <v>311.31</v>
      </c>
      <c r="H198" s="136">
        <f>G198*F198</f>
        <v>861.301377</v>
      </c>
      <c r="I198" s="76"/>
      <c r="J198" s="135">
        <v>2.6019999999999999</v>
      </c>
      <c r="K198" s="18">
        <f>F168*(1+J224)</f>
        <v>311.28000000000003</v>
      </c>
      <c r="L198" s="136">
        <f>K198*J198</f>
        <v>809.95056</v>
      </c>
      <c r="M198" s="76"/>
      <c r="N198" s="136">
        <f t="shared" si="20"/>
        <v>-51.350817000000006</v>
      </c>
      <c r="O198" s="79">
        <f t="shared" si="24"/>
        <v>-5.9620033557661441E-2</v>
      </c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</row>
    <row r="199" spans="1:63" x14ac:dyDescent="0.3">
      <c r="B199" s="85" t="s">
        <v>41</v>
      </c>
      <c r="C199" s="76"/>
      <c r="D199" s="25" t="s">
        <v>68</v>
      </c>
      <c r="E199" s="76"/>
      <c r="F199" s="135">
        <v>1.8766</v>
      </c>
      <c r="G199" s="18">
        <f>G198</f>
        <v>311.31</v>
      </c>
      <c r="H199" s="136">
        <f>G199*F199</f>
        <v>584.20434599999999</v>
      </c>
      <c r="I199" s="76"/>
      <c r="J199" s="135">
        <v>1.3172999999999999</v>
      </c>
      <c r="K199" s="18">
        <f>K198</f>
        <v>311.28000000000003</v>
      </c>
      <c r="L199" s="136">
        <f>K199*J199</f>
        <v>410.04914400000001</v>
      </c>
      <c r="M199" s="76"/>
      <c r="N199" s="136">
        <f t="shared" si="20"/>
        <v>-174.15520199999997</v>
      </c>
      <c r="O199" s="79">
        <f t="shared" si="24"/>
        <v>-0.29810665256502555</v>
      </c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</row>
    <row r="200" spans="1:63" s="4" customFormat="1" x14ac:dyDescent="0.3">
      <c r="A200" s="60"/>
      <c r="B200" s="19" t="s">
        <v>42</v>
      </c>
      <c r="C200" s="20"/>
      <c r="D200" s="20"/>
      <c r="E200" s="20"/>
      <c r="F200" s="21"/>
      <c r="G200" s="22"/>
      <c r="H200" s="23">
        <f>SUM(H197:H199)</f>
        <v>3175.4477230000011</v>
      </c>
      <c r="I200" s="13"/>
      <c r="J200" s="26"/>
      <c r="K200" s="22"/>
      <c r="L200" s="23">
        <f>SUM(L197:L199)</f>
        <v>3137.2457040000013</v>
      </c>
      <c r="M200" s="13"/>
      <c r="N200" s="15">
        <f t="shared" si="20"/>
        <v>-38.202018999999837</v>
      </c>
      <c r="O200" s="16">
        <f t="shared" si="24"/>
        <v>-1.2030435495221606E-2</v>
      </c>
      <c r="P200" s="60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</row>
    <row r="201" spans="1:63" x14ac:dyDescent="0.3">
      <c r="B201" s="86" t="s">
        <v>43</v>
      </c>
      <c r="C201" s="73"/>
      <c r="D201" s="7" t="s">
        <v>27</v>
      </c>
      <c r="E201" s="73"/>
      <c r="F201" s="135">
        <v>4.4000000000000003E-3</v>
      </c>
      <c r="G201" s="18">
        <f>F169*(1+F224)</f>
        <v>124524.00000000001</v>
      </c>
      <c r="H201" s="139">
        <f t="shared" ref="H201:H209" si="25">G201*F201</f>
        <v>547.90560000000005</v>
      </c>
      <c r="I201" s="76"/>
      <c r="J201" s="135">
        <f>+F201</f>
        <v>4.4000000000000003E-3</v>
      </c>
      <c r="K201" s="18">
        <f>F169*(1+J224)</f>
        <v>124512.00000000001</v>
      </c>
      <c r="L201" s="139">
        <f t="shared" ref="L201:L209" si="26">K201*J201</f>
        <v>547.85280000000012</v>
      </c>
      <c r="M201" s="76"/>
      <c r="N201" s="137">
        <f t="shared" si="20"/>
        <v>-5.2799999999933789E-2</v>
      </c>
      <c r="O201" s="87">
        <f t="shared" si="24"/>
        <v>-9.6366965404138567E-5</v>
      </c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</row>
    <row r="202" spans="1:63" x14ac:dyDescent="0.3">
      <c r="B202" s="86" t="s">
        <v>44</v>
      </c>
      <c r="C202" s="73"/>
      <c r="D202" s="7" t="s">
        <v>27</v>
      </c>
      <c r="E202" s="73"/>
      <c r="F202" s="135">
        <v>1.1999999999999999E-3</v>
      </c>
      <c r="G202" s="18">
        <f>+G201</f>
        <v>124524.00000000001</v>
      </c>
      <c r="H202" s="139">
        <f t="shared" si="25"/>
        <v>149.4288</v>
      </c>
      <c r="I202" s="76"/>
      <c r="J202" s="135">
        <f>+F202</f>
        <v>1.1999999999999999E-3</v>
      </c>
      <c r="K202" s="18">
        <f>+K201</f>
        <v>124512.00000000001</v>
      </c>
      <c r="L202" s="139">
        <f t="shared" si="26"/>
        <v>149.4144</v>
      </c>
      <c r="M202" s="76"/>
      <c r="N202" s="137">
        <f t="shared" si="20"/>
        <v>-1.4399999999994861E-2</v>
      </c>
      <c r="O202" s="87">
        <f t="shared" si="24"/>
        <v>-9.6366965404225032E-5</v>
      </c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</row>
    <row r="203" spans="1:63" x14ac:dyDescent="0.3">
      <c r="B203" s="73" t="s">
        <v>45</v>
      </c>
      <c r="C203" s="73"/>
      <c r="D203" s="7" t="s">
        <v>24</v>
      </c>
      <c r="E203" s="73"/>
      <c r="F203" s="135">
        <v>0.25</v>
      </c>
      <c r="G203" s="81">
        <v>1</v>
      </c>
      <c r="H203" s="139">
        <f t="shared" si="25"/>
        <v>0.25</v>
      </c>
      <c r="I203" s="76"/>
      <c r="J203" s="135">
        <f>+F203</f>
        <v>0.25</v>
      </c>
      <c r="K203" s="77">
        <v>1</v>
      </c>
      <c r="L203" s="139">
        <f t="shared" si="26"/>
        <v>0.25</v>
      </c>
      <c r="M203" s="76"/>
      <c r="N203" s="137">
        <f t="shared" si="20"/>
        <v>0</v>
      </c>
      <c r="O203" s="87">
        <f t="shared" si="24"/>
        <v>0</v>
      </c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</row>
    <row r="204" spans="1:63" x14ac:dyDescent="0.3">
      <c r="B204" s="73" t="s">
        <v>46</v>
      </c>
      <c r="C204" s="73"/>
      <c r="D204" s="7" t="s">
        <v>27</v>
      </c>
      <c r="E204" s="73"/>
      <c r="F204" s="135">
        <v>7.0000000000000001E-3</v>
      </c>
      <c r="G204" s="84">
        <f>F169</f>
        <v>120000</v>
      </c>
      <c r="H204" s="139">
        <f t="shared" si="25"/>
        <v>840</v>
      </c>
      <c r="I204" s="76"/>
      <c r="J204" s="135">
        <f>+F204</f>
        <v>7.0000000000000001E-3</v>
      </c>
      <c r="K204" s="77">
        <f>F169</f>
        <v>120000</v>
      </c>
      <c r="L204" s="139">
        <f t="shared" si="26"/>
        <v>840</v>
      </c>
      <c r="M204" s="76"/>
      <c r="N204" s="137">
        <f t="shared" si="20"/>
        <v>0</v>
      </c>
      <c r="O204" s="87">
        <f t="shared" si="24"/>
        <v>0</v>
      </c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</row>
    <row r="205" spans="1:63" x14ac:dyDescent="0.3">
      <c r="B205" s="80" t="s">
        <v>47</v>
      </c>
      <c r="C205" s="73"/>
      <c r="D205" s="7" t="s">
        <v>27</v>
      </c>
      <c r="E205" s="73"/>
      <c r="F205" s="138">
        <v>6.7000000000000004E-2</v>
      </c>
      <c r="G205" s="27">
        <f>0.64*$F169</f>
        <v>76800</v>
      </c>
      <c r="H205" s="139">
        <f t="shared" si="25"/>
        <v>5145.6000000000004</v>
      </c>
      <c r="I205" s="76"/>
      <c r="J205" s="138">
        <v>6.7000000000000004E-2</v>
      </c>
      <c r="K205" s="28">
        <f>G205</f>
        <v>76800</v>
      </c>
      <c r="L205" s="139">
        <f t="shared" si="26"/>
        <v>5145.6000000000004</v>
      </c>
      <c r="M205" s="76"/>
      <c r="N205" s="137">
        <f t="shared" si="20"/>
        <v>0</v>
      </c>
      <c r="O205" s="87">
        <f t="shared" si="24"/>
        <v>0</v>
      </c>
      <c r="Q205" s="126"/>
      <c r="R205" s="126"/>
      <c r="S205" s="127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</row>
    <row r="206" spans="1:63" x14ac:dyDescent="0.3">
      <c r="B206" s="80" t="s">
        <v>48</v>
      </c>
      <c r="C206" s="73"/>
      <c r="D206" s="7" t="s">
        <v>27</v>
      </c>
      <c r="E206" s="73"/>
      <c r="F206" s="138">
        <v>0.104</v>
      </c>
      <c r="G206" s="27">
        <f>0.18*$F169</f>
        <v>21600</v>
      </c>
      <c r="H206" s="139">
        <f t="shared" si="25"/>
        <v>2246.4</v>
      </c>
      <c r="I206" s="76"/>
      <c r="J206" s="138">
        <v>0.104</v>
      </c>
      <c r="K206" s="28">
        <f>G206</f>
        <v>21600</v>
      </c>
      <c r="L206" s="139">
        <f t="shared" si="26"/>
        <v>2246.4</v>
      </c>
      <c r="M206" s="76"/>
      <c r="N206" s="137">
        <f t="shared" si="20"/>
        <v>0</v>
      </c>
      <c r="O206" s="87">
        <f t="shared" si="24"/>
        <v>0</v>
      </c>
      <c r="Q206" s="126"/>
      <c r="R206" s="126"/>
      <c r="S206" s="127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</row>
    <row r="207" spans="1:63" x14ac:dyDescent="0.3">
      <c r="B207" s="64" t="s">
        <v>49</v>
      </c>
      <c r="C207" s="73"/>
      <c r="D207" s="7" t="s">
        <v>27</v>
      </c>
      <c r="E207" s="73"/>
      <c r="F207" s="138">
        <v>0.124</v>
      </c>
      <c r="G207" s="27">
        <f>0.18*$F169</f>
        <v>21600</v>
      </c>
      <c r="H207" s="139">
        <f t="shared" si="25"/>
        <v>2678.4</v>
      </c>
      <c r="I207" s="76"/>
      <c r="J207" s="138">
        <v>0.124</v>
      </c>
      <c r="K207" s="28">
        <f>G207</f>
        <v>21600</v>
      </c>
      <c r="L207" s="139">
        <f t="shared" si="26"/>
        <v>2678.4</v>
      </c>
      <c r="M207" s="76"/>
      <c r="N207" s="137">
        <f t="shared" si="20"/>
        <v>0</v>
      </c>
      <c r="O207" s="87">
        <f t="shared" si="24"/>
        <v>0</v>
      </c>
      <c r="Q207" s="126"/>
      <c r="R207" s="126"/>
      <c r="S207" s="127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</row>
    <row r="208" spans="1:63" s="92" customFormat="1" x14ac:dyDescent="0.25">
      <c r="B208" s="89" t="s">
        <v>50</v>
      </c>
      <c r="C208" s="90"/>
      <c r="D208" s="29" t="s">
        <v>27</v>
      </c>
      <c r="E208" s="90"/>
      <c r="F208" s="138">
        <v>7.4999999999999997E-2</v>
      </c>
      <c r="G208" s="30">
        <f>IF(AND($T$1=1, F169&gt;=750), 750, IF(AND($T$1=1, AND(F169&lt;750, F169&gt;=0)), F169, IF(AND($T$1=2, F169&gt;=750), 750, IF(AND($T$1=2, AND(F169&lt;750, F169&gt;=0)), F169))))</f>
        <v>750</v>
      </c>
      <c r="H208" s="139">
        <f t="shared" si="25"/>
        <v>56.25</v>
      </c>
      <c r="I208" s="91"/>
      <c r="J208" s="138">
        <v>7.4999999999999997E-2</v>
      </c>
      <c r="K208" s="31">
        <f>G208</f>
        <v>750</v>
      </c>
      <c r="L208" s="139">
        <f t="shared" si="26"/>
        <v>56.25</v>
      </c>
      <c r="M208" s="91"/>
      <c r="N208" s="140">
        <f t="shared" si="20"/>
        <v>0</v>
      </c>
      <c r="O208" s="87">
        <f t="shared" si="24"/>
        <v>0</v>
      </c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</row>
    <row r="209" spans="1:63" s="92" customFormat="1" ht="15" thickBot="1" x14ac:dyDescent="0.3">
      <c r="B209" s="89" t="s">
        <v>51</v>
      </c>
      <c r="C209" s="90"/>
      <c r="D209" s="29" t="s">
        <v>27</v>
      </c>
      <c r="E209" s="90"/>
      <c r="F209" s="138">
        <v>8.7999999999999995E-2</v>
      </c>
      <c r="G209" s="30">
        <f>IF(AND($T$1=1, F169&gt;=750), F169-750, IF(AND($T$1=1, AND(F169&lt;750, F169&gt;=0)), 0, IF(AND($T$1=2, F169&gt;=750), F169-750, IF(AND($T$1=2, AND(F169&lt;750, F169&gt;=0)), 0))))</f>
        <v>119250</v>
      </c>
      <c r="H209" s="139">
        <f t="shared" si="25"/>
        <v>10494</v>
      </c>
      <c r="I209" s="91"/>
      <c r="J209" s="138">
        <v>8.7999999999999995E-2</v>
      </c>
      <c r="K209" s="31">
        <f>G209</f>
        <v>119250</v>
      </c>
      <c r="L209" s="139">
        <f t="shared" si="26"/>
        <v>10494</v>
      </c>
      <c r="M209" s="91"/>
      <c r="N209" s="140">
        <f t="shared" si="20"/>
        <v>0</v>
      </c>
      <c r="O209" s="87">
        <f t="shared" si="24"/>
        <v>0</v>
      </c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</row>
    <row r="210" spans="1:63" s="4" customFormat="1" ht="15" thickBot="1" x14ac:dyDescent="0.35">
      <c r="A210" s="60"/>
      <c r="B210" s="32"/>
      <c r="C210" s="33"/>
      <c r="D210" s="124"/>
      <c r="E210" s="33"/>
      <c r="F210" s="35"/>
      <c r="G210" s="36"/>
      <c r="H210" s="122"/>
      <c r="I210" s="123"/>
      <c r="J210" s="35"/>
      <c r="K210" s="39"/>
      <c r="L210" s="122"/>
      <c r="M210" s="123"/>
      <c r="N210" s="40"/>
      <c r="O210" s="41"/>
      <c r="P210" s="60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</row>
    <row r="211" spans="1:63" x14ac:dyDescent="0.3">
      <c r="B211" s="93" t="s">
        <v>52</v>
      </c>
      <c r="C211" s="73"/>
      <c r="D211" s="73"/>
      <c r="E211" s="73"/>
      <c r="F211" s="94"/>
      <c r="G211" s="95"/>
      <c r="H211" s="141">
        <f>SUM(H201:H207,H200)</f>
        <v>14783.432123000001</v>
      </c>
      <c r="I211" s="96"/>
      <c r="J211" s="97"/>
      <c r="K211" s="97"/>
      <c r="L211" s="144">
        <f>SUM(L201:L207,L200)</f>
        <v>14745.162904000001</v>
      </c>
      <c r="M211" s="145"/>
      <c r="N211" s="146">
        <f>L211-H211</f>
        <v>-38.269218999999794</v>
      </c>
      <c r="O211" s="98">
        <f>IF((H211)=0,"",(N211/H211))</f>
        <v>-2.5886559143773321E-3</v>
      </c>
      <c r="Q211" s="126"/>
      <c r="R211" s="126"/>
      <c r="S211" s="127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</row>
    <row r="212" spans="1:63" x14ac:dyDescent="0.3">
      <c r="B212" s="99" t="s">
        <v>53</v>
      </c>
      <c r="C212" s="73"/>
      <c r="D212" s="73"/>
      <c r="E212" s="73"/>
      <c r="F212" s="100">
        <v>0.13</v>
      </c>
      <c r="G212" s="101"/>
      <c r="H212" s="142">
        <f>H211*F212</f>
        <v>1921.8461759900001</v>
      </c>
      <c r="I212" s="102"/>
      <c r="J212" s="103">
        <v>0.13</v>
      </c>
      <c r="K212" s="102"/>
      <c r="L212" s="147">
        <f>L211*J212</f>
        <v>1916.8711775200002</v>
      </c>
      <c r="M212" s="148"/>
      <c r="N212" s="149">
        <f>L212-H212</f>
        <v>-4.9749984699999459</v>
      </c>
      <c r="O212" s="104">
        <f>IF((H212)=0,"",(N212/H212))</f>
        <v>-2.5886559143773183E-3</v>
      </c>
      <c r="Q212" s="126"/>
      <c r="R212" s="126"/>
      <c r="S212" s="127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</row>
    <row r="213" spans="1:63" x14ac:dyDescent="0.3">
      <c r="B213" s="105" t="s">
        <v>54</v>
      </c>
      <c r="C213" s="73"/>
      <c r="D213" s="73"/>
      <c r="E213" s="73"/>
      <c r="F213" s="106"/>
      <c r="G213" s="101"/>
      <c r="H213" s="142">
        <f>H211+H212</f>
        <v>16705.278298990001</v>
      </c>
      <c r="I213" s="102"/>
      <c r="J213" s="102"/>
      <c r="K213" s="102"/>
      <c r="L213" s="147">
        <f>L211+L212</f>
        <v>16662.03408152</v>
      </c>
      <c r="M213" s="148"/>
      <c r="N213" s="149">
        <f>L213-H213</f>
        <v>-43.244217470000876</v>
      </c>
      <c r="O213" s="104">
        <f>IF((H213)=0,"",(N213/H213))</f>
        <v>-2.5886559143773989E-3</v>
      </c>
      <c r="Q213" s="126"/>
      <c r="R213" s="126"/>
      <c r="S213" s="127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</row>
    <row r="214" spans="1:63" ht="14.4" customHeight="1" x14ac:dyDescent="0.3">
      <c r="B214" s="172" t="s">
        <v>55</v>
      </c>
      <c r="C214" s="172"/>
      <c r="D214" s="172"/>
      <c r="E214" s="73"/>
      <c r="F214" s="106"/>
      <c r="G214" s="101"/>
      <c r="H214" s="143">
        <v>0</v>
      </c>
      <c r="I214" s="102"/>
      <c r="J214" s="102"/>
      <c r="K214" s="102"/>
      <c r="L214" s="150">
        <v>0</v>
      </c>
      <c r="M214" s="148"/>
      <c r="N214" s="151">
        <f>L214-H214</f>
        <v>0</v>
      </c>
      <c r="O214" s="107" t="str">
        <f>IF((H214)=0,"",(N214/H214))</f>
        <v/>
      </c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</row>
    <row r="215" spans="1:63" s="4" customFormat="1" ht="15" thickBot="1" x14ac:dyDescent="0.35">
      <c r="A215" s="60"/>
      <c r="B215" s="173" t="s">
        <v>56</v>
      </c>
      <c r="C215" s="173"/>
      <c r="D215" s="173"/>
      <c r="E215" s="42"/>
      <c r="F215" s="43"/>
      <c r="G215" s="44"/>
      <c r="H215" s="45">
        <f>H213+H214</f>
        <v>16705.278298990001</v>
      </c>
      <c r="I215" s="46"/>
      <c r="J215" s="46"/>
      <c r="K215" s="46"/>
      <c r="L215" s="47">
        <f>L213+L214</f>
        <v>16662.03408152</v>
      </c>
      <c r="M215" s="48"/>
      <c r="N215" s="49">
        <f>L215-H215</f>
        <v>-43.244217470000876</v>
      </c>
      <c r="O215" s="50">
        <f>IF((H215)=0,"",(N215/H215))</f>
        <v>-2.5886559143773989E-3</v>
      </c>
      <c r="P215" s="60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</row>
    <row r="216" spans="1:63" s="4" customFormat="1" ht="15" thickBot="1" x14ac:dyDescent="0.35">
      <c r="A216" s="60"/>
      <c r="B216" s="32"/>
      <c r="C216" s="33"/>
      <c r="D216" s="34"/>
      <c r="E216" s="33"/>
      <c r="F216" s="35"/>
      <c r="G216" s="36"/>
      <c r="H216" s="37"/>
      <c r="I216" s="38"/>
      <c r="J216" s="35"/>
      <c r="K216" s="39"/>
      <c r="L216" s="37"/>
      <c r="M216" s="123"/>
      <c r="N216" s="40"/>
      <c r="O216" s="41"/>
      <c r="P216" s="60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</row>
    <row r="217" spans="1:63" s="92" customFormat="1" ht="13.2" x14ac:dyDescent="0.25">
      <c r="B217" s="108" t="s">
        <v>57</v>
      </c>
      <c r="C217" s="90"/>
      <c r="D217" s="90"/>
      <c r="E217" s="90"/>
      <c r="F217" s="109"/>
      <c r="G217" s="110"/>
      <c r="H217" s="152">
        <f>SUM(H208:H209,H200,H201:H204)</f>
        <v>15263.282123000001</v>
      </c>
      <c r="I217" s="111"/>
      <c r="J217" s="112"/>
      <c r="K217" s="112"/>
      <c r="L217" s="155">
        <f>SUM(L208:L209,L200,L201:L204)</f>
        <v>15225.012904000001</v>
      </c>
      <c r="M217" s="156"/>
      <c r="N217" s="157">
        <f>L217-H217</f>
        <v>-38.269218999999794</v>
      </c>
      <c r="O217" s="98">
        <f>IF((H217)=0,"",(N217/H217))</f>
        <v>-2.5072732516902446E-3</v>
      </c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63" s="92" customFormat="1" ht="13.2" x14ac:dyDescent="0.25">
      <c r="B218" s="113" t="s">
        <v>53</v>
      </c>
      <c r="C218" s="90"/>
      <c r="D218" s="90"/>
      <c r="E218" s="90"/>
      <c r="F218" s="114">
        <v>0.13</v>
      </c>
      <c r="G218" s="110"/>
      <c r="H218" s="153">
        <f>H217*F218</f>
        <v>1984.2266759900001</v>
      </c>
      <c r="I218" s="115"/>
      <c r="J218" s="116">
        <v>0.13</v>
      </c>
      <c r="K218" s="117"/>
      <c r="L218" s="158">
        <f>L217*J218</f>
        <v>1979.2516775200002</v>
      </c>
      <c r="M218" s="159"/>
      <c r="N218" s="160">
        <f>L218-H218</f>
        <v>-4.9749984699999459</v>
      </c>
      <c r="O218" s="104">
        <f>IF((H218)=0,"",(N218/H218))</f>
        <v>-2.5072732516902311E-3</v>
      </c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63" s="92" customFormat="1" ht="13.2" x14ac:dyDescent="0.25">
      <c r="B219" s="118" t="s">
        <v>54</v>
      </c>
      <c r="C219" s="90"/>
      <c r="D219" s="90"/>
      <c r="E219" s="90"/>
      <c r="F219" s="119"/>
      <c r="G219" s="120"/>
      <c r="H219" s="153">
        <f>H217+H218</f>
        <v>17247.508798990002</v>
      </c>
      <c r="I219" s="115"/>
      <c r="J219" s="115"/>
      <c r="K219" s="115"/>
      <c r="L219" s="158">
        <f>L217+L218</f>
        <v>17204.264581520001</v>
      </c>
      <c r="M219" s="159"/>
      <c r="N219" s="160">
        <f>L219-H219</f>
        <v>-43.244217470000876</v>
      </c>
      <c r="O219" s="104">
        <f>IF((H219)=0,"",(N219/H219))</f>
        <v>-2.5072732516903088E-3</v>
      </c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</row>
    <row r="220" spans="1:63" s="92" customFormat="1" ht="13.2" customHeight="1" x14ac:dyDescent="0.25">
      <c r="B220" s="174" t="s">
        <v>55</v>
      </c>
      <c r="C220" s="174"/>
      <c r="D220" s="174"/>
      <c r="E220" s="90"/>
      <c r="F220" s="119"/>
      <c r="G220" s="120"/>
      <c r="H220" s="154">
        <v>0</v>
      </c>
      <c r="I220" s="115"/>
      <c r="J220" s="115"/>
      <c r="K220" s="115"/>
      <c r="L220" s="161">
        <v>0</v>
      </c>
      <c r="M220" s="159"/>
      <c r="N220" s="162">
        <f>L220-H220</f>
        <v>0</v>
      </c>
      <c r="O220" s="107" t="str">
        <f>IF((H220)=0,"",(N220/H220))</f>
        <v/>
      </c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</row>
    <row r="221" spans="1:63" s="4" customFormat="1" ht="15" thickBot="1" x14ac:dyDescent="0.35">
      <c r="A221" s="60"/>
      <c r="B221" s="173" t="s">
        <v>58</v>
      </c>
      <c r="C221" s="173"/>
      <c r="D221" s="173"/>
      <c r="E221" s="42"/>
      <c r="F221" s="43"/>
      <c r="G221" s="44"/>
      <c r="H221" s="45">
        <f>SUM(H219:H220)</f>
        <v>17247.508798990002</v>
      </c>
      <c r="I221" s="46"/>
      <c r="J221" s="46"/>
      <c r="K221" s="46"/>
      <c r="L221" s="47">
        <f>SUM(L219:L220)</f>
        <v>17204.264581520001</v>
      </c>
      <c r="M221" s="48"/>
      <c r="N221" s="49">
        <f>L221-H221</f>
        <v>-43.244217470000876</v>
      </c>
      <c r="O221" s="50">
        <f>IF((H221)=0,"",(N221/H221))</f>
        <v>-2.5072732516903088E-3</v>
      </c>
      <c r="P221" s="60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</row>
    <row r="222" spans="1:63" s="4" customFormat="1" ht="15" thickBot="1" x14ac:dyDescent="0.35">
      <c r="A222" s="60"/>
      <c r="B222" s="32"/>
      <c r="C222" s="33"/>
      <c r="D222" s="34"/>
      <c r="E222" s="33"/>
      <c r="F222" s="35"/>
      <c r="G222" s="36"/>
      <c r="H222" s="122"/>
      <c r="I222" s="123"/>
      <c r="J222" s="35"/>
      <c r="K222" s="39"/>
      <c r="L222" s="37"/>
      <c r="M222" s="123"/>
      <c r="N222" s="40"/>
      <c r="O222" s="41"/>
      <c r="P222" s="60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</row>
    <row r="223" spans="1:63" x14ac:dyDescent="0.3">
      <c r="L223" s="88"/>
    </row>
    <row r="224" spans="1:63" x14ac:dyDescent="0.3">
      <c r="B224" s="65" t="s">
        <v>59</v>
      </c>
      <c r="F224" s="51">
        <v>3.7699999999999997E-2</v>
      </c>
      <c r="J224" s="51">
        <f>+Residential!$J$74</f>
        <v>3.7600000000000001E-2</v>
      </c>
    </row>
    <row r="226" spans="1:16" x14ac:dyDescent="0.3">
      <c r="L226" s="56"/>
      <c r="M226" s="56"/>
      <c r="N226" s="56"/>
      <c r="O226" s="56"/>
      <c r="P226" s="56"/>
    </row>
    <row r="227" spans="1:16" ht="16.2" x14ac:dyDescent="0.3">
      <c r="A227" s="121" t="s">
        <v>60</v>
      </c>
    </row>
    <row r="229" spans="1:16" x14ac:dyDescent="0.3">
      <c r="A229" s="60" t="s">
        <v>61</v>
      </c>
    </row>
    <row r="230" spans="1:16" x14ac:dyDescent="0.3">
      <c r="A230" s="60" t="s">
        <v>62</v>
      </c>
    </row>
    <row r="232" spans="1:16" x14ac:dyDescent="0.3">
      <c r="B232" s="60" t="s">
        <v>63</v>
      </c>
    </row>
    <row r="235" spans="1:16" ht="18.75" customHeight="1" x14ac:dyDescent="0.3">
      <c r="B235" s="175" t="s">
        <v>6</v>
      </c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56"/>
    </row>
    <row r="236" spans="1:16" ht="18.75" customHeight="1" x14ac:dyDescent="0.3">
      <c r="B236" s="175" t="s">
        <v>7</v>
      </c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56"/>
    </row>
    <row r="237" spans="1:16" ht="7.5" customHeight="1" x14ac:dyDescent="0.3">
      <c r="L237" s="56"/>
      <c r="M237" s="56"/>
      <c r="N237" s="56"/>
      <c r="O237" s="56"/>
      <c r="P237" s="56"/>
    </row>
    <row r="238" spans="1:16" ht="7.5" customHeight="1" x14ac:dyDescent="0.3">
      <c r="L238" s="56"/>
      <c r="M238" s="56"/>
      <c r="N238" s="56"/>
      <c r="O238" s="56"/>
      <c r="P238" s="56"/>
    </row>
    <row r="239" spans="1:16" ht="15.6" x14ac:dyDescent="0.3">
      <c r="B239" s="61" t="s">
        <v>8</v>
      </c>
      <c r="D239" s="185" t="s">
        <v>69</v>
      </c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</row>
    <row r="240" spans="1:16" ht="7.5" customHeight="1" x14ac:dyDescent="0.3">
      <c r="B240" s="62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</row>
    <row r="241" spans="2:29" ht="15.6" x14ac:dyDescent="0.3">
      <c r="B241" s="61" t="s">
        <v>9</v>
      </c>
      <c r="D241" s="5" t="s">
        <v>64</v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</row>
    <row r="242" spans="2:29" ht="15.6" x14ac:dyDescent="0.3">
      <c r="B242" s="62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</row>
    <row r="243" spans="2:29" x14ac:dyDescent="0.3">
      <c r="B243" s="64"/>
      <c r="D243" s="65" t="s">
        <v>11</v>
      </c>
      <c r="E243" s="65"/>
      <c r="F243" s="6">
        <v>500</v>
      </c>
      <c r="G243" s="65" t="s">
        <v>65</v>
      </c>
    </row>
    <row r="244" spans="2:29" x14ac:dyDescent="0.3">
      <c r="B244" s="64"/>
      <c r="F244" s="6">
        <v>200000</v>
      </c>
      <c r="G244" s="65" t="s">
        <v>12</v>
      </c>
    </row>
    <row r="245" spans="2:29" x14ac:dyDescent="0.3">
      <c r="B245" s="64"/>
      <c r="D245" s="66"/>
      <c r="E245" s="66"/>
      <c r="F245" s="176" t="s">
        <v>13</v>
      </c>
      <c r="G245" s="177"/>
      <c r="H245" s="178"/>
      <c r="J245" s="176" t="s">
        <v>14</v>
      </c>
      <c r="K245" s="177"/>
      <c r="L245" s="178"/>
      <c r="N245" s="176" t="s">
        <v>15</v>
      </c>
      <c r="O245" s="178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</row>
    <row r="246" spans="2:29" x14ac:dyDescent="0.3">
      <c r="B246" s="64"/>
      <c r="D246" s="179" t="s">
        <v>16</v>
      </c>
      <c r="E246" s="67"/>
      <c r="F246" s="68" t="s">
        <v>17</v>
      </c>
      <c r="G246" s="68" t="s">
        <v>18</v>
      </c>
      <c r="H246" s="69" t="s">
        <v>19</v>
      </c>
      <c r="J246" s="68" t="s">
        <v>17</v>
      </c>
      <c r="K246" s="70" t="s">
        <v>18</v>
      </c>
      <c r="L246" s="69" t="s">
        <v>19</v>
      </c>
      <c r="N246" s="181" t="s">
        <v>20</v>
      </c>
      <c r="O246" s="183" t="s">
        <v>21</v>
      </c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</row>
    <row r="247" spans="2:29" x14ac:dyDescent="0.3">
      <c r="B247" s="64"/>
      <c r="D247" s="180"/>
      <c r="E247" s="67"/>
      <c r="F247" s="71" t="s">
        <v>22</v>
      </c>
      <c r="G247" s="71"/>
      <c r="H247" s="72" t="s">
        <v>22</v>
      </c>
      <c r="J247" s="71" t="s">
        <v>22</v>
      </c>
      <c r="K247" s="72"/>
      <c r="L247" s="72" t="s">
        <v>22</v>
      </c>
      <c r="N247" s="182"/>
      <c r="O247" s="184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</row>
    <row r="248" spans="2:29" x14ac:dyDescent="0.3">
      <c r="B248" s="73" t="s">
        <v>23</v>
      </c>
      <c r="C248" s="73"/>
      <c r="D248" s="7" t="s">
        <v>24</v>
      </c>
      <c r="E248" s="73"/>
      <c r="F248" s="129">
        <v>118.45</v>
      </c>
      <c r="G248" s="74">
        <v>1</v>
      </c>
      <c r="H248" s="75">
        <f t="shared" ref="H248:H263" si="27">G248*F248</f>
        <v>118.45</v>
      </c>
      <c r="I248" s="76"/>
      <c r="J248" s="129">
        <v>158.52000000000001</v>
      </c>
      <c r="K248" s="77">
        <v>1</v>
      </c>
      <c r="L248" s="75">
        <f t="shared" ref="L248:L263" si="28">K248*J248</f>
        <v>158.52000000000001</v>
      </c>
      <c r="M248" s="76"/>
      <c r="N248" s="78">
        <f t="shared" ref="N248:N284" si="29">L248-H248</f>
        <v>40.070000000000007</v>
      </c>
      <c r="O248" s="79">
        <f t="shared" ref="O248:O270" si="30">IF((H248)=0,"",(N248/H248))</f>
        <v>0.33828619670747156</v>
      </c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</row>
    <row r="249" spans="2:29" x14ac:dyDescent="0.3">
      <c r="B249" s="73" t="s">
        <v>25</v>
      </c>
      <c r="C249" s="73"/>
      <c r="D249" s="7" t="s">
        <v>24</v>
      </c>
      <c r="E249" s="73"/>
      <c r="F249" s="133"/>
      <c r="G249" s="74">
        <v>1</v>
      </c>
      <c r="H249" s="136">
        <f t="shared" si="27"/>
        <v>0</v>
      </c>
      <c r="I249" s="76"/>
      <c r="J249" s="130"/>
      <c r="K249" s="77">
        <v>1</v>
      </c>
      <c r="L249" s="136">
        <f t="shared" si="28"/>
        <v>0</v>
      </c>
      <c r="M249" s="76"/>
      <c r="N249" s="137">
        <f t="shared" si="29"/>
        <v>0</v>
      </c>
      <c r="O249" s="79" t="str">
        <f t="shared" si="30"/>
        <v/>
      </c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</row>
    <row r="250" spans="2:29" x14ac:dyDescent="0.3">
      <c r="B250" s="9"/>
      <c r="C250" s="73"/>
      <c r="D250" s="7"/>
      <c r="E250" s="73"/>
      <c r="F250" s="134"/>
      <c r="G250" s="74">
        <v>1</v>
      </c>
      <c r="H250" s="136">
        <f t="shared" si="27"/>
        <v>0</v>
      </c>
      <c r="I250" s="76"/>
      <c r="J250" s="131"/>
      <c r="K250" s="77">
        <v>1</v>
      </c>
      <c r="L250" s="136">
        <f t="shared" si="28"/>
        <v>0</v>
      </c>
      <c r="M250" s="76"/>
      <c r="N250" s="137">
        <f t="shared" si="29"/>
        <v>0</v>
      </c>
      <c r="O250" s="79" t="str">
        <f t="shared" si="30"/>
        <v/>
      </c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</row>
    <row r="251" spans="2:29" x14ac:dyDescent="0.3">
      <c r="B251" s="9"/>
      <c r="C251" s="73"/>
      <c r="D251" s="7"/>
      <c r="E251" s="73"/>
      <c r="F251" s="134"/>
      <c r="G251" s="74">
        <v>1</v>
      </c>
      <c r="H251" s="136">
        <f t="shared" si="27"/>
        <v>0</v>
      </c>
      <c r="I251" s="76"/>
      <c r="J251" s="131"/>
      <c r="K251" s="77">
        <v>1</v>
      </c>
      <c r="L251" s="136">
        <f t="shared" si="28"/>
        <v>0</v>
      </c>
      <c r="M251" s="76"/>
      <c r="N251" s="137">
        <f t="shared" si="29"/>
        <v>0</v>
      </c>
      <c r="O251" s="79" t="str">
        <f t="shared" si="30"/>
        <v/>
      </c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</row>
    <row r="252" spans="2:29" x14ac:dyDescent="0.3">
      <c r="B252" s="10"/>
      <c r="C252" s="73"/>
      <c r="D252" s="7"/>
      <c r="E252" s="73"/>
      <c r="F252" s="134"/>
      <c r="G252" s="74">
        <v>1</v>
      </c>
      <c r="H252" s="136">
        <f t="shared" si="27"/>
        <v>0</v>
      </c>
      <c r="I252" s="76"/>
      <c r="J252" s="131"/>
      <c r="K252" s="77">
        <v>1</v>
      </c>
      <c r="L252" s="136">
        <f t="shared" si="28"/>
        <v>0</v>
      </c>
      <c r="M252" s="76"/>
      <c r="N252" s="137">
        <f t="shared" si="29"/>
        <v>0</v>
      </c>
      <c r="O252" s="79" t="str">
        <f t="shared" si="30"/>
        <v/>
      </c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</row>
    <row r="253" spans="2:29" x14ac:dyDescent="0.3">
      <c r="B253" s="10"/>
      <c r="C253" s="73"/>
      <c r="D253" s="7"/>
      <c r="E253" s="73"/>
      <c r="F253" s="134"/>
      <c r="G253" s="74">
        <v>1</v>
      </c>
      <c r="H253" s="136">
        <f t="shared" si="27"/>
        <v>0</v>
      </c>
      <c r="I253" s="76"/>
      <c r="J253" s="131"/>
      <c r="K253" s="77">
        <v>1</v>
      </c>
      <c r="L253" s="136">
        <f t="shared" si="28"/>
        <v>0</v>
      </c>
      <c r="M253" s="76"/>
      <c r="N253" s="137">
        <f t="shared" si="29"/>
        <v>0</v>
      </c>
      <c r="O253" s="79" t="str">
        <f t="shared" si="30"/>
        <v/>
      </c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</row>
    <row r="254" spans="2:29" x14ac:dyDescent="0.3">
      <c r="B254" s="73" t="s">
        <v>26</v>
      </c>
      <c r="C254" s="73"/>
      <c r="D254" s="7" t="s">
        <v>68</v>
      </c>
      <c r="E254" s="73"/>
      <c r="F254" s="135">
        <v>3.6776</v>
      </c>
      <c r="G254" s="74">
        <f>$F243</f>
        <v>500</v>
      </c>
      <c r="H254" s="136">
        <f t="shared" si="27"/>
        <v>1838.8</v>
      </c>
      <c r="I254" s="76"/>
      <c r="J254" s="132">
        <v>4.9028</v>
      </c>
      <c r="K254" s="74">
        <f>$F243</f>
        <v>500</v>
      </c>
      <c r="L254" s="136">
        <f t="shared" si="28"/>
        <v>2451.4</v>
      </c>
      <c r="M254" s="76"/>
      <c r="N254" s="137">
        <f t="shared" si="29"/>
        <v>612.60000000000014</v>
      </c>
      <c r="O254" s="79">
        <f t="shared" si="30"/>
        <v>0.3331520556884926</v>
      </c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</row>
    <row r="255" spans="2:29" x14ac:dyDescent="0.3">
      <c r="B255" s="73" t="s">
        <v>28</v>
      </c>
      <c r="C255" s="73"/>
      <c r="D255" s="7" t="s">
        <v>24</v>
      </c>
      <c r="E255" s="73"/>
      <c r="F255" s="135"/>
      <c r="G255" s="74">
        <v>1</v>
      </c>
      <c r="H255" s="136">
        <f t="shared" si="27"/>
        <v>0</v>
      </c>
      <c r="I255" s="76"/>
      <c r="J255" s="132"/>
      <c r="K255" s="74">
        <v>1</v>
      </c>
      <c r="L255" s="136">
        <f t="shared" si="28"/>
        <v>0</v>
      </c>
      <c r="M255" s="76"/>
      <c r="N255" s="137">
        <f t="shared" si="29"/>
        <v>0</v>
      </c>
      <c r="O255" s="79" t="str">
        <f t="shared" si="30"/>
        <v/>
      </c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</row>
    <row r="256" spans="2:29" x14ac:dyDescent="0.3">
      <c r="B256" s="73" t="s">
        <v>29</v>
      </c>
      <c r="C256" s="73"/>
      <c r="D256" s="7" t="s">
        <v>68</v>
      </c>
      <c r="E256" s="73"/>
      <c r="F256" s="135">
        <v>3.3E-3</v>
      </c>
      <c r="G256" s="74">
        <f>$F243</f>
        <v>500</v>
      </c>
      <c r="H256" s="136">
        <f t="shared" si="27"/>
        <v>1.65</v>
      </c>
      <c r="I256" s="76"/>
      <c r="J256" s="132">
        <v>1.21E-2</v>
      </c>
      <c r="K256" s="74">
        <f>$F243</f>
        <v>500</v>
      </c>
      <c r="L256" s="136">
        <f t="shared" si="28"/>
        <v>6.05</v>
      </c>
      <c r="M256" s="76"/>
      <c r="N256" s="137">
        <f t="shared" si="29"/>
        <v>4.4000000000000004</v>
      </c>
      <c r="O256" s="79">
        <f t="shared" si="30"/>
        <v>2.666666666666667</v>
      </c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</row>
    <row r="257" spans="1:63" x14ac:dyDescent="0.3">
      <c r="B257" s="11" t="s">
        <v>30</v>
      </c>
      <c r="C257" s="73"/>
      <c r="D257" s="7" t="s">
        <v>68</v>
      </c>
      <c r="E257" s="73"/>
      <c r="F257" s="135">
        <v>0.25109999999999999</v>
      </c>
      <c r="G257" s="74">
        <f>$F243</f>
        <v>500</v>
      </c>
      <c r="H257" s="136">
        <f t="shared" si="27"/>
        <v>125.55</v>
      </c>
      <c r="I257" s="76"/>
      <c r="J257" s="132"/>
      <c r="K257" s="74">
        <f>$F243</f>
        <v>500</v>
      </c>
      <c r="L257" s="136">
        <f t="shared" si="28"/>
        <v>0</v>
      </c>
      <c r="M257" s="76"/>
      <c r="N257" s="137">
        <f t="shared" si="29"/>
        <v>-125.55</v>
      </c>
      <c r="O257" s="79">
        <f t="shared" si="30"/>
        <v>-1</v>
      </c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</row>
    <row r="258" spans="1:63" x14ac:dyDescent="0.3">
      <c r="B258" s="11" t="s">
        <v>31</v>
      </c>
      <c r="C258" s="73"/>
      <c r="D258" s="7" t="s">
        <v>68</v>
      </c>
      <c r="E258" s="73"/>
      <c r="F258" s="135">
        <v>-4.65E-2</v>
      </c>
      <c r="G258" s="74">
        <f>$F243</f>
        <v>500</v>
      </c>
      <c r="H258" s="136">
        <f t="shared" si="27"/>
        <v>-23.25</v>
      </c>
      <c r="I258" s="76"/>
      <c r="J258" s="132"/>
      <c r="K258" s="74">
        <f>$F243</f>
        <v>500</v>
      </c>
      <c r="L258" s="136">
        <f t="shared" si="28"/>
        <v>0</v>
      </c>
      <c r="M258" s="76"/>
      <c r="N258" s="137">
        <f t="shared" si="29"/>
        <v>23.25</v>
      </c>
      <c r="O258" s="79">
        <f t="shared" si="30"/>
        <v>-1</v>
      </c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</row>
    <row r="259" spans="1:63" x14ac:dyDescent="0.3">
      <c r="B259" s="11" t="s">
        <v>32</v>
      </c>
      <c r="C259" s="73"/>
      <c r="D259" s="7" t="s">
        <v>24</v>
      </c>
      <c r="E259" s="73"/>
      <c r="F259" s="135"/>
      <c r="G259" s="74">
        <v>1</v>
      </c>
      <c r="H259" s="136">
        <f t="shared" si="27"/>
        <v>0</v>
      </c>
      <c r="I259" s="76"/>
      <c r="J259" s="132"/>
      <c r="K259" s="74">
        <v>1</v>
      </c>
      <c r="L259" s="136">
        <f t="shared" si="28"/>
        <v>0</v>
      </c>
      <c r="M259" s="76"/>
      <c r="N259" s="137">
        <f t="shared" si="29"/>
        <v>0</v>
      </c>
      <c r="O259" s="79" t="str">
        <f t="shared" si="30"/>
        <v/>
      </c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</row>
    <row r="260" spans="1:63" x14ac:dyDescent="0.3">
      <c r="B260" s="12" t="s">
        <v>33</v>
      </c>
      <c r="C260" s="73"/>
      <c r="D260" s="7" t="s">
        <v>68</v>
      </c>
      <c r="E260" s="73"/>
      <c r="F260" s="134"/>
      <c r="G260" s="74">
        <f>$F243</f>
        <v>500</v>
      </c>
      <c r="H260" s="136">
        <f t="shared" si="27"/>
        <v>0</v>
      </c>
      <c r="I260" s="76"/>
      <c r="J260" s="132">
        <v>-4.58E-2</v>
      </c>
      <c r="K260" s="74">
        <f>$F243</f>
        <v>500</v>
      </c>
      <c r="L260" s="136">
        <f t="shared" si="28"/>
        <v>-22.9</v>
      </c>
      <c r="M260" s="76"/>
      <c r="N260" s="137">
        <f t="shared" si="29"/>
        <v>-22.9</v>
      </c>
      <c r="O260" s="79" t="str">
        <f t="shared" si="30"/>
        <v/>
      </c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</row>
    <row r="261" spans="1:63" x14ac:dyDescent="0.3">
      <c r="B261" s="12" t="s">
        <v>77</v>
      </c>
      <c r="C261" s="73"/>
      <c r="D261" s="7" t="s">
        <v>68</v>
      </c>
      <c r="E261" s="73"/>
      <c r="F261" s="134"/>
      <c r="G261" s="74">
        <f>$F243</f>
        <v>500</v>
      </c>
      <c r="H261" s="136">
        <f t="shared" si="27"/>
        <v>0</v>
      </c>
      <c r="I261" s="76"/>
      <c r="J261" s="132">
        <v>6.8199999999999997E-2</v>
      </c>
      <c r="K261" s="74">
        <f>$F243</f>
        <v>500</v>
      </c>
      <c r="L261" s="136">
        <f t="shared" si="28"/>
        <v>34.1</v>
      </c>
      <c r="M261" s="76"/>
      <c r="N261" s="137">
        <f t="shared" si="29"/>
        <v>34.1</v>
      </c>
      <c r="O261" s="79" t="str">
        <f t="shared" si="30"/>
        <v/>
      </c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</row>
    <row r="262" spans="1:63" x14ac:dyDescent="0.3">
      <c r="B262" s="12"/>
      <c r="C262" s="73"/>
      <c r="D262" s="7"/>
      <c r="E262" s="73"/>
      <c r="F262" s="131"/>
      <c r="G262" s="74">
        <f>$F243</f>
        <v>500</v>
      </c>
      <c r="H262" s="136">
        <f t="shared" si="27"/>
        <v>0</v>
      </c>
      <c r="I262" s="76"/>
      <c r="J262" s="131"/>
      <c r="K262" s="74">
        <f>$F243</f>
        <v>500</v>
      </c>
      <c r="L262" s="136">
        <f t="shared" si="28"/>
        <v>0</v>
      </c>
      <c r="M262" s="76"/>
      <c r="N262" s="137">
        <f t="shared" si="29"/>
        <v>0</v>
      </c>
      <c r="O262" s="79" t="str">
        <f t="shared" si="30"/>
        <v/>
      </c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</row>
    <row r="263" spans="1:63" x14ac:dyDescent="0.3">
      <c r="B263" s="12"/>
      <c r="C263" s="73"/>
      <c r="D263" s="7"/>
      <c r="E263" s="73"/>
      <c r="F263" s="131"/>
      <c r="G263" s="74">
        <f>$F243</f>
        <v>500</v>
      </c>
      <c r="H263" s="136">
        <f t="shared" si="27"/>
        <v>0</v>
      </c>
      <c r="I263" s="76"/>
      <c r="J263" s="131"/>
      <c r="K263" s="74">
        <f>$F243</f>
        <v>500</v>
      </c>
      <c r="L263" s="136">
        <f t="shared" si="28"/>
        <v>0</v>
      </c>
      <c r="M263" s="76"/>
      <c r="N263" s="137">
        <f t="shared" si="29"/>
        <v>0</v>
      </c>
      <c r="O263" s="79" t="str">
        <f t="shared" si="30"/>
        <v/>
      </c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</row>
    <row r="264" spans="1:63" s="4" customFormat="1" x14ac:dyDescent="0.3">
      <c r="A264" s="60"/>
      <c r="B264" s="19" t="s">
        <v>34</v>
      </c>
      <c r="C264" s="20"/>
      <c r="D264" s="20"/>
      <c r="E264" s="20"/>
      <c r="F264" s="21"/>
      <c r="G264" s="22"/>
      <c r="H264" s="23">
        <f>SUM(H248:H263)</f>
        <v>2061.2000000000003</v>
      </c>
      <c r="I264" s="13"/>
      <c r="J264" s="14"/>
      <c r="K264" s="24"/>
      <c r="L264" s="23">
        <f>SUM(L248:L263)</f>
        <v>2627.17</v>
      </c>
      <c r="M264" s="13"/>
      <c r="N264" s="15">
        <f t="shared" si="29"/>
        <v>565.9699999999998</v>
      </c>
      <c r="O264" s="16">
        <f t="shared" si="30"/>
        <v>0.27458276732000764</v>
      </c>
      <c r="P264" s="60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</row>
    <row r="265" spans="1:63" x14ac:dyDescent="0.3">
      <c r="B265" s="17" t="s">
        <v>35</v>
      </c>
      <c r="C265" s="73"/>
      <c r="D265" s="7" t="s">
        <v>68</v>
      </c>
      <c r="E265" s="73"/>
      <c r="F265" s="135">
        <v>9.5299999999999996E-2</v>
      </c>
      <c r="G265" s="74">
        <f>$F243</f>
        <v>500</v>
      </c>
      <c r="H265" s="136">
        <f t="shared" ref="H265:H271" si="31">G265*F265</f>
        <v>47.65</v>
      </c>
      <c r="I265" s="76"/>
      <c r="J265" s="135">
        <v>-0.52969999999999995</v>
      </c>
      <c r="K265" s="74">
        <f>$F243</f>
        <v>500</v>
      </c>
      <c r="L265" s="136">
        <f t="shared" ref="L265:L271" si="32">K265*J265</f>
        <v>-264.84999999999997</v>
      </c>
      <c r="M265" s="76"/>
      <c r="N265" s="137">
        <f t="shared" si="29"/>
        <v>-312.49999999999994</v>
      </c>
      <c r="O265" s="79">
        <f t="shared" si="30"/>
        <v>-6.5582371458551929</v>
      </c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</row>
    <row r="266" spans="1:63" x14ac:dyDescent="0.3">
      <c r="B266" s="17"/>
      <c r="C266" s="73"/>
      <c r="D266" s="7"/>
      <c r="E266" s="73"/>
      <c r="F266" s="8"/>
      <c r="G266" s="74">
        <f>$F243</f>
        <v>500</v>
      </c>
      <c r="H266" s="136">
        <f t="shared" si="31"/>
        <v>0</v>
      </c>
      <c r="I266" s="82"/>
      <c r="J266" s="8"/>
      <c r="K266" s="74">
        <f>$F243</f>
        <v>500</v>
      </c>
      <c r="L266" s="136">
        <f t="shared" si="32"/>
        <v>0</v>
      </c>
      <c r="M266" s="83"/>
      <c r="N266" s="137">
        <f t="shared" si="29"/>
        <v>0</v>
      </c>
      <c r="O266" s="79" t="str">
        <f t="shared" si="30"/>
        <v/>
      </c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</row>
    <row r="267" spans="1:63" x14ac:dyDescent="0.3">
      <c r="B267" s="17"/>
      <c r="C267" s="73"/>
      <c r="D267" s="7"/>
      <c r="E267" s="73"/>
      <c r="F267" s="8"/>
      <c r="G267" s="74">
        <f>$F243</f>
        <v>500</v>
      </c>
      <c r="H267" s="136">
        <f t="shared" si="31"/>
        <v>0</v>
      </c>
      <c r="I267" s="82"/>
      <c r="J267" s="8"/>
      <c r="K267" s="74">
        <f>$F243</f>
        <v>500</v>
      </c>
      <c r="L267" s="136">
        <f t="shared" si="32"/>
        <v>0</v>
      </c>
      <c r="M267" s="83"/>
      <c r="N267" s="137">
        <f t="shared" si="29"/>
        <v>0</v>
      </c>
      <c r="O267" s="79" t="str">
        <f t="shared" si="30"/>
        <v/>
      </c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</row>
    <row r="268" spans="1:63" x14ac:dyDescent="0.3">
      <c r="B268" s="17"/>
      <c r="C268" s="73"/>
      <c r="D268" s="7"/>
      <c r="E268" s="73"/>
      <c r="F268" s="8"/>
      <c r="G268" s="74">
        <f>$F243</f>
        <v>500</v>
      </c>
      <c r="H268" s="136">
        <f t="shared" si="31"/>
        <v>0</v>
      </c>
      <c r="I268" s="82"/>
      <c r="J268" s="8"/>
      <c r="K268" s="74">
        <f>$F243</f>
        <v>500</v>
      </c>
      <c r="L268" s="136">
        <f t="shared" si="32"/>
        <v>0</v>
      </c>
      <c r="M268" s="83"/>
      <c r="N268" s="137">
        <f t="shared" si="29"/>
        <v>0</v>
      </c>
      <c r="O268" s="79" t="str">
        <f t="shared" si="30"/>
        <v/>
      </c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</row>
    <row r="269" spans="1:63" x14ac:dyDescent="0.3">
      <c r="B269" s="80" t="s">
        <v>36</v>
      </c>
      <c r="C269" s="73"/>
      <c r="D269" s="7" t="s">
        <v>68</v>
      </c>
      <c r="E269" s="73"/>
      <c r="F269" s="135">
        <v>6.3799999999999996E-2</v>
      </c>
      <c r="G269" s="74">
        <f>$F243</f>
        <v>500</v>
      </c>
      <c r="H269" s="136">
        <f t="shared" si="31"/>
        <v>31.9</v>
      </c>
      <c r="I269" s="76"/>
      <c r="J269" s="135">
        <v>0.1313</v>
      </c>
      <c r="K269" s="74">
        <f>$F243</f>
        <v>500</v>
      </c>
      <c r="L269" s="136">
        <f t="shared" si="32"/>
        <v>65.650000000000006</v>
      </c>
      <c r="M269" s="76"/>
      <c r="N269" s="137">
        <f t="shared" si="29"/>
        <v>33.750000000000007</v>
      </c>
      <c r="O269" s="79">
        <f t="shared" si="30"/>
        <v>1.0579937304075238</v>
      </c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</row>
    <row r="270" spans="1:63" x14ac:dyDescent="0.3">
      <c r="B270" s="80" t="s">
        <v>37</v>
      </c>
      <c r="C270" s="73"/>
      <c r="D270" s="7" t="s">
        <v>27</v>
      </c>
      <c r="E270" s="73"/>
      <c r="F270" s="138">
        <f>IF(ISBLANK(D241)=TRUE, 0, IF(D241="TOU", 0.64*$F280+0.18*$F281+0.18*$F282, IF(AND(D241="non-TOU", G284&gt;0), F284,F283)))</f>
        <v>8.7999999999999995E-2</v>
      </c>
      <c r="G270" s="18">
        <f>$F244*(1+$F299)-$F244</f>
        <v>7540</v>
      </c>
      <c r="H270" s="136">
        <f t="shared" si="31"/>
        <v>663.52</v>
      </c>
      <c r="I270" s="76"/>
      <c r="J270" s="138">
        <f>+F270</f>
        <v>8.7999999999999995E-2</v>
      </c>
      <c r="K270" s="18">
        <f>$F244*(1+$J299)-$F244</f>
        <v>7520.0000000000291</v>
      </c>
      <c r="L270" s="136">
        <f t="shared" si="32"/>
        <v>661.76000000000249</v>
      </c>
      <c r="M270" s="76"/>
      <c r="N270" s="137">
        <f t="shared" si="29"/>
        <v>-1.7599999999974898</v>
      </c>
      <c r="O270" s="79">
        <f t="shared" si="30"/>
        <v>-2.6525198938954211E-3</v>
      </c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</row>
    <row r="271" spans="1:63" x14ac:dyDescent="0.3">
      <c r="B271" s="80" t="s">
        <v>38</v>
      </c>
      <c r="C271" s="73"/>
      <c r="D271" s="7" t="s">
        <v>24</v>
      </c>
      <c r="E271" s="73"/>
      <c r="F271" s="138">
        <v>0</v>
      </c>
      <c r="G271" s="74">
        <v>1</v>
      </c>
      <c r="H271" s="136">
        <f t="shared" si="31"/>
        <v>0</v>
      </c>
      <c r="I271" s="76"/>
      <c r="J271" s="138"/>
      <c r="K271" s="81">
        <v>1</v>
      </c>
      <c r="L271" s="136">
        <f t="shared" si="32"/>
        <v>0</v>
      </c>
      <c r="M271" s="76"/>
      <c r="N271" s="137">
        <f t="shared" si="29"/>
        <v>0</v>
      </c>
      <c r="O271" s="79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</row>
    <row r="272" spans="1:63" s="4" customFormat="1" x14ac:dyDescent="0.3">
      <c r="A272" s="60"/>
      <c r="B272" s="19" t="s">
        <v>39</v>
      </c>
      <c r="C272" s="20"/>
      <c r="D272" s="20"/>
      <c r="E272" s="20"/>
      <c r="F272" s="21"/>
      <c r="G272" s="22"/>
      <c r="H272" s="23">
        <f>SUM(H265:H271)+H264</f>
        <v>2804.2700000000004</v>
      </c>
      <c r="I272" s="13"/>
      <c r="J272" s="22"/>
      <c r="K272" s="24"/>
      <c r="L272" s="23">
        <f>SUM(L265:L271)+L264</f>
        <v>3089.7300000000027</v>
      </c>
      <c r="M272" s="13"/>
      <c r="N272" s="15">
        <f t="shared" si="29"/>
        <v>285.46000000000231</v>
      </c>
      <c r="O272" s="16">
        <f t="shared" ref="O272:O284" si="33">IF((H272)=0,"",(N272/H272))</f>
        <v>0.10179476298644648</v>
      </c>
      <c r="P272" s="60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</row>
    <row r="273" spans="1:63" x14ac:dyDescent="0.3">
      <c r="B273" s="76" t="s">
        <v>40</v>
      </c>
      <c r="C273" s="76"/>
      <c r="D273" s="25" t="s">
        <v>68</v>
      </c>
      <c r="E273" s="76"/>
      <c r="F273" s="135">
        <v>2.7667000000000002</v>
      </c>
      <c r="G273" s="18">
        <f>F243*(1+F299)</f>
        <v>518.85</v>
      </c>
      <c r="H273" s="136">
        <f>G273*F273</f>
        <v>1435.5022950000002</v>
      </c>
      <c r="I273" s="76"/>
      <c r="J273" s="135">
        <v>2.6019999999999999</v>
      </c>
      <c r="K273" s="18">
        <f>F243*(1+J299)</f>
        <v>518.80000000000007</v>
      </c>
      <c r="L273" s="136">
        <f>K273*J273</f>
        <v>1349.9176000000002</v>
      </c>
      <c r="M273" s="76"/>
      <c r="N273" s="136">
        <f t="shared" si="29"/>
        <v>-85.584695000000011</v>
      </c>
      <c r="O273" s="79">
        <f t="shared" si="33"/>
        <v>-5.9620033557661427E-2</v>
      </c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</row>
    <row r="274" spans="1:63" x14ac:dyDescent="0.3">
      <c r="B274" s="85" t="s">
        <v>41</v>
      </c>
      <c r="C274" s="76"/>
      <c r="D274" s="25" t="s">
        <v>68</v>
      </c>
      <c r="E274" s="76"/>
      <c r="F274" s="135">
        <v>1.8766</v>
      </c>
      <c r="G274" s="18">
        <f>G273</f>
        <v>518.85</v>
      </c>
      <c r="H274" s="136">
        <f>G274*F274</f>
        <v>973.67391000000009</v>
      </c>
      <c r="I274" s="76"/>
      <c r="J274" s="135">
        <v>1.3172999999999999</v>
      </c>
      <c r="K274" s="18">
        <f>K273</f>
        <v>518.80000000000007</v>
      </c>
      <c r="L274" s="136">
        <f>K274*J274</f>
        <v>683.41524000000004</v>
      </c>
      <c r="M274" s="76"/>
      <c r="N274" s="136">
        <f t="shared" si="29"/>
        <v>-290.25867000000005</v>
      </c>
      <c r="O274" s="79">
        <f t="shared" si="33"/>
        <v>-0.29810665256502561</v>
      </c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</row>
    <row r="275" spans="1:63" s="4" customFormat="1" x14ac:dyDescent="0.3">
      <c r="A275" s="60"/>
      <c r="B275" s="19" t="s">
        <v>42</v>
      </c>
      <c r="C275" s="20"/>
      <c r="D275" s="20"/>
      <c r="E275" s="20"/>
      <c r="F275" s="21"/>
      <c r="G275" s="22"/>
      <c r="H275" s="23">
        <f>SUM(H272:H274)</f>
        <v>5213.4462050000011</v>
      </c>
      <c r="I275" s="13"/>
      <c r="J275" s="26"/>
      <c r="K275" s="22"/>
      <c r="L275" s="23">
        <f>SUM(L272:L274)</f>
        <v>5123.0628400000032</v>
      </c>
      <c r="M275" s="13"/>
      <c r="N275" s="15">
        <f t="shared" si="29"/>
        <v>-90.383364999997866</v>
      </c>
      <c r="O275" s="16">
        <f t="shared" si="33"/>
        <v>-1.733658724881728E-2</v>
      </c>
      <c r="P275" s="60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</row>
    <row r="276" spans="1:63" x14ac:dyDescent="0.3">
      <c r="B276" s="86" t="s">
        <v>43</v>
      </c>
      <c r="C276" s="73"/>
      <c r="D276" s="7" t="s">
        <v>27</v>
      </c>
      <c r="E276" s="73"/>
      <c r="F276" s="135">
        <v>4.4000000000000003E-3</v>
      </c>
      <c r="G276" s="18">
        <f>F244*(1+F299)</f>
        <v>207540</v>
      </c>
      <c r="H276" s="139">
        <f t="shared" ref="H276:H284" si="34">G276*F276</f>
        <v>913.17600000000004</v>
      </c>
      <c r="I276" s="76"/>
      <c r="J276" s="135">
        <f>+F276</f>
        <v>4.4000000000000003E-3</v>
      </c>
      <c r="K276" s="18">
        <f>F244*(1+J299)</f>
        <v>207520.00000000003</v>
      </c>
      <c r="L276" s="139">
        <f t="shared" ref="L276:L284" si="35">K276*J276</f>
        <v>913.08800000000019</v>
      </c>
      <c r="M276" s="76"/>
      <c r="N276" s="137">
        <f t="shared" si="29"/>
        <v>-8.7999999999851752E-2</v>
      </c>
      <c r="O276" s="87">
        <f t="shared" si="33"/>
        <v>-9.6366965404097069E-5</v>
      </c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</row>
    <row r="277" spans="1:63" x14ac:dyDescent="0.3">
      <c r="B277" s="86" t="s">
        <v>44</v>
      </c>
      <c r="C277" s="73"/>
      <c r="D277" s="7" t="s">
        <v>27</v>
      </c>
      <c r="E277" s="73"/>
      <c r="F277" s="135">
        <v>1.1999999999999999E-3</v>
      </c>
      <c r="G277" s="18">
        <f>+G276</f>
        <v>207540</v>
      </c>
      <c r="H277" s="139">
        <f t="shared" si="34"/>
        <v>249.04799999999997</v>
      </c>
      <c r="I277" s="76"/>
      <c r="J277" s="135">
        <f>+F277</f>
        <v>1.1999999999999999E-3</v>
      </c>
      <c r="K277" s="18">
        <f>+K276</f>
        <v>207520.00000000003</v>
      </c>
      <c r="L277" s="139">
        <f t="shared" si="35"/>
        <v>249.024</v>
      </c>
      <c r="M277" s="76"/>
      <c r="N277" s="137">
        <f t="shared" si="29"/>
        <v>-2.3999999999972488E-2</v>
      </c>
      <c r="O277" s="87">
        <f t="shared" si="33"/>
        <v>-9.6366965404148962E-5</v>
      </c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</row>
    <row r="278" spans="1:63" x14ac:dyDescent="0.3">
      <c r="B278" s="73" t="s">
        <v>45</v>
      </c>
      <c r="C278" s="73"/>
      <c r="D278" s="7" t="s">
        <v>24</v>
      </c>
      <c r="E278" s="73"/>
      <c r="F278" s="135">
        <v>0.25</v>
      </c>
      <c r="G278" s="81">
        <v>1</v>
      </c>
      <c r="H278" s="139">
        <f t="shared" si="34"/>
        <v>0.25</v>
      </c>
      <c r="I278" s="76"/>
      <c r="J278" s="135">
        <f>+F278</f>
        <v>0.25</v>
      </c>
      <c r="K278" s="77">
        <v>1</v>
      </c>
      <c r="L278" s="139">
        <f t="shared" si="35"/>
        <v>0.25</v>
      </c>
      <c r="M278" s="76"/>
      <c r="N278" s="137">
        <f t="shared" si="29"/>
        <v>0</v>
      </c>
      <c r="O278" s="87">
        <f t="shared" si="33"/>
        <v>0</v>
      </c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</row>
    <row r="279" spans="1:63" x14ac:dyDescent="0.3">
      <c r="B279" s="73" t="s">
        <v>46</v>
      </c>
      <c r="C279" s="73"/>
      <c r="D279" s="7" t="s">
        <v>27</v>
      </c>
      <c r="E279" s="73"/>
      <c r="F279" s="135">
        <v>7.0000000000000001E-3</v>
      </c>
      <c r="G279" s="84">
        <f>F244</f>
        <v>200000</v>
      </c>
      <c r="H279" s="139">
        <f t="shared" si="34"/>
        <v>1400</v>
      </c>
      <c r="I279" s="76"/>
      <c r="J279" s="135">
        <f>+F279</f>
        <v>7.0000000000000001E-3</v>
      </c>
      <c r="K279" s="77">
        <f>F244</f>
        <v>200000</v>
      </c>
      <c r="L279" s="139">
        <f t="shared" si="35"/>
        <v>1400</v>
      </c>
      <c r="M279" s="76"/>
      <c r="N279" s="137">
        <f t="shared" si="29"/>
        <v>0</v>
      </c>
      <c r="O279" s="87">
        <f t="shared" si="33"/>
        <v>0</v>
      </c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</row>
    <row r="280" spans="1:63" x14ac:dyDescent="0.3">
      <c r="B280" s="80" t="s">
        <v>47</v>
      </c>
      <c r="C280" s="73"/>
      <c r="D280" s="7" t="s">
        <v>27</v>
      </c>
      <c r="E280" s="73"/>
      <c r="F280" s="138">
        <v>6.7000000000000004E-2</v>
      </c>
      <c r="G280" s="27">
        <f>0.64*$F244</f>
        <v>128000</v>
      </c>
      <c r="H280" s="139">
        <f t="shared" si="34"/>
        <v>8576</v>
      </c>
      <c r="I280" s="76"/>
      <c r="J280" s="138">
        <v>6.7000000000000004E-2</v>
      </c>
      <c r="K280" s="28">
        <f>G280</f>
        <v>128000</v>
      </c>
      <c r="L280" s="139">
        <f t="shared" si="35"/>
        <v>8576</v>
      </c>
      <c r="M280" s="76"/>
      <c r="N280" s="137">
        <f t="shared" si="29"/>
        <v>0</v>
      </c>
      <c r="O280" s="87">
        <f t="shared" si="33"/>
        <v>0</v>
      </c>
      <c r="Q280" s="126"/>
      <c r="R280" s="126"/>
      <c r="S280" s="127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</row>
    <row r="281" spans="1:63" x14ac:dyDescent="0.3">
      <c r="B281" s="80" t="s">
        <v>48</v>
      </c>
      <c r="C281" s="73"/>
      <c r="D281" s="7" t="s">
        <v>27</v>
      </c>
      <c r="E281" s="73"/>
      <c r="F281" s="138">
        <v>0.104</v>
      </c>
      <c r="G281" s="27">
        <f>0.18*$F244</f>
        <v>36000</v>
      </c>
      <c r="H281" s="139">
        <f t="shared" si="34"/>
        <v>3744</v>
      </c>
      <c r="I281" s="76"/>
      <c r="J281" s="138">
        <v>0.104</v>
      </c>
      <c r="K281" s="28">
        <f>G281</f>
        <v>36000</v>
      </c>
      <c r="L281" s="139">
        <f t="shared" si="35"/>
        <v>3744</v>
      </c>
      <c r="M281" s="76"/>
      <c r="N281" s="137">
        <f t="shared" si="29"/>
        <v>0</v>
      </c>
      <c r="O281" s="87">
        <f t="shared" si="33"/>
        <v>0</v>
      </c>
      <c r="Q281" s="126"/>
      <c r="R281" s="126"/>
      <c r="S281" s="127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</row>
    <row r="282" spans="1:63" x14ac:dyDescent="0.3">
      <c r="B282" s="64" t="s">
        <v>49</v>
      </c>
      <c r="C282" s="73"/>
      <c r="D282" s="7" t="s">
        <v>27</v>
      </c>
      <c r="E282" s="73"/>
      <c r="F282" s="138">
        <v>0.124</v>
      </c>
      <c r="G282" s="27">
        <f>0.18*$F244</f>
        <v>36000</v>
      </c>
      <c r="H282" s="139">
        <f t="shared" si="34"/>
        <v>4464</v>
      </c>
      <c r="I282" s="76"/>
      <c r="J282" s="138">
        <v>0.124</v>
      </c>
      <c r="K282" s="28">
        <f>G282</f>
        <v>36000</v>
      </c>
      <c r="L282" s="139">
        <f t="shared" si="35"/>
        <v>4464</v>
      </c>
      <c r="M282" s="76"/>
      <c r="N282" s="137">
        <f t="shared" si="29"/>
        <v>0</v>
      </c>
      <c r="O282" s="87">
        <f t="shared" si="33"/>
        <v>0</v>
      </c>
      <c r="Q282" s="126"/>
      <c r="R282" s="126"/>
      <c r="S282" s="127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</row>
    <row r="283" spans="1:63" s="92" customFormat="1" x14ac:dyDescent="0.25">
      <c r="B283" s="89" t="s">
        <v>50</v>
      </c>
      <c r="C283" s="90"/>
      <c r="D283" s="29" t="s">
        <v>27</v>
      </c>
      <c r="E283" s="90"/>
      <c r="F283" s="138">
        <v>7.4999999999999997E-2</v>
      </c>
      <c r="G283" s="30">
        <f>IF(AND($T$1=1, F244&gt;=750), 750, IF(AND($T$1=1, AND(F244&lt;750, F244&gt;=0)), F244, IF(AND($T$1=2, F244&gt;=750), 750, IF(AND($T$1=2, AND(F244&lt;750, F244&gt;=0)), F244))))</f>
        <v>750</v>
      </c>
      <c r="H283" s="139">
        <f t="shared" si="34"/>
        <v>56.25</v>
      </c>
      <c r="I283" s="91"/>
      <c r="J283" s="138">
        <v>7.4999999999999997E-2</v>
      </c>
      <c r="K283" s="31">
        <f>G283</f>
        <v>750</v>
      </c>
      <c r="L283" s="139">
        <f t="shared" si="35"/>
        <v>56.25</v>
      </c>
      <c r="M283" s="91"/>
      <c r="N283" s="140">
        <f t="shared" si="29"/>
        <v>0</v>
      </c>
      <c r="O283" s="87">
        <f t="shared" si="33"/>
        <v>0</v>
      </c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</row>
    <row r="284" spans="1:63" s="92" customFormat="1" ht="15" thickBot="1" x14ac:dyDescent="0.3">
      <c r="B284" s="89" t="s">
        <v>51</v>
      </c>
      <c r="C284" s="90"/>
      <c r="D284" s="29" t="s">
        <v>27</v>
      </c>
      <c r="E284" s="90"/>
      <c r="F284" s="138">
        <v>8.7999999999999995E-2</v>
      </c>
      <c r="G284" s="30">
        <f>IF(AND($T$1=1, F244&gt;=750), F244-750, IF(AND($T$1=1, AND(F244&lt;750, F244&gt;=0)), 0, IF(AND($T$1=2, F244&gt;=750), F244-750, IF(AND($T$1=2, AND(F244&lt;750, F244&gt;=0)), 0))))</f>
        <v>199250</v>
      </c>
      <c r="H284" s="139">
        <f t="shared" si="34"/>
        <v>17534</v>
      </c>
      <c r="I284" s="91"/>
      <c r="J284" s="138">
        <v>8.7999999999999995E-2</v>
      </c>
      <c r="K284" s="31">
        <f>G284</f>
        <v>199250</v>
      </c>
      <c r="L284" s="139">
        <f t="shared" si="35"/>
        <v>17534</v>
      </c>
      <c r="M284" s="91"/>
      <c r="N284" s="140">
        <f t="shared" si="29"/>
        <v>0</v>
      </c>
      <c r="O284" s="87">
        <f t="shared" si="33"/>
        <v>0</v>
      </c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</row>
    <row r="285" spans="1:63" s="4" customFormat="1" ht="15" thickBot="1" x14ac:dyDescent="0.35">
      <c r="A285" s="60"/>
      <c r="B285" s="32"/>
      <c r="C285" s="33"/>
      <c r="D285" s="124"/>
      <c r="E285" s="33"/>
      <c r="F285" s="35"/>
      <c r="G285" s="36"/>
      <c r="H285" s="122"/>
      <c r="I285" s="123"/>
      <c r="J285" s="35"/>
      <c r="K285" s="39"/>
      <c r="L285" s="122"/>
      <c r="M285" s="123"/>
      <c r="N285" s="40"/>
      <c r="O285" s="41"/>
      <c r="P285" s="60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</row>
    <row r="286" spans="1:63" x14ac:dyDescent="0.3">
      <c r="B286" s="93" t="s">
        <v>52</v>
      </c>
      <c r="C286" s="73"/>
      <c r="D286" s="73"/>
      <c r="E286" s="73"/>
      <c r="F286" s="94"/>
      <c r="G286" s="95"/>
      <c r="H286" s="141">
        <f>SUM(H276:H282,H275)</f>
        <v>24559.920205000002</v>
      </c>
      <c r="I286" s="96"/>
      <c r="J286" s="97"/>
      <c r="K286" s="97"/>
      <c r="L286" s="144">
        <f>SUM(L276:L282,L275)</f>
        <v>24469.424840000003</v>
      </c>
      <c r="M286" s="145"/>
      <c r="N286" s="146">
        <f>L286-H286</f>
        <v>-90.495364999998856</v>
      </c>
      <c r="O286" s="98">
        <f>IF((H286)=0,"",(N286/H286))</f>
        <v>-3.6846766701455107E-3</v>
      </c>
      <c r="Q286" s="126"/>
      <c r="R286" s="126"/>
      <c r="S286" s="127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</row>
    <row r="287" spans="1:63" x14ac:dyDescent="0.3">
      <c r="B287" s="99" t="s">
        <v>53</v>
      </c>
      <c r="C287" s="73"/>
      <c r="D287" s="73"/>
      <c r="E287" s="73"/>
      <c r="F287" s="100">
        <v>0.13</v>
      </c>
      <c r="G287" s="101"/>
      <c r="H287" s="142">
        <f>H286*F287</f>
        <v>3192.7896266500002</v>
      </c>
      <c r="I287" s="102"/>
      <c r="J287" s="103">
        <v>0.13</v>
      </c>
      <c r="K287" s="102"/>
      <c r="L287" s="147">
        <f>L286*J287</f>
        <v>3181.0252292000005</v>
      </c>
      <c r="M287" s="148"/>
      <c r="N287" s="149">
        <f>L287-H287</f>
        <v>-11.764397449999706</v>
      </c>
      <c r="O287" s="104">
        <f>IF((H287)=0,"",(N287/H287))</f>
        <v>-3.6846766701454652E-3</v>
      </c>
      <c r="Q287" s="126"/>
      <c r="R287" s="126"/>
      <c r="S287" s="127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</row>
    <row r="288" spans="1:63" x14ac:dyDescent="0.3">
      <c r="B288" s="105" t="s">
        <v>54</v>
      </c>
      <c r="C288" s="73"/>
      <c r="D288" s="73"/>
      <c r="E288" s="73"/>
      <c r="F288" s="106"/>
      <c r="G288" s="101"/>
      <c r="H288" s="142">
        <f>H286+H287</f>
        <v>27752.709831650001</v>
      </c>
      <c r="I288" s="102"/>
      <c r="J288" s="102"/>
      <c r="K288" s="102"/>
      <c r="L288" s="147">
        <f>L286+L287</f>
        <v>27650.450069200004</v>
      </c>
      <c r="M288" s="148"/>
      <c r="N288" s="149">
        <f>L288-H288</f>
        <v>-102.25976244999765</v>
      </c>
      <c r="O288" s="104">
        <f>IF((H288)=0,"",(N288/H288))</f>
        <v>-3.684676670145473E-3</v>
      </c>
      <c r="Q288" s="126"/>
      <c r="R288" s="126"/>
      <c r="S288" s="127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</row>
    <row r="289" spans="1:63" ht="14.4" customHeight="1" x14ac:dyDescent="0.3">
      <c r="B289" s="172" t="s">
        <v>55</v>
      </c>
      <c r="C289" s="172"/>
      <c r="D289" s="172"/>
      <c r="E289" s="73"/>
      <c r="F289" s="106"/>
      <c r="G289" s="101"/>
      <c r="H289" s="143">
        <v>0</v>
      </c>
      <c r="I289" s="102"/>
      <c r="J289" s="102"/>
      <c r="K289" s="102"/>
      <c r="L289" s="150">
        <v>0</v>
      </c>
      <c r="M289" s="148"/>
      <c r="N289" s="151">
        <f>L289-H289</f>
        <v>0</v>
      </c>
      <c r="O289" s="107" t="str">
        <f>IF((H289)=0,"",(N289/H289))</f>
        <v/>
      </c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</row>
    <row r="290" spans="1:63" s="4" customFormat="1" ht="15" thickBot="1" x14ac:dyDescent="0.35">
      <c r="A290" s="60"/>
      <c r="B290" s="173" t="s">
        <v>56</v>
      </c>
      <c r="C290" s="173"/>
      <c r="D290" s="173"/>
      <c r="E290" s="42"/>
      <c r="F290" s="43"/>
      <c r="G290" s="44"/>
      <c r="H290" s="45">
        <f>H288+H289</f>
        <v>27752.709831650001</v>
      </c>
      <c r="I290" s="46"/>
      <c r="J290" s="46"/>
      <c r="K290" s="46"/>
      <c r="L290" s="47">
        <f>L288+L289</f>
        <v>27650.450069200004</v>
      </c>
      <c r="M290" s="48"/>
      <c r="N290" s="49">
        <f>L290-H290</f>
        <v>-102.25976244999765</v>
      </c>
      <c r="O290" s="50">
        <f>IF((H290)=0,"",(N290/H290))</f>
        <v>-3.684676670145473E-3</v>
      </c>
      <c r="P290" s="60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</row>
    <row r="291" spans="1:63" s="4" customFormat="1" ht="15" thickBot="1" x14ac:dyDescent="0.35">
      <c r="A291" s="60"/>
      <c r="B291" s="32"/>
      <c r="C291" s="33"/>
      <c r="D291" s="34"/>
      <c r="E291" s="33"/>
      <c r="F291" s="35"/>
      <c r="G291" s="36"/>
      <c r="H291" s="37"/>
      <c r="I291" s="38"/>
      <c r="J291" s="35"/>
      <c r="K291" s="39"/>
      <c r="L291" s="37"/>
      <c r="M291" s="123"/>
      <c r="N291" s="40"/>
      <c r="O291" s="41"/>
      <c r="P291" s="60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</row>
    <row r="292" spans="1:63" s="92" customFormat="1" ht="13.2" x14ac:dyDescent="0.25">
      <c r="B292" s="108" t="s">
        <v>57</v>
      </c>
      <c r="C292" s="90"/>
      <c r="D292" s="90"/>
      <c r="E292" s="90"/>
      <c r="F292" s="109"/>
      <c r="G292" s="110"/>
      <c r="H292" s="152">
        <f>SUM(H283:H284,H275,H276:H279)</f>
        <v>25366.170204999999</v>
      </c>
      <c r="I292" s="111"/>
      <c r="J292" s="112"/>
      <c r="K292" s="112"/>
      <c r="L292" s="155">
        <f>SUM(L283:L284,L275,L276:L279)</f>
        <v>25275.674840000003</v>
      </c>
      <c r="M292" s="156"/>
      <c r="N292" s="157">
        <f>L292-H292</f>
        <v>-90.495364999995218</v>
      </c>
      <c r="O292" s="98">
        <f>IF((H292)=0,"",(N292/H292))</f>
        <v>-3.5675612151398958E-3</v>
      </c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63" s="92" customFormat="1" ht="13.2" x14ac:dyDescent="0.25">
      <c r="B293" s="113" t="s">
        <v>53</v>
      </c>
      <c r="C293" s="90"/>
      <c r="D293" s="90"/>
      <c r="E293" s="90"/>
      <c r="F293" s="114">
        <v>0.13</v>
      </c>
      <c r="G293" s="110"/>
      <c r="H293" s="153">
        <f>H292*F293</f>
        <v>3297.6021266499997</v>
      </c>
      <c r="I293" s="115"/>
      <c r="J293" s="116">
        <v>0.13</v>
      </c>
      <c r="K293" s="117"/>
      <c r="L293" s="158">
        <f>L292*J293</f>
        <v>3285.8377292000005</v>
      </c>
      <c r="M293" s="159"/>
      <c r="N293" s="160">
        <f>L293-H293</f>
        <v>-11.764397449999251</v>
      </c>
      <c r="O293" s="104">
        <f>IF((H293)=0,"",(N293/H293))</f>
        <v>-3.5675612151398572E-3</v>
      </c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63" s="92" customFormat="1" ht="13.2" x14ac:dyDescent="0.25">
      <c r="B294" s="118" t="s">
        <v>54</v>
      </c>
      <c r="C294" s="90"/>
      <c r="D294" s="90"/>
      <c r="E294" s="90"/>
      <c r="F294" s="119"/>
      <c r="G294" s="120"/>
      <c r="H294" s="153">
        <f>H292+H293</f>
        <v>28663.772331649998</v>
      </c>
      <c r="I294" s="115"/>
      <c r="J294" s="115"/>
      <c r="K294" s="115"/>
      <c r="L294" s="158">
        <f>L292+L293</f>
        <v>28561.512569200004</v>
      </c>
      <c r="M294" s="159"/>
      <c r="N294" s="160">
        <f>L294-H294</f>
        <v>-102.25976244999401</v>
      </c>
      <c r="O294" s="104">
        <f>IF((H294)=0,"",(N294/H294))</f>
        <v>-3.5675612151398759E-3</v>
      </c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</row>
    <row r="295" spans="1:63" s="92" customFormat="1" ht="13.2" customHeight="1" x14ac:dyDescent="0.25">
      <c r="B295" s="174" t="s">
        <v>55</v>
      </c>
      <c r="C295" s="174"/>
      <c r="D295" s="174"/>
      <c r="E295" s="90"/>
      <c r="F295" s="119"/>
      <c r="G295" s="120"/>
      <c r="H295" s="154">
        <v>0</v>
      </c>
      <c r="I295" s="115"/>
      <c r="J295" s="115"/>
      <c r="K295" s="115"/>
      <c r="L295" s="161">
        <v>0</v>
      </c>
      <c r="M295" s="159"/>
      <c r="N295" s="162">
        <f>L295-H295</f>
        <v>0</v>
      </c>
      <c r="O295" s="107" t="str">
        <f>IF((H295)=0,"",(N295/H295))</f>
        <v/>
      </c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</row>
    <row r="296" spans="1:63" s="4" customFormat="1" ht="15" thickBot="1" x14ac:dyDescent="0.35">
      <c r="A296" s="60"/>
      <c r="B296" s="173" t="s">
        <v>58</v>
      </c>
      <c r="C296" s="173"/>
      <c r="D296" s="173"/>
      <c r="E296" s="42"/>
      <c r="F296" s="43"/>
      <c r="G296" s="44"/>
      <c r="H296" s="45">
        <f>SUM(H294:H295)</f>
        <v>28663.772331649998</v>
      </c>
      <c r="I296" s="46"/>
      <c r="J296" s="46"/>
      <c r="K296" s="46"/>
      <c r="L296" s="47">
        <f>SUM(L294:L295)</f>
        <v>28561.512569200004</v>
      </c>
      <c r="M296" s="48"/>
      <c r="N296" s="49">
        <f>L296-H296</f>
        <v>-102.25976244999401</v>
      </c>
      <c r="O296" s="50">
        <f>IF((H296)=0,"",(N296/H296))</f>
        <v>-3.5675612151398759E-3</v>
      </c>
      <c r="P296" s="60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</row>
    <row r="297" spans="1:63" s="4" customFormat="1" ht="15" thickBot="1" x14ac:dyDescent="0.35">
      <c r="A297" s="60"/>
      <c r="B297" s="32"/>
      <c r="C297" s="33"/>
      <c r="D297" s="34"/>
      <c r="E297" s="33"/>
      <c r="F297" s="35"/>
      <c r="G297" s="36"/>
      <c r="H297" s="122"/>
      <c r="I297" s="123"/>
      <c r="J297" s="35"/>
      <c r="K297" s="39"/>
      <c r="L297" s="37"/>
      <c r="M297" s="123"/>
      <c r="N297" s="40"/>
      <c r="O297" s="41"/>
      <c r="P297" s="60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</row>
    <row r="298" spans="1:63" x14ac:dyDescent="0.3">
      <c r="L298" s="88"/>
    </row>
    <row r="299" spans="1:63" x14ac:dyDescent="0.3">
      <c r="B299" s="65" t="s">
        <v>59</v>
      </c>
      <c r="F299" s="51">
        <v>3.7699999999999997E-2</v>
      </c>
      <c r="J299" s="51">
        <f>+Residential!$J$74</f>
        <v>3.7600000000000001E-2</v>
      </c>
    </row>
    <row r="301" spans="1:63" x14ac:dyDescent="0.3">
      <c r="L301" s="56"/>
      <c r="M301" s="56"/>
      <c r="N301" s="56"/>
      <c r="O301" s="56"/>
      <c r="P301" s="56"/>
    </row>
    <row r="302" spans="1:63" ht="16.2" x14ac:dyDescent="0.3">
      <c r="A302" s="121" t="s">
        <v>60</v>
      </c>
    </row>
    <row r="304" spans="1:63" x14ac:dyDescent="0.3">
      <c r="A304" s="60" t="s">
        <v>61</v>
      </c>
    </row>
    <row r="305" spans="1:2" x14ac:dyDescent="0.3">
      <c r="A305" s="60" t="s">
        <v>62</v>
      </c>
    </row>
    <row r="307" spans="1:2" x14ac:dyDescent="0.3">
      <c r="B307" s="60" t="s">
        <v>63</v>
      </c>
    </row>
  </sheetData>
  <mergeCells count="53">
    <mergeCell ref="B289:D289"/>
    <mergeCell ref="B290:D290"/>
    <mergeCell ref="B295:D295"/>
    <mergeCell ref="B296:D296"/>
    <mergeCell ref="F245:H245"/>
    <mergeCell ref="J245:L245"/>
    <mergeCell ref="N245:O245"/>
    <mergeCell ref="D246:D247"/>
    <mergeCell ref="N246:N247"/>
    <mergeCell ref="O246:O247"/>
    <mergeCell ref="B220:D220"/>
    <mergeCell ref="B221:D221"/>
    <mergeCell ref="B235:O235"/>
    <mergeCell ref="B236:O236"/>
    <mergeCell ref="D239:O239"/>
    <mergeCell ref="D96:D97"/>
    <mergeCell ref="N96:N97"/>
    <mergeCell ref="O96:O97"/>
    <mergeCell ref="B140:D140"/>
    <mergeCell ref="B139:D139"/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B85:O85"/>
    <mergeCell ref="D89:O89"/>
    <mergeCell ref="F95:H95"/>
    <mergeCell ref="J95:L95"/>
    <mergeCell ref="N95:O95"/>
    <mergeCell ref="B86:O86"/>
    <mergeCell ref="B145:D145"/>
    <mergeCell ref="B160:O160"/>
    <mergeCell ref="B161:O161"/>
    <mergeCell ref="D164:O164"/>
    <mergeCell ref="F170:H170"/>
    <mergeCell ref="J170:L170"/>
    <mergeCell ref="N170:O170"/>
    <mergeCell ref="B146:D146"/>
    <mergeCell ref="D171:D172"/>
    <mergeCell ref="N171:N172"/>
    <mergeCell ref="O171:O172"/>
    <mergeCell ref="B214:D214"/>
    <mergeCell ref="B215:D215"/>
  </mergeCells>
  <dataValidations count="3">
    <dataValidation type="list" allowBlank="1" showInputMessage="1" showErrorMessage="1" sqref="D16 D91 D166 D241">
      <formula1>"TOU, non-TOU"</formula1>
    </dataValidation>
    <dataValidation type="list" allowBlank="1" showInputMessage="1" showErrorMessage="1" sqref="E72 E66 E48:E49 E40:E46 E23:E38 E51:E60 E147 E141 E123:E124 E115:E121 E98:E113 E126:E135 E222 E216 E198:E199 E190:E196 E173:E188 E201:E210 E297 E291 E273:E274 E265:E271 E248:E263 E276:E285">
      <formula1>#REF!</formula1>
    </dataValidation>
    <dataValidation type="list" allowBlank="1" showInputMessage="1" showErrorMessage="1" prompt="Select Charge Unit - monthly, per kWh, per kW" sqref="D48:D49 D40:D46 D66 D23:D38 D72 D51:D60 D123:D124 D115:D121 D141 D98:D113 D147 D126:D135 D198:D199 D190:D196 D216 D173:D188 D222 D201:D210 D273:D274 D265:D271 D291 D248:D263 D297 D276:D285">
      <formula1>"Monthly, per kWh, per kW"</formula1>
    </dataValidation>
  </dataValidations>
  <pageMargins left="0.7" right="0.7" top="0.75" bottom="0.75" header="0.3" footer="0.3"/>
  <pageSetup scale="51" fitToHeight="0" orientation="portrait" r:id="rId1"/>
  <rowBreaks count="3" manualBreakCount="3">
    <brk id="84" max="15" man="1"/>
    <brk id="159" max="15" man="1"/>
    <brk id="23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68" r:id="rId4" name="Option Button 124">
              <controlPr defaultSize="0" autoFill="0" autoLine="0" autoPict="0">
                <anchor moveWithCells="1">
                  <from>
                    <xdr:col>5</xdr:col>
                    <xdr:colOff>632460</xdr:colOff>
                    <xdr:row>13</xdr:row>
                    <xdr:rowOff>182880</xdr:rowOff>
                  </from>
                  <to>
                    <xdr:col>8</xdr:col>
                    <xdr:colOff>22860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5" name="Option Button 128">
              <controlPr defaultSize="0" autoFill="0" autoLine="0" autoPict="0">
                <anchor moveWithCells="1">
                  <from>
                    <xdr:col>7</xdr:col>
                    <xdr:colOff>556260</xdr:colOff>
                    <xdr:row>14</xdr:row>
                    <xdr:rowOff>30480</xdr:rowOff>
                  </from>
                  <to>
                    <xdr:col>13</xdr:col>
                    <xdr:colOff>419100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307"/>
  <sheetViews>
    <sheetView view="pageBreakPreview" topLeftCell="D318" zoomScale="80" zoomScaleNormal="80" zoomScaleSheetLayoutView="80" workbookViewId="0">
      <selection activeCell="K351" sqref="K351"/>
    </sheetView>
  </sheetViews>
  <sheetFormatPr defaultColWidth="9.109375" defaultRowHeight="14.4" x14ac:dyDescent="0.3"/>
  <cols>
    <col min="1" max="1" width="4.44140625" style="60" customWidth="1"/>
    <col min="2" max="2" width="45.3320312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2.33203125" style="60" customWidth="1"/>
    <col min="9" max="9" width="2.88671875" style="60" customWidth="1"/>
    <col min="10" max="10" width="12.109375" style="60" customWidth="1"/>
    <col min="11" max="11" width="12" style="60" customWidth="1"/>
    <col min="12" max="12" width="12.554687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78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69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64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100</v>
      </c>
      <c r="G18" s="65" t="s">
        <v>65</v>
      </c>
    </row>
    <row r="19" spans="2:29" x14ac:dyDescent="0.3">
      <c r="B19" s="64"/>
      <c r="F19" s="6">
        <v>30000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118.45</v>
      </c>
      <c r="G23" s="74">
        <v>1</v>
      </c>
      <c r="H23" s="75">
        <f t="shared" ref="H23:H38" si="0">G23*F23</f>
        <v>118.45</v>
      </c>
      <c r="I23" s="76"/>
      <c r="J23" s="129">
        <v>158.52000000000001</v>
      </c>
      <c r="K23" s="77">
        <v>1</v>
      </c>
      <c r="L23" s="75">
        <f t="shared" ref="L23:L38" si="1">K23*J23</f>
        <v>158.52000000000001</v>
      </c>
      <c r="M23" s="76"/>
      <c r="N23" s="78">
        <f t="shared" ref="N23:N59" si="2">L23-H23</f>
        <v>40.070000000000007</v>
      </c>
      <c r="O23" s="79">
        <f t="shared" ref="O23:O45" si="3">IF((H23)=0,"",(N23/H23))</f>
        <v>0.33828619670747156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68</v>
      </c>
      <c r="E29" s="73"/>
      <c r="F29" s="135">
        <v>3.6776</v>
      </c>
      <c r="G29" s="74">
        <f>$F18</f>
        <v>100</v>
      </c>
      <c r="H29" s="136">
        <f t="shared" si="0"/>
        <v>367.76</v>
      </c>
      <c r="I29" s="76"/>
      <c r="J29" s="132">
        <v>4.9028</v>
      </c>
      <c r="K29" s="74">
        <f>$F18</f>
        <v>100</v>
      </c>
      <c r="L29" s="136">
        <f t="shared" si="1"/>
        <v>490.28000000000003</v>
      </c>
      <c r="M29" s="76"/>
      <c r="N29" s="137">
        <f t="shared" si="2"/>
        <v>122.52000000000004</v>
      </c>
      <c r="O29" s="79">
        <f t="shared" si="3"/>
        <v>0.3331520556884926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68</v>
      </c>
      <c r="E31" s="73"/>
      <c r="F31" s="135">
        <v>3.3E-3</v>
      </c>
      <c r="G31" s="74">
        <f>$F18</f>
        <v>100</v>
      </c>
      <c r="H31" s="136">
        <f t="shared" si="0"/>
        <v>0.33</v>
      </c>
      <c r="I31" s="76"/>
      <c r="J31" s="132">
        <v>1.21E-2</v>
      </c>
      <c r="K31" s="74">
        <f>$F18</f>
        <v>100</v>
      </c>
      <c r="L31" s="136">
        <f t="shared" si="1"/>
        <v>1.21</v>
      </c>
      <c r="M31" s="76"/>
      <c r="N31" s="137">
        <f t="shared" si="2"/>
        <v>0.87999999999999989</v>
      </c>
      <c r="O31" s="79">
        <f t="shared" si="3"/>
        <v>2.6666666666666661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68</v>
      </c>
      <c r="E32" s="73"/>
      <c r="F32" s="135">
        <v>0.25109999999999999</v>
      </c>
      <c r="G32" s="74">
        <f>$F18</f>
        <v>100</v>
      </c>
      <c r="H32" s="136">
        <f t="shared" si="0"/>
        <v>25.11</v>
      </c>
      <c r="I32" s="76"/>
      <c r="J32" s="132"/>
      <c r="K32" s="74">
        <f>$F18</f>
        <v>100</v>
      </c>
      <c r="L32" s="136">
        <f t="shared" si="1"/>
        <v>0</v>
      </c>
      <c r="M32" s="76"/>
      <c r="N32" s="137">
        <f t="shared" si="2"/>
        <v>-25.11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68</v>
      </c>
      <c r="E33" s="73"/>
      <c r="F33" s="135">
        <v>-4.65E-2</v>
      </c>
      <c r="G33" s="74">
        <f>$F18</f>
        <v>100</v>
      </c>
      <c r="H33" s="136">
        <f t="shared" si="0"/>
        <v>-4.6500000000000004</v>
      </c>
      <c r="I33" s="76"/>
      <c r="J33" s="132"/>
      <c r="K33" s="74">
        <f>$F18</f>
        <v>100</v>
      </c>
      <c r="L33" s="136">
        <f t="shared" si="1"/>
        <v>0</v>
      </c>
      <c r="M33" s="76"/>
      <c r="N33" s="137">
        <f t="shared" si="2"/>
        <v>4.6500000000000004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32</v>
      </c>
      <c r="C34" s="73"/>
      <c r="D34" s="7" t="s">
        <v>24</v>
      </c>
      <c r="E34" s="73"/>
      <c r="F34" s="135"/>
      <c r="G34" s="74">
        <v>1</v>
      </c>
      <c r="H34" s="136">
        <f t="shared" si="0"/>
        <v>0</v>
      </c>
      <c r="I34" s="76"/>
      <c r="J34" s="132"/>
      <c r="K34" s="74">
        <v>1</v>
      </c>
      <c r="L34" s="136">
        <f t="shared" si="1"/>
        <v>0</v>
      </c>
      <c r="M34" s="76"/>
      <c r="N34" s="137">
        <f t="shared" si="2"/>
        <v>0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">
        <v>33</v>
      </c>
      <c r="C35" s="73"/>
      <c r="D35" s="7" t="s">
        <v>68</v>
      </c>
      <c r="E35" s="73"/>
      <c r="F35" s="134"/>
      <c r="G35" s="74">
        <f>$F18</f>
        <v>100</v>
      </c>
      <c r="H35" s="136">
        <f t="shared" si="0"/>
        <v>0</v>
      </c>
      <c r="I35" s="76"/>
      <c r="J35" s="132">
        <v>-4.58E-2</v>
      </c>
      <c r="K35" s="74">
        <f>$F18</f>
        <v>100</v>
      </c>
      <c r="L35" s="136">
        <f t="shared" si="1"/>
        <v>-4.58</v>
      </c>
      <c r="M35" s="76"/>
      <c r="N35" s="137">
        <f t="shared" si="2"/>
        <v>-4.58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">
        <v>77</v>
      </c>
      <c r="C36" s="73"/>
      <c r="D36" s="7" t="s">
        <v>68</v>
      </c>
      <c r="E36" s="73"/>
      <c r="F36" s="134"/>
      <c r="G36" s="74">
        <f>$F18</f>
        <v>100</v>
      </c>
      <c r="H36" s="136">
        <f t="shared" si="0"/>
        <v>0</v>
      </c>
      <c r="I36" s="76"/>
      <c r="J36" s="132">
        <v>6.8199999999999997E-2</v>
      </c>
      <c r="K36" s="74">
        <f>$F18</f>
        <v>100</v>
      </c>
      <c r="L36" s="136">
        <f t="shared" si="1"/>
        <v>6.8199999999999994</v>
      </c>
      <c r="M36" s="76"/>
      <c r="N36" s="137">
        <f t="shared" si="2"/>
        <v>6.8199999999999994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>$F18</f>
        <v>100</v>
      </c>
      <c r="H37" s="136">
        <f t="shared" si="0"/>
        <v>0</v>
      </c>
      <c r="I37" s="76"/>
      <c r="J37" s="131"/>
      <c r="K37" s="74">
        <f>$F18</f>
        <v>100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100</v>
      </c>
      <c r="H38" s="136">
        <f t="shared" si="0"/>
        <v>0</v>
      </c>
      <c r="I38" s="76"/>
      <c r="J38" s="131"/>
      <c r="K38" s="74">
        <f>$F18</f>
        <v>100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34</v>
      </c>
      <c r="C39" s="20"/>
      <c r="D39" s="20"/>
      <c r="E39" s="20"/>
      <c r="F39" s="21"/>
      <c r="G39" s="22"/>
      <c r="H39" s="23">
        <f>SUM(H23:H38)</f>
        <v>507</v>
      </c>
      <c r="I39" s="13"/>
      <c r="J39" s="14"/>
      <c r="K39" s="24"/>
      <c r="L39" s="23">
        <f>SUM(L23:L38)</f>
        <v>652.25000000000011</v>
      </c>
      <c r="M39" s="13"/>
      <c r="N39" s="15">
        <f t="shared" si="2"/>
        <v>145.25000000000011</v>
      </c>
      <c r="O39" s="16">
        <f t="shared" si="3"/>
        <v>0.2864891518737675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35</v>
      </c>
      <c r="C40" s="73"/>
      <c r="D40" s="7" t="s">
        <v>68</v>
      </c>
      <c r="E40" s="73"/>
      <c r="F40" s="135">
        <v>9.5299999999999996E-2</v>
      </c>
      <c r="G40" s="74">
        <f>$F18</f>
        <v>100</v>
      </c>
      <c r="H40" s="136">
        <f t="shared" ref="H40:H46" si="4">G40*F40</f>
        <v>9.5299999999999994</v>
      </c>
      <c r="I40" s="76"/>
      <c r="J40" s="135">
        <v>-0.52969999999999995</v>
      </c>
      <c r="K40" s="74">
        <f>$F18</f>
        <v>100</v>
      </c>
      <c r="L40" s="136">
        <f t="shared" ref="L40:L46" si="5">K40*J40</f>
        <v>-52.969999999999992</v>
      </c>
      <c r="M40" s="76"/>
      <c r="N40" s="137">
        <f t="shared" si="2"/>
        <v>-62.499999999999993</v>
      </c>
      <c r="O40" s="79">
        <f t="shared" si="3"/>
        <v>-6.5582371458551938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100</v>
      </c>
      <c r="H41" s="136">
        <f t="shared" si="4"/>
        <v>0</v>
      </c>
      <c r="I41" s="82"/>
      <c r="J41" s="8"/>
      <c r="K41" s="74">
        <f>$F18</f>
        <v>100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100</v>
      </c>
      <c r="H42" s="136">
        <f t="shared" si="4"/>
        <v>0</v>
      </c>
      <c r="I42" s="82"/>
      <c r="J42" s="8"/>
      <c r="K42" s="74">
        <f>$F18</f>
        <v>100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100</v>
      </c>
      <c r="H43" s="136">
        <f t="shared" si="4"/>
        <v>0</v>
      </c>
      <c r="I43" s="82"/>
      <c r="J43" s="8"/>
      <c r="K43" s="74">
        <f>$F18</f>
        <v>100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36</v>
      </c>
      <c r="C44" s="73"/>
      <c r="D44" s="7" t="s">
        <v>68</v>
      </c>
      <c r="E44" s="73"/>
      <c r="F44" s="135">
        <v>6.3799999999999996E-2</v>
      </c>
      <c r="G44" s="74">
        <f>$F18</f>
        <v>100</v>
      </c>
      <c r="H44" s="136">
        <f t="shared" si="4"/>
        <v>6.38</v>
      </c>
      <c r="I44" s="76"/>
      <c r="J44" s="135">
        <v>0.1313</v>
      </c>
      <c r="K44" s="74">
        <f>$F18</f>
        <v>100</v>
      </c>
      <c r="L44" s="136">
        <f t="shared" si="5"/>
        <v>13.13</v>
      </c>
      <c r="M44" s="76"/>
      <c r="N44" s="137">
        <f t="shared" si="2"/>
        <v>6.7500000000000009</v>
      </c>
      <c r="O44" s="79">
        <f t="shared" si="3"/>
        <v>1.0579937304075238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37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8.7999999999999995E-2</v>
      </c>
      <c r="G45" s="18">
        <f>$F19*(1+$F74)-$F19</f>
        <v>1131.0000000000036</v>
      </c>
      <c r="H45" s="136">
        <f t="shared" si="4"/>
        <v>99.528000000000318</v>
      </c>
      <c r="I45" s="76"/>
      <c r="J45" s="138">
        <f>+F45</f>
        <v>8.7999999999999995E-2</v>
      </c>
      <c r="K45" s="18">
        <f>$F19*(1+$J74)-$F19</f>
        <v>1128.0000000000036</v>
      </c>
      <c r="L45" s="136">
        <f t="shared" si="5"/>
        <v>99.264000000000308</v>
      </c>
      <c r="M45" s="76"/>
      <c r="N45" s="137">
        <f t="shared" si="2"/>
        <v>-0.26400000000001</v>
      </c>
      <c r="O45" s="79">
        <f t="shared" si="3"/>
        <v>-2.6525198938992965E-3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38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4"/>
        <v>0</v>
      </c>
      <c r="I46" s="76"/>
      <c r="J46" s="138"/>
      <c r="K46" s="81">
        <v>1</v>
      </c>
      <c r="L46" s="136">
        <f t="shared" si="5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39</v>
      </c>
      <c r="C47" s="20"/>
      <c r="D47" s="20"/>
      <c r="E47" s="20"/>
      <c r="F47" s="21"/>
      <c r="G47" s="22"/>
      <c r="H47" s="23">
        <f>SUM(H40:H46)+H39</f>
        <v>622.43800000000033</v>
      </c>
      <c r="I47" s="13"/>
      <c r="J47" s="22"/>
      <c r="K47" s="24"/>
      <c r="L47" s="23">
        <f>SUM(L40:L46)+L39</f>
        <v>711.67400000000043</v>
      </c>
      <c r="M47" s="13"/>
      <c r="N47" s="15">
        <f t="shared" si="2"/>
        <v>89.236000000000104</v>
      </c>
      <c r="O47" s="16">
        <f t="shared" ref="O47:O59" si="6">IF((H47)=0,"",(N47/H47))</f>
        <v>0.14336528296794229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40</v>
      </c>
      <c r="C48" s="76"/>
      <c r="D48" s="25" t="s">
        <v>68</v>
      </c>
      <c r="E48" s="76"/>
      <c r="F48" s="135">
        <v>2.8561000000000001</v>
      </c>
      <c r="G48" s="18">
        <f>F18*(1+F74)</f>
        <v>103.77000000000001</v>
      </c>
      <c r="H48" s="136">
        <f>G48*F48</f>
        <v>296.37749700000006</v>
      </c>
      <c r="I48" s="76"/>
      <c r="J48" s="135">
        <v>2.6861000000000002</v>
      </c>
      <c r="K48" s="18">
        <f>F18*(1+J74)</f>
        <v>103.76</v>
      </c>
      <c r="L48" s="136">
        <f>K48*J48</f>
        <v>278.70973600000002</v>
      </c>
      <c r="M48" s="76"/>
      <c r="N48" s="136">
        <f t="shared" si="2"/>
        <v>-17.667761000000041</v>
      </c>
      <c r="O48" s="79">
        <f t="shared" si="6"/>
        <v>-5.9612356467130964E-2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41</v>
      </c>
      <c r="C49" s="76"/>
      <c r="D49" s="25" t="s">
        <v>68</v>
      </c>
      <c r="E49" s="76"/>
      <c r="F49" s="135">
        <v>1.9374</v>
      </c>
      <c r="G49" s="18">
        <f>G48</f>
        <v>103.77000000000001</v>
      </c>
      <c r="H49" s="136">
        <f>G49*F49</f>
        <v>201.04399800000002</v>
      </c>
      <c r="I49" s="76"/>
      <c r="J49" s="135">
        <v>1.36</v>
      </c>
      <c r="K49" s="18">
        <f>K48</f>
        <v>103.76</v>
      </c>
      <c r="L49" s="136">
        <f>K49*J49</f>
        <v>141.11360000000002</v>
      </c>
      <c r="M49" s="76"/>
      <c r="N49" s="136">
        <f t="shared" si="2"/>
        <v>-59.930397999999997</v>
      </c>
      <c r="O49" s="79">
        <f t="shared" si="6"/>
        <v>-0.29809593221479802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42</v>
      </c>
      <c r="C50" s="20"/>
      <c r="D50" s="20"/>
      <c r="E50" s="20"/>
      <c r="F50" s="21"/>
      <c r="G50" s="22"/>
      <c r="H50" s="23">
        <f>SUM(H47:H49)</f>
        <v>1119.8594950000004</v>
      </c>
      <c r="I50" s="13"/>
      <c r="J50" s="26"/>
      <c r="K50" s="22"/>
      <c r="L50" s="23">
        <f>SUM(L47:L49)</f>
        <v>1131.4973360000004</v>
      </c>
      <c r="M50" s="13"/>
      <c r="N50" s="15">
        <f t="shared" si="2"/>
        <v>11.63784099999998</v>
      </c>
      <c r="O50" s="16">
        <f t="shared" si="6"/>
        <v>1.0392233179216805E-2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43</v>
      </c>
      <c r="C51" s="73"/>
      <c r="D51" s="7" t="s">
        <v>27</v>
      </c>
      <c r="E51" s="73"/>
      <c r="F51" s="135">
        <v>4.4000000000000003E-3</v>
      </c>
      <c r="G51" s="18">
        <f>F19*(1+F74)</f>
        <v>31131.000000000004</v>
      </c>
      <c r="H51" s="139">
        <f t="shared" ref="H51:H59" si="7">G51*F51</f>
        <v>136.97640000000001</v>
      </c>
      <c r="I51" s="76"/>
      <c r="J51" s="135">
        <f>+F51</f>
        <v>4.4000000000000003E-3</v>
      </c>
      <c r="K51" s="18">
        <f>F19*(1+J74)</f>
        <v>31128.000000000004</v>
      </c>
      <c r="L51" s="139">
        <f t="shared" ref="L51:L59" si="8">K51*J51</f>
        <v>136.96320000000003</v>
      </c>
      <c r="M51" s="76"/>
      <c r="N51" s="137">
        <f t="shared" si="2"/>
        <v>-1.3199999999983447E-2</v>
      </c>
      <c r="O51" s="87">
        <f t="shared" si="6"/>
        <v>-9.6366965404138567E-5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44</v>
      </c>
      <c r="C52" s="73"/>
      <c r="D52" s="7" t="s">
        <v>27</v>
      </c>
      <c r="E52" s="73"/>
      <c r="F52" s="135">
        <v>1.1999999999999999E-3</v>
      </c>
      <c r="G52" s="18">
        <f>+G51</f>
        <v>31131.000000000004</v>
      </c>
      <c r="H52" s="139">
        <f t="shared" si="7"/>
        <v>37.357199999999999</v>
      </c>
      <c r="I52" s="76"/>
      <c r="J52" s="135">
        <f>+F52</f>
        <v>1.1999999999999999E-3</v>
      </c>
      <c r="K52" s="18">
        <f>+K51</f>
        <v>31128.000000000004</v>
      </c>
      <c r="L52" s="139">
        <f t="shared" si="8"/>
        <v>37.3536</v>
      </c>
      <c r="M52" s="76"/>
      <c r="N52" s="137">
        <f t="shared" si="2"/>
        <v>-3.5999999999987153E-3</v>
      </c>
      <c r="O52" s="87">
        <f t="shared" si="6"/>
        <v>-9.6366965404225032E-5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45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46</v>
      </c>
      <c r="C54" s="73"/>
      <c r="D54" s="7" t="s">
        <v>27</v>
      </c>
      <c r="E54" s="73"/>
      <c r="F54" s="135">
        <v>7.0000000000000001E-3</v>
      </c>
      <c r="G54" s="84">
        <f>F19</f>
        <v>30000</v>
      </c>
      <c r="H54" s="139">
        <f t="shared" si="7"/>
        <v>210</v>
      </c>
      <c r="I54" s="76"/>
      <c r="J54" s="135">
        <f>+F54</f>
        <v>7.0000000000000001E-3</v>
      </c>
      <c r="K54" s="77">
        <f>F19</f>
        <v>30000</v>
      </c>
      <c r="L54" s="139">
        <f t="shared" si="8"/>
        <v>210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47</v>
      </c>
      <c r="C55" s="73"/>
      <c r="D55" s="7" t="s">
        <v>27</v>
      </c>
      <c r="E55" s="73"/>
      <c r="F55" s="138">
        <v>6.7000000000000004E-2</v>
      </c>
      <c r="G55" s="27">
        <f>0.64*$F19</f>
        <v>19200</v>
      </c>
      <c r="H55" s="139">
        <f t="shared" si="7"/>
        <v>1286.4000000000001</v>
      </c>
      <c r="I55" s="76"/>
      <c r="J55" s="138">
        <v>6.7000000000000004E-2</v>
      </c>
      <c r="K55" s="28">
        <f>G55</f>
        <v>19200</v>
      </c>
      <c r="L55" s="139">
        <f t="shared" si="8"/>
        <v>1286.4000000000001</v>
      </c>
      <c r="M55" s="76"/>
      <c r="N55" s="137">
        <f t="shared" si="2"/>
        <v>0</v>
      </c>
      <c r="O55" s="87">
        <f t="shared" si="6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48</v>
      </c>
      <c r="C56" s="73"/>
      <c r="D56" s="7" t="s">
        <v>27</v>
      </c>
      <c r="E56" s="73"/>
      <c r="F56" s="138">
        <v>0.104</v>
      </c>
      <c r="G56" s="27">
        <f>0.18*$F19</f>
        <v>5400</v>
      </c>
      <c r="H56" s="139">
        <f t="shared" si="7"/>
        <v>561.6</v>
      </c>
      <c r="I56" s="76"/>
      <c r="J56" s="138">
        <v>0.104</v>
      </c>
      <c r="K56" s="28">
        <f>G56</f>
        <v>5400</v>
      </c>
      <c r="L56" s="139">
        <f t="shared" si="8"/>
        <v>561.6</v>
      </c>
      <c r="M56" s="76"/>
      <c r="N56" s="137">
        <f t="shared" si="2"/>
        <v>0</v>
      </c>
      <c r="O56" s="87">
        <f t="shared" si="6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49</v>
      </c>
      <c r="C57" s="73"/>
      <c r="D57" s="7" t="s">
        <v>27</v>
      </c>
      <c r="E57" s="73"/>
      <c r="F57" s="138">
        <v>0.124</v>
      </c>
      <c r="G57" s="27">
        <f>0.18*$F19</f>
        <v>5400</v>
      </c>
      <c r="H57" s="139">
        <f t="shared" si="7"/>
        <v>669.6</v>
      </c>
      <c r="I57" s="76"/>
      <c r="J57" s="138">
        <v>0.124</v>
      </c>
      <c r="K57" s="28">
        <f>G57</f>
        <v>5400</v>
      </c>
      <c r="L57" s="139">
        <f t="shared" si="8"/>
        <v>669.6</v>
      </c>
      <c r="M57" s="76"/>
      <c r="N57" s="137">
        <f t="shared" si="2"/>
        <v>0</v>
      </c>
      <c r="O57" s="87">
        <f t="shared" si="6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50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</f>
        <v>750</v>
      </c>
      <c r="H58" s="139">
        <f t="shared" si="7"/>
        <v>56.25</v>
      </c>
      <c r="I58" s="91"/>
      <c r="J58" s="138">
        <v>7.4999999999999997E-2</v>
      </c>
      <c r="K58" s="31">
        <f>G58</f>
        <v>750</v>
      </c>
      <c r="L58" s="139">
        <f t="shared" si="8"/>
        <v>56.25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51</v>
      </c>
      <c r="C59" s="90"/>
      <c r="D59" s="29" t="s">
        <v>27</v>
      </c>
      <c r="E59" s="90"/>
      <c r="F59" s="138">
        <v>8.7999999999999995E-2</v>
      </c>
      <c r="G59" s="30">
        <f>IF(AND($T$1=1, F19&gt;=750), F19-750, IF(AND($T$1=1, AND(F19&lt;750, F19&gt;=0)), 0, IF(AND($T$1=2, F19&gt;=750), F19-750, IF(AND($T$1=2, AND(F19&lt;750, F19&gt;=0)), 0))))</f>
        <v>29250</v>
      </c>
      <c r="H59" s="139">
        <f t="shared" si="7"/>
        <v>2574</v>
      </c>
      <c r="I59" s="91"/>
      <c r="J59" s="138">
        <v>8.7999999999999995E-2</v>
      </c>
      <c r="K59" s="31">
        <f>G59</f>
        <v>29250</v>
      </c>
      <c r="L59" s="139">
        <f t="shared" si="8"/>
        <v>2574</v>
      </c>
      <c r="M59" s="91"/>
      <c r="N59" s="140">
        <f t="shared" si="2"/>
        <v>0</v>
      </c>
      <c r="O59" s="87">
        <f t="shared" si="6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52</v>
      </c>
      <c r="C61" s="73"/>
      <c r="D61" s="73"/>
      <c r="E61" s="73"/>
      <c r="F61" s="94"/>
      <c r="G61" s="95"/>
      <c r="H61" s="141">
        <f>SUM(H51:H57,H50)</f>
        <v>4022.043095</v>
      </c>
      <c r="I61" s="96"/>
      <c r="J61" s="97"/>
      <c r="K61" s="97"/>
      <c r="L61" s="144">
        <f>SUM(L51:L57,L50)</f>
        <v>4033.6641360000003</v>
      </c>
      <c r="M61" s="145"/>
      <c r="N61" s="146">
        <f>L61-H61</f>
        <v>11.621041000000332</v>
      </c>
      <c r="O61" s="98">
        <f>IF((H61)=0,"",(N61/H61))</f>
        <v>2.8893377632992099E-3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53</v>
      </c>
      <c r="C62" s="73"/>
      <c r="D62" s="73"/>
      <c r="E62" s="73"/>
      <c r="F62" s="100">
        <v>0.13</v>
      </c>
      <c r="G62" s="101"/>
      <c r="H62" s="142">
        <f>H61*F62</f>
        <v>522.86560235000002</v>
      </c>
      <c r="I62" s="102"/>
      <c r="J62" s="103">
        <v>0.13</v>
      </c>
      <c r="K62" s="102"/>
      <c r="L62" s="147">
        <f>L61*J62</f>
        <v>524.37633768000001</v>
      </c>
      <c r="M62" s="148"/>
      <c r="N62" s="149">
        <f>L62-H62</f>
        <v>1.5107353299999886</v>
      </c>
      <c r="O62" s="104">
        <f>IF((H62)=0,"",(N62/H62))</f>
        <v>2.8893377632991054E-3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54</v>
      </c>
      <c r="C63" s="73"/>
      <c r="D63" s="73"/>
      <c r="E63" s="73"/>
      <c r="F63" s="106"/>
      <c r="G63" s="101"/>
      <c r="H63" s="142">
        <f>H61+H62</f>
        <v>4544.9086973499998</v>
      </c>
      <c r="I63" s="102"/>
      <c r="J63" s="102"/>
      <c r="K63" s="102"/>
      <c r="L63" s="147">
        <f>L61+L62</f>
        <v>4558.0404736800001</v>
      </c>
      <c r="M63" s="148"/>
      <c r="N63" s="149">
        <f>L63-H63</f>
        <v>13.131776330000321</v>
      </c>
      <c r="O63" s="104">
        <f>IF((H63)=0,"",(N63/H63))</f>
        <v>2.8893377632991982E-3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55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56</v>
      </c>
      <c r="C65" s="173"/>
      <c r="D65" s="173"/>
      <c r="E65" s="42"/>
      <c r="F65" s="43"/>
      <c r="G65" s="44"/>
      <c r="H65" s="45">
        <f>H63+H64</f>
        <v>4544.9086973499998</v>
      </c>
      <c r="I65" s="46"/>
      <c r="J65" s="46"/>
      <c r="K65" s="46"/>
      <c r="L65" s="47">
        <f>L63+L64</f>
        <v>4558.0404736800001</v>
      </c>
      <c r="M65" s="48"/>
      <c r="N65" s="49">
        <f>L65-H65</f>
        <v>13.131776330000321</v>
      </c>
      <c r="O65" s="50">
        <f>IF((H65)=0,"",(N65/H65))</f>
        <v>2.8893377632991982E-3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57</v>
      </c>
      <c r="C67" s="90"/>
      <c r="D67" s="90"/>
      <c r="E67" s="90"/>
      <c r="F67" s="109"/>
      <c r="G67" s="110"/>
      <c r="H67" s="152">
        <f>SUM(H58:H59,H50,H51:H54)</f>
        <v>4134.6930950000005</v>
      </c>
      <c r="I67" s="111"/>
      <c r="J67" s="112"/>
      <c r="K67" s="112"/>
      <c r="L67" s="155">
        <f>SUM(L58:L59,L50,L51:L54)</f>
        <v>4146.3141360000009</v>
      </c>
      <c r="M67" s="156"/>
      <c r="N67" s="157">
        <f>L67-H67</f>
        <v>11.621041000000332</v>
      </c>
      <c r="O67" s="98">
        <f>IF((H67)=0,"",(N67/H67))</f>
        <v>2.8106175556423807E-3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53</v>
      </c>
      <c r="C68" s="90"/>
      <c r="D68" s="90"/>
      <c r="E68" s="90"/>
      <c r="F68" s="114">
        <v>0.13</v>
      </c>
      <c r="G68" s="110"/>
      <c r="H68" s="153">
        <f>H67*F68</f>
        <v>537.51010235000012</v>
      </c>
      <c r="I68" s="115"/>
      <c r="J68" s="116">
        <v>0.13</v>
      </c>
      <c r="K68" s="117"/>
      <c r="L68" s="158">
        <f>L67*J68</f>
        <v>539.02083768000011</v>
      </c>
      <c r="M68" s="159"/>
      <c r="N68" s="160">
        <f>L68-H68</f>
        <v>1.5107353299999886</v>
      </c>
      <c r="O68" s="104">
        <f>IF((H68)=0,"",(N68/H68))</f>
        <v>2.8106175556422792E-3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54</v>
      </c>
      <c r="C69" s="90"/>
      <c r="D69" s="90"/>
      <c r="E69" s="90"/>
      <c r="F69" s="119"/>
      <c r="G69" s="120"/>
      <c r="H69" s="153">
        <f>H67+H68</f>
        <v>4672.2031973500007</v>
      </c>
      <c r="I69" s="115"/>
      <c r="J69" s="115"/>
      <c r="K69" s="115"/>
      <c r="L69" s="158">
        <f>L67+L68</f>
        <v>4685.334973680001</v>
      </c>
      <c r="M69" s="159"/>
      <c r="N69" s="160">
        <f>L69-H69</f>
        <v>13.131776330000321</v>
      </c>
      <c r="O69" s="104">
        <f>IF((H69)=0,"",(N69/H69))</f>
        <v>2.810617555642369E-3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55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58</v>
      </c>
      <c r="C71" s="173"/>
      <c r="D71" s="173"/>
      <c r="E71" s="42"/>
      <c r="F71" s="43"/>
      <c r="G71" s="44"/>
      <c r="H71" s="45">
        <f>SUM(H69:H70)</f>
        <v>4672.2031973500007</v>
      </c>
      <c r="I71" s="46"/>
      <c r="J71" s="46"/>
      <c r="K71" s="46"/>
      <c r="L71" s="47">
        <f>SUM(L69:L70)</f>
        <v>4685.334973680001</v>
      </c>
      <c r="M71" s="48"/>
      <c r="N71" s="49">
        <f>L71-H71</f>
        <v>13.131776330000321</v>
      </c>
      <c r="O71" s="50">
        <f>IF((H71)=0,"",(N71/H71))</f>
        <v>2.810617555642369E-3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59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60</v>
      </c>
    </row>
    <row r="79" spans="1:63" x14ac:dyDescent="0.3">
      <c r="A79" s="60" t="s">
        <v>61</v>
      </c>
    </row>
    <row r="80" spans="1:63" x14ac:dyDescent="0.3">
      <c r="A80" s="60" t="s">
        <v>62</v>
      </c>
    </row>
    <row r="82" spans="2:29" x14ac:dyDescent="0.3">
      <c r="B82" s="60" t="s">
        <v>63</v>
      </c>
    </row>
    <row r="85" spans="2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2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2:29" ht="7.5" customHeight="1" x14ac:dyDescent="0.3">
      <c r="L87" s="56"/>
      <c r="M87" s="56"/>
      <c r="N87" s="56"/>
      <c r="O87" s="56"/>
      <c r="P87" s="56"/>
    </row>
    <row r="88" spans="2:29" ht="7.5" customHeight="1" x14ac:dyDescent="0.3">
      <c r="L88" s="56"/>
      <c r="M88" s="56"/>
      <c r="N88" s="56"/>
      <c r="O88" s="56"/>
      <c r="P88" s="56"/>
    </row>
    <row r="89" spans="2:29" ht="15.6" x14ac:dyDescent="0.3">
      <c r="B89" s="61" t="s">
        <v>8</v>
      </c>
      <c r="D89" s="185" t="s">
        <v>69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2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2:29" ht="15.6" x14ac:dyDescent="0.3">
      <c r="B91" s="61" t="s">
        <v>9</v>
      </c>
      <c r="D91" s="5" t="s">
        <v>64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2:29" ht="15.6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2:29" x14ac:dyDescent="0.3">
      <c r="B93" s="64"/>
      <c r="D93" s="65" t="s">
        <v>11</v>
      </c>
      <c r="E93" s="65"/>
      <c r="F93" s="6">
        <v>160</v>
      </c>
      <c r="G93" s="65" t="s">
        <v>65</v>
      </c>
    </row>
    <row r="94" spans="2:29" x14ac:dyDescent="0.3">
      <c r="B94" s="64"/>
      <c r="F94" s="6">
        <v>64000</v>
      </c>
      <c r="G94" s="65" t="s">
        <v>12</v>
      </c>
    </row>
    <row r="95" spans="2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2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23</v>
      </c>
      <c r="C98" s="73"/>
      <c r="D98" s="7" t="s">
        <v>24</v>
      </c>
      <c r="E98" s="73"/>
      <c r="F98" s="129">
        <v>118.45</v>
      </c>
      <c r="G98" s="74">
        <v>1</v>
      </c>
      <c r="H98" s="75">
        <f t="shared" ref="H98:H113" si="9">G98*F98</f>
        <v>118.45</v>
      </c>
      <c r="I98" s="76"/>
      <c r="J98" s="129">
        <v>158.52000000000001</v>
      </c>
      <c r="K98" s="77">
        <v>1</v>
      </c>
      <c r="L98" s="75">
        <f t="shared" ref="L98:L113" si="10">K98*J98</f>
        <v>158.52000000000001</v>
      </c>
      <c r="M98" s="76"/>
      <c r="N98" s="78">
        <f t="shared" ref="N98:N134" si="11">L98-H98</f>
        <v>40.070000000000007</v>
      </c>
      <c r="O98" s="79">
        <f t="shared" ref="O98:O120" si="12">IF((H98)=0,"",(N98/H98))</f>
        <v>0.33828619670747156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73" t="s">
        <v>25</v>
      </c>
      <c r="C99" s="73"/>
      <c r="D99" s="7" t="s">
        <v>24</v>
      </c>
      <c r="E99" s="73"/>
      <c r="F99" s="133"/>
      <c r="G99" s="74">
        <v>1</v>
      </c>
      <c r="H99" s="136">
        <f t="shared" si="9"/>
        <v>0</v>
      </c>
      <c r="I99" s="76"/>
      <c r="J99" s="130"/>
      <c r="K99" s="77">
        <v>1</v>
      </c>
      <c r="L99" s="136">
        <f t="shared" si="10"/>
        <v>0</v>
      </c>
      <c r="M99" s="76"/>
      <c r="N99" s="137">
        <f t="shared" si="11"/>
        <v>0</v>
      </c>
      <c r="O99" s="79" t="str">
        <f t="shared" si="12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9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10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26</v>
      </c>
      <c r="C104" s="73"/>
      <c r="D104" s="7" t="s">
        <v>68</v>
      </c>
      <c r="E104" s="73"/>
      <c r="F104" s="135">
        <v>3.6776</v>
      </c>
      <c r="G104" s="74">
        <f>$F93</f>
        <v>160</v>
      </c>
      <c r="H104" s="136">
        <f t="shared" si="9"/>
        <v>588.41599999999994</v>
      </c>
      <c r="I104" s="76"/>
      <c r="J104" s="132">
        <v>4.9028</v>
      </c>
      <c r="K104" s="74">
        <f>$F93</f>
        <v>160</v>
      </c>
      <c r="L104" s="136">
        <f t="shared" si="10"/>
        <v>784.44799999999998</v>
      </c>
      <c r="M104" s="76"/>
      <c r="N104" s="137">
        <f t="shared" si="11"/>
        <v>196.03200000000004</v>
      </c>
      <c r="O104" s="79">
        <f t="shared" si="12"/>
        <v>0.3331520556884926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28</v>
      </c>
      <c r="C105" s="73"/>
      <c r="D105" s="7" t="s">
        <v>24</v>
      </c>
      <c r="E105" s="73"/>
      <c r="F105" s="135"/>
      <c r="G105" s="74">
        <v>1</v>
      </c>
      <c r="H105" s="136">
        <f t="shared" si="9"/>
        <v>0</v>
      </c>
      <c r="I105" s="76"/>
      <c r="J105" s="132"/>
      <c r="K105" s="74">
        <v>1</v>
      </c>
      <c r="L105" s="136">
        <f t="shared" si="10"/>
        <v>0</v>
      </c>
      <c r="M105" s="76"/>
      <c r="N105" s="137">
        <f t="shared" si="11"/>
        <v>0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29</v>
      </c>
      <c r="C106" s="73"/>
      <c r="D106" s="7" t="s">
        <v>68</v>
      </c>
      <c r="E106" s="73"/>
      <c r="F106" s="135">
        <v>3.3E-3</v>
      </c>
      <c r="G106" s="74">
        <f>$F93</f>
        <v>160</v>
      </c>
      <c r="H106" s="136">
        <f t="shared" si="9"/>
        <v>0.52800000000000002</v>
      </c>
      <c r="I106" s="76"/>
      <c r="J106" s="132">
        <v>1.21E-2</v>
      </c>
      <c r="K106" s="74">
        <f>$F93</f>
        <v>160</v>
      </c>
      <c r="L106" s="136">
        <f t="shared" si="10"/>
        <v>1.9359999999999999</v>
      </c>
      <c r="M106" s="76"/>
      <c r="N106" s="137">
        <f t="shared" si="11"/>
        <v>1.4079999999999999</v>
      </c>
      <c r="O106" s="79">
        <f t="shared" si="12"/>
        <v>2.6666666666666665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30</v>
      </c>
      <c r="C107" s="73"/>
      <c r="D107" s="7" t="s">
        <v>68</v>
      </c>
      <c r="E107" s="73"/>
      <c r="F107" s="135">
        <v>0.25109999999999999</v>
      </c>
      <c r="G107" s="74">
        <f>$F93</f>
        <v>160</v>
      </c>
      <c r="H107" s="136">
        <f t="shared" si="9"/>
        <v>40.176000000000002</v>
      </c>
      <c r="I107" s="76"/>
      <c r="J107" s="132"/>
      <c r="K107" s="74">
        <f>$F93</f>
        <v>160</v>
      </c>
      <c r="L107" s="136">
        <f t="shared" si="10"/>
        <v>0</v>
      </c>
      <c r="M107" s="76"/>
      <c r="N107" s="137">
        <f t="shared" si="11"/>
        <v>-40.176000000000002</v>
      </c>
      <c r="O107" s="79">
        <f t="shared" si="12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31</v>
      </c>
      <c r="C108" s="73"/>
      <c r="D108" s="7" t="s">
        <v>68</v>
      </c>
      <c r="E108" s="73"/>
      <c r="F108" s="135">
        <v>-4.65E-2</v>
      </c>
      <c r="G108" s="74">
        <f>$F93</f>
        <v>160</v>
      </c>
      <c r="H108" s="136">
        <f t="shared" si="9"/>
        <v>-7.4399999999999995</v>
      </c>
      <c r="I108" s="76"/>
      <c r="J108" s="132"/>
      <c r="K108" s="74">
        <f>$F93</f>
        <v>160</v>
      </c>
      <c r="L108" s="136">
        <f t="shared" si="10"/>
        <v>0</v>
      </c>
      <c r="M108" s="76"/>
      <c r="N108" s="137">
        <f t="shared" si="11"/>
        <v>7.4399999999999995</v>
      </c>
      <c r="O108" s="79">
        <f t="shared" si="12"/>
        <v>-1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1" t="s">
        <v>32</v>
      </c>
      <c r="C109" s="73"/>
      <c r="D109" s="7" t="s">
        <v>24</v>
      </c>
      <c r="E109" s="73"/>
      <c r="F109" s="135"/>
      <c r="G109" s="74">
        <v>1</v>
      </c>
      <c r="H109" s="136">
        <f t="shared" si="9"/>
        <v>0</v>
      </c>
      <c r="I109" s="76"/>
      <c r="J109" s="132"/>
      <c r="K109" s="74">
        <v>1</v>
      </c>
      <c r="L109" s="136">
        <f t="shared" si="10"/>
        <v>0</v>
      </c>
      <c r="M109" s="76"/>
      <c r="N109" s="137">
        <f t="shared" si="11"/>
        <v>0</v>
      </c>
      <c r="O109" s="79" t="str">
        <f t="shared" si="12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">
        <v>33</v>
      </c>
      <c r="C110" s="73"/>
      <c r="D110" s="7" t="s">
        <v>68</v>
      </c>
      <c r="E110" s="73"/>
      <c r="F110" s="134"/>
      <c r="G110" s="74">
        <f>$F93</f>
        <v>160</v>
      </c>
      <c r="H110" s="136">
        <f t="shared" si="9"/>
        <v>0</v>
      </c>
      <c r="I110" s="76"/>
      <c r="J110" s="132">
        <v>-4.58E-2</v>
      </c>
      <c r="K110" s="74">
        <f>$F93</f>
        <v>160</v>
      </c>
      <c r="L110" s="136">
        <f t="shared" si="10"/>
        <v>-7.3280000000000003</v>
      </c>
      <c r="M110" s="76"/>
      <c r="N110" s="137">
        <f t="shared" si="11"/>
        <v>-7.3280000000000003</v>
      </c>
      <c r="O110" s="79" t="str">
        <f t="shared" si="12"/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 t="s">
        <v>77</v>
      </c>
      <c r="C111" s="73"/>
      <c r="D111" s="7" t="s">
        <v>68</v>
      </c>
      <c r="E111" s="73"/>
      <c r="F111" s="134"/>
      <c r="G111" s="74">
        <f>$F93</f>
        <v>160</v>
      </c>
      <c r="H111" s="136">
        <f t="shared" si="9"/>
        <v>0</v>
      </c>
      <c r="I111" s="76"/>
      <c r="J111" s="132">
        <v>6.8199999999999997E-2</v>
      </c>
      <c r="K111" s="74">
        <f>$F93</f>
        <v>160</v>
      </c>
      <c r="L111" s="136">
        <f t="shared" si="10"/>
        <v>10.911999999999999</v>
      </c>
      <c r="M111" s="76"/>
      <c r="N111" s="137">
        <f t="shared" si="11"/>
        <v>10.911999999999999</v>
      </c>
      <c r="O111" s="79" t="str">
        <f t="shared" si="12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/>
      <c r="C112" s="73"/>
      <c r="D112" s="7"/>
      <c r="E112" s="73"/>
      <c r="F112" s="131"/>
      <c r="G112" s="74">
        <f>$F93</f>
        <v>160</v>
      </c>
      <c r="H112" s="136">
        <f t="shared" si="9"/>
        <v>0</v>
      </c>
      <c r="I112" s="76"/>
      <c r="J112" s="131"/>
      <c r="K112" s="74">
        <f>$F93</f>
        <v>160</v>
      </c>
      <c r="L112" s="136">
        <f t="shared" si="10"/>
        <v>0</v>
      </c>
      <c r="M112" s="76"/>
      <c r="N112" s="137">
        <f t="shared" si="11"/>
        <v>0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/>
      <c r="C113" s="73"/>
      <c r="D113" s="7"/>
      <c r="E113" s="73"/>
      <c r="F113" s="131"/>
      <c r="G113" s="74">
        <f>$F93</f>
        <v>160</v>
      </c>
      <c r="H113" s="136">
        <f t="shared" si="9"/>
        <v>0</v>
      </c>
      <c r="I113" s="76"/>
      <c r="J113" s="131"/>
      <c r="K113" s="74">
        <f>$F93</f>
        <v>160</v>
      </c>
      <c r="L113" s="136">
        <f t="shared" si="10"/>
        <v>0</v>
      </c>
      <c r="M113" s="76"/>
      <c r="N113" s="137">
        <f t="shared" si="11"/>
        <v>0</v>
      </c>
      <c r="O113" s="79" t="str">
        <f t="shared" si="12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s="4" customFormat="1" x14ac:dyDescent="0.3">
      <c r="A114" s="60"/>
      <c r="B114" s="19" t="s">
        <v>34</v>
      </c>
      <c r="C114" s="20"/>
      <c r="D114" s="20"/>
      <c r="E114" s="20"/>
      <c r="F114" s="21"/>
      <c r="G114" s="22"/>
      <c r="H114" s="23">
        <f>SUM(H98:H113)</f>
        <v>740.13</v>
      </c>
      <c r="I114" s="13"/>
      <c r="J114" s="14"/>
      <c r="K114" s="24"/>
      <c r="L114" s="23">
        <f>SUM(L98:L113)</f>
        <v>948.48800000000006</v>
      </c>
      <c r="M114" s="13"/>
      <c r="N114" s="15">
        <f t="shared" si="11"/>
        <v>208.35800000000006</v>
      </c>
      <c r="O114" s="16">
        <f t="shared" si="12"/>
        <v>0.28151540945509579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35</v>
      </c>
      <c r="C115" s="73"/>
      <c r="D115" s="7" t="s">
        <v>68</v>
      </c>
      <c r="E115" s="73"/>
      <c r="F115" s="135">
        <v>9.5299999999999996E-2</v>
      </c>
      <c r="G115" s="74">
        <f>$F93</f>
        <v>160</v>
      </c>
      <c r="H115" s="136">
        <f t="shared" ref="H115:H121" si="13">G115*F115</f>
        <v>15.247999999999999</v>
      </c>
      <c r="I115" s="76"/>
      <c r="J115" s="135">
        <v>-0.52969999999999995</v>
      </c>
      <c r="K115" s="74">
        <f>$F93</f>
        <v>160</v>
      </c>
      <c r="L115" s="136">
        <f t="shared" ref="L115:L121" si="14">K115*J115</f>
        <v>-84.751999999999995</v>
      </c>
      <c r="M115" s="76"/>
      <c r="N115" s="137">
        <f t="shared" si="11"/>
        <v>-100</v>
      </c>
      <c r="O115" s="79">
        <f t="shared" si="12"/>
        <v>-6.5582371458551947</v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>$F93</f>
        <v>160</v>
      </c>
      <c r="H116" s="136">
        <f t="shared" si="13"/>
        <v>0</v>
      </c>
      <c r="I116" s="82"/>
      <c r="J116" s="8"/>
      <c r="K116" s="74">
        <f>$F93</f>
        <v>160</v>
      </c>
      <c r="L116" s="136">
        <f t="shared" si="14"/>
        <v>0</v>
      </c>
      <c r="M116" s="83"/>
      <c r="N116" s="137">
        <f t="shared" si="11"/>
        <v>0</v>
      </c>
      <c r="O116" s="79" t="str">
        <f t="shared" si="12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>$F93</f>
        <v>160</v>
      </c>
      <c r="H117" s="136">
        <f t="shared" si="13"/>
        <v>0</v>
      </c>
      <c r="I117" s="82"/>
      <c r="J117" s="8"/>
      <c r="K117" s="74">
        <f>$F93</f>
        <v>160</v>
      </c>
      <c r="L117" s="136">
        <f t="shared" si="14"/>
        <v>0</v>
      </c>
      <c r="M117" s="83"/>
      <c r="N117" s="137">
        <f t="shared" si="11"/>
        <v>0</v>
      </c>
      <c r="O117" s="79" t="str">
        <f t="shared" si="12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>$F93</f>
        <v>160</v>
      </c>
      <c r="H118" s="136">
        <f t="shared" si="13"/>
        <v>0</v>
      </c>
      <c r="I118" s="82"/>
      <c r="J118" s="8"/>
      <c r="K118" s="74">
        <f>$F93</f>
        <v>160</v>
      </c>
      <c r="L118" s="136">
        <f t="shared" si="14"/>
        <v>0</v>
      </c>
      <c r="M118" s="83"/>
      <c r="N118" s="137">
        <f t="shared" si="11"/>
        <v>0</v>
      </c>
      <c r="O118" s="79" t="str">
        <f t="shared" si="12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36</v>
      </c>
      <c r="C119" s="73"/>
      <c r="D119" s="7" t="s">
        <v>68</v>
      </c>
      <c r="E119" s="73"/>
      <c r="F119" s="135">
        <v>6.3799999999999996E-2</v>
      </c>
      <c r="G119" s="74">
        <f>$F93</f>
        <v>160</v>
      </c>
      <c r="H119" s="136">
        <f t="shared" si="13"/>
        <v>10.207999999999998</v>
      </c>
      <c r="I119" s="76"/>
      <c r="J119" s="135">
        <v>0.1313</v>
      </c>
      <c r="K119" s="74">
        <f>$F93</f>
        <v>160</v>
      </c>
      <c r="L119" s="136">
        <f t="shared" si="14"/>
        <v>21.007999999999999</v>
      </c>
      <c r="M119" s="76"/>
      <c r="N119" s="137">
        <f t="shared" si="11"/>
        <v>10.8</v>
      </c>
      <c r="O119" s="79">
        <f t="shared" si="12"/>
        <v>1.0579937304075238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37</v>
      </c>
      <c r="C120" s="73"/>
      <c r="D120" s="7" t="s">
        <v>27</v>
      </c>
      <c r="E120" s="73"/>
      <c r="F120" s="138">
        <f>IF(ISBLANK(D91)=TRUE, 0, IF(D91="TOU", 0.64*$F130+0.18*$F131+0.18*$F132, IF(AND(D91="non-TOU", G134&gt;0), F134,F133)))</f>
        <v>8.7999999999999995E-2</v>
      </c>
      <c r="G120" s="18">
        <f>$F94*(1+$F149)-$F94</f>
        <v>2412.8000000000029</v>
      </c>
      <c r="H120" s="136">
        <f t="shared" si="13"/>
        <v>212.32640000000023</v>
      </c>
      <c r="I120" s="76"/>
      <c r="J120" s="138">
        <f>+F120</f>
        <v>8.7999999999999995E-2</v>
      </c>
      <c r="K120" s="18">
        <f>$F94*(1+$J149)-$F94</f>
        <v>2406.4000000000087</v>
      </c>
      <c r="L120" s="136">
        <f t="shared" si="14"/>
        <v>211.76320000000075</v>
      </c>
      <c r="M120" s="76"/>
      <c r="N120" s="137">
        <f t="shared" si="11"/>
        <v>-0.56319999999948323</v>
      </c>
      <c r="O120" s="79">
        <f t="shared" si="12"/>
        <v>-2.6525198938967673E-3</v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38</v>
      </c>
      <c r="C121" s="73"/>
      <c r="D121" s="7" t="s">
        <v>24</v>
      </c>
      <c r="E121" s="73"/>
      <c r="F121" s="138">
        <v>0</v>
      </c>
      <c r="G121" s="74">
        <v>1</v>
      </c>
      <c r="H121" s="136">
        <f t="shared" si="13"/>
        <v>0</v>
      </c>
      <c r="I121" s="76"/>
      <c r="J121" s="138"/>
      <c r="K121" s="81">
        <v>1</v>
      </c>
      <c r="L121" s="136">
        <f t="shared" si="14"/>
        <v>0</v>
      </c>
      <c r="M121" s="76"/>
      <c r="N121" s="137">
        <f t="shared" si="11"/>
        <v>0</v>
      </c>
      <c r="O121" s="79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s="4" customFormat="1" x14ac:dyDescent="0.3">
      <c r="A122" s="60"/>
      <c r="B122" s="19" t="s">
        <v>39</v>
      </c>
      <c r="C122" s="20"/>
      <c r="D122" s="20"/>
      <c r="E122" s="20"/>
      <c r="F122" s="21"/>
      <c r="G122" s="22"/>
      <c r="H122" s="23">
        <f>SUM(H115:H121)+H114</f>
        <v>977.91240000000016</v>
      </c>
      <c r="I122" s="13"/>
      <c r="J122" s="22"/>
      <c r="K122" s="24"/>
      <c r="L122" s="23">
        <f>SUM(L115:L121)+L114</f>
        <v>1096.5072000000009</v>
      </c>
      <c r="M122" s="13"/>
      <c r="N122" s="15">
        <f t="shared" si="11"/>
        <v>118.59480000000076</v>
      </c>
      <c r="O122" s="16">
        <f t="shared" ref="O122:O134" si="15">IF((H122)=0,"",(N122/H122))</f>
        <v>0.12127343921602869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40</v>
      </c>
      <c r="C123" s="76"/>
      <c r="D123" s="25" t="s">
        <v>68</v>
      </c>
      <c r="E123" s="76"/>
      <c r="F123" s="135">
        <v>2.8561000000000001</v>
      </c>
      <c r="G123" s="18">
        <f>F93*(1+F149)</f>
        <v>166.03200000000001</v>
      </c>
      <c r="H123" s="136">
        <f>G123*F123</f>
        <v>474.20399520000007</v>
      </c>
      <c r="I123" s="76"/>
      <c r="J123" s="135">
        <v>2.6861000000000002</v>
      </c>
      <c r="K123" s="18">
        <f>F93*(1+J149)</f>
        <v>166.01600000000002</v>
      </c>
      <c r="L123" s="136">
        <f>K123*J123</f>
        <v>445.9355776000001</v>
      </c>
      <c r="M123" s="76"/>
      <c r="N123" s="136">
        <f t="shared" si="11"/>
        <v>-28.268417599999964</v>
      </c>
      <c r="O123" s="79">
        <f t="shared" si="15"/>
        <v>-5.9612356467130749E-2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x14ac:dyDescent="0.3">
      <c r="B124" s="85" t="s">
        <v>41</v>
      </c>
      <c r="C124" s="76"/>
      <c r="D124" s="25" t="s">
        <v>68</v>
      </c>
      <c r="E124" s="76"/>
      <c r="F124" s="135">
        <v>1.9374</v>
      </c>
      <c r="G124" s="18">
        <f>G123</f>
        <v>166.03200000000001</v>
      </c>
      <c r="H124" s="136">
        <f>G124*F124</f>
        <v>321.67039680000005</v>
      </c>
      <c r="I124" s="76"/>
      <c r="J124" s="135">
        <v>1.36</v>
      </c>
      <c r="K124" s="18">
        <f>K123</f>
        <v>166.01600000000002</v>
      </c>
      <c r="L124" s="136">
        <f>K124*J124</f>
        <v>225.78176000000005</v>
      </c>
      <c r="M124" s="76"/>
      <c r="N124" s="136">
        <f t="shared" si="11"/>
        <v>-95.8886368</v>
      </c>
      <c r="O124" s="79">
        <f t="shared" si="15"/>
        <v>-0.29809593221479802</v>
      </c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</row>
    <row r="125" spans="1:63" s="4" customFormat="1" x14ac:dyDescent="0.3">
      <c r="A125" s="60"/>
      <c r="B125" s="19" t="s">
        <v>42</v>
      </c>
      <c r="C125" s="20"/>
      <c r="D125" s="20"/>
      <c r="E125" s="20"/>
      <c r="F125" s="21"/>
      <c r="G125" s="22"/>
      <c r="H125" s="23">
        <f>SUM(H122:H124)</f>
        <v>1773.7867920000003</v>
      </c>
      <c r="I125" s="13"/>
      <c r="J125" s="26"/>
      <c r="K125" s="22"/>
      <c r="L125" s="23">
        <f>SUM(L122:L124)</f>
        <v>1768.2245376000012</v>
      </c>
      <c r="M125" s="13"/>
      <c r="N125" s="15">
        <f t="shared" si="11"/>
        <v>-5.5622543999991194</v>
      </c>
      <c r="O125" s="16">
        <f t="shared" si="15"/>
        <v>-3.1358077673627857E-3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43</v>
      </c>
      <c r="C126" s="73"/>
      <c r="D126" s="7" t="s">
        <v>27</v>
      </c>
      <c r="E126" s="73"/>
      <c r="F126" s="135">
        <v>4.4000000000000003E-3</v>
      </c>
      <c r="G126" s="18">
        <f>F94*(1+F149)</f>
        <v>66412.800000000003</v>
      </c>
      <c r="H126" s="139">
        <f t="shared" ref="H126:H134" si="16">G126*F126</f>
        <v>292.21632000000005</v>
      </c>
      <c r="I126" s="76"/>
      <c r="J126" s="135">
        <f>+F126</f>
        <v>4.4000000000000003E-3</v>
      </c>
      <c r="K126" s="18">
        <f>F94*(1+J149)</f>
        <v>66406.400000000009</v>
      </c>
      <c r="L126" s="139">
        <f t="shared" ref="L126:L134" si="17">K126*J126</f>
        <v>292.18816000000004</v>
      </c>
      <c r="M126" s="76"/>
      <c r="N126" s="137">
        <f t="shared" si="11"/>
        <v>-2.8160000000013952E-2</v>
      </c>
      <c r="O126" s="87">
        <f t="shared" si="15"/>
        <v>-9.6366965404307147E-5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86" t="s">
        <v>44</v>
      </c>
      <c r="C127" s="73"/>
      <c r="D127" s="7" t="s">
        <v>27</v>
      </c>
      <c r="E127" s="73"/>
      <c r="F127" s="135">
        <v>1.1999999999999999E-3</v>
      </c>
      <c r="G127" s="18">
        <f>+G126</f>
        <v>66412.800000000003</v>
      </c>
      <c r="H127" s="139">
        <f t="shared" si="16"/>
        <v>79.695359999999994</v>
      </c>
      <c r="I127" s="76"/>
      <c r="J127" s="135">
        <f>+F127</f>
        <v>1.1999999999999999E-3</v>
      </c>
      <c r="K127" s="18">
        <f>+K126</f>
        <v>66406.400000000009</v>
      </c>
      <c r="L127" s="139">
        <f t="shared" si="17"/>
        <v>79.68768</v>
      </c>
      <c r="M127" s="76"/>
      <c r="N127" s="137">
        <f t="shared" si="11"/>
        <v>-7.6799999999934698E-3</v>
      </c>
      <c r="O127" s="87">
        <f t="shared" si="15"/>
        <v>-9.636696540417749E-5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45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16"/>
        <v>0.25</v>
      </c>
      <c r="I128" s="76"/>
      <c r="J128" s="135">
        <f>+F128</f>
        <v>0.25</v>
      </c>
      <c r="K128" s="77">
        <v>1</v>
      </c>
      <c r="L128" s="139">
        <f t="shared" si="17"/>
        <v>0.25</v>
      </c>
      <c r="M128" s="76"/>
      <c r="N128" s="137">
        <f t="shared" si="11"/>
        <v>0</v>
      </c>
      <c r="O128" s="87">
        <f t="shared" si="15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73" t="s">
        <v>46</v>
      </c>
      <c r="C129" s="73"/>
      <c r="D129" s="7" t="s">
        <v>27</v>
      </c>
      <c r="E129" s="73"/>
      <c r="F129" s="135">
        <v>7.0000000000000001E-3</v>
      </c>
      <c r="G129" s="84">
        <f>F94</f>
        <v>64000</v>
      </c>
      <c r="H129" s="139">
        <f t="shared" si="16"/>
        <v>448</v>
      </c>
      <c r="I129" s="76"/>
      <c r="J129" s="135">
        <f>+F129</f>
        <v>7.0000000000000001E-3</v>
      </c>
      <c r="K129" s="77">
        <f>F94</f>
        <v>64000</v>
      </c>
      <c r="L129" s="139">
        <f t="shared" si="17"/>
        <v>448</v>
      </c>
      <c r="M129" s="76"/>
      <c r="N129" s="137">
        <f t="shared" si="11"/>
        <v>0</v>
      </c>
      <c r="O129" s="87">
        <f t="shared" si="15"/>
        <v>0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47</v>
      </c>
      <c r="C130" s="73"/>
      <c r="D130" s="7" t="s">
        <v>27</v>
      </c>
      <c r="E130" s="73"/>
      <c r="F130" s="138">
        <v>6.7000000000000004E-2</v>
      </c>
      <c r="G130" s="27">
        <f>0.64*$F94</f>
        <v>40960</v>
      </c>
      <c r="H130" s="139">
        <f t="shared" si="16"/>
        <v>2744.32</v>
      </c>
      <c r="I130" s="76"/>
      <c r="J130" s="138">
        <v>6.7000000000000004E-2</v>
      </c>
      <c r="K130" s="28">
        <f>G130</f>
        <v>40960</v>
      </c>
      <c r="L130" s="139">
        <f t="shared" si="17"/>
        <v>2744.32</v>
      </c>
      <c r="M130" s="76"/>
      <c r="N130" s="137">
        <f t="shared" si="11"/>
        <v>0</v>
      </c>
      <c r="O130" s="87">
        <f t="shared" si="15"/>
        <v>0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80" t="s">
        <v>48</v>
      </c>
      <c r="C131" s="73"/>
      <c r="D131" s="7" t="s">
        <v>27</v>
      </c>
      <c r="E131" s="73"/>
      <c r="F131" s="138">
        <v>0.104</v>
      </c>
      <c r="G131" s="27">
        <f>0.18*$F94</f>
        <v>11520</v>
      </c>
      <c r="H131" s="139">
        <f t="shared" si="16"/>
        <v>1198.08</v>
      </c>
      <c r="I131" s="76"/>
      <c r="J131" s="138">
        <v>0.104</v>
      </c>
      <c r="K131" s="28">
        <f>G131</f>
        <v>11520</v>
      </c>
      <c r="L131" s="139">
        <f t="shared" si="17"/>
        <v>1198.08</v>
      </c>
      <c r="M131" s="76"/>
      <c r="N131" s="137">
        <f t="shared" si="11"/>
        <v>0</v>
      </c>
      <c r="O131" s="87">
        <f t="shared" si="15"/>
        <v>0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64" t="s">
        <v>49</v>
      </c>
      <c r="C132" s="73"/>
      <c r="D132" s="7" t="s">
        <v>27</v>
      </c>
      <c r="E132" s="73"/>
      <c r="F132" s="138">
        <v>0.124</v>
      </c>
      <c r="G132" s="27">
        <f>0.18*$F94</f>
        <v>11520</v>
      </c>
      <c r="H132" s="139">
        <f t="shared" si="16"/>
        <v>1428.48</v>
      </c>
      <c r="I132" s="76"/>
      <c r="J132" s="138">
        <v>0.124</v>
      </c>
      <c r="K132" s="28">
        <f>G132</f>
        <v>11520</v>
      </c>
      <c r="L132" s="139">
        <f t="shared" si="17"/>
        <v>1428.48</v>
      </c>
      <c r="M132" s="76"/>
      <c r="N132" s="137">
        <f t="shared" si="11"/>
        <v>0</v>
      </c>
      <c r="O132" s="87">
        <f t="shared" si="15"/>
        <v>0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s="92" customFormat="1" x14ac:dyDescent="0.25">
      <c r="B133" s="89" t="s">
        <v>50</v>
      </c>
      <c r="C133" s="90"/>
      <c r="D133" s="29" t="s">
        <v>27</v>
      </c>
      <c r="E133" s="90"/>
      <c r="F133" s="138">
        <v>7.4999999999999997E-2</v>
      </c>
      <c r="G133" s="30">
        <f>IF(AND($T$1=1, F94&gt;=750), 750, IF(AND($T$1=1, AND(F94&lt;750, F94&gt;=0)), F94, IF(AND($T$1=2, F94&gt;=750), 750, IF(AND($T$1=2, AND(F94&lt;750, F94&gt;=0)), F94))))</f>
        <v>750</v>
      </c>
      <c r="H133" s="139">
        <f t="shared" si="16"/>
        <v>56.25</v>
      </c>
      <c r="I133" s="91"/>
      <c r="J133" s="138">
        <v>7.4999999999999997E-2</v>
      </c>
      <c r="K133" s="31">
        <f>G133</f>
        <v>750</v>
      </c>
      <c r="L133" s="139">
        <f t="shared" si="17"/>
        <v>56.25</v>
      </c>
      <c r="M133" s="91"/>
      <c r="N133" s="140">
        <f t="shared" si="11"/>
        <v>0</v>
      </c>
      <c r="O133" s="87">
        <f t="shared" si="15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51</v>
      </c>
      <c r="C134" s="90"/>
      <c r="D134" s="29" t="s">
        <v>27</v>
      </c>
      <c r="E134" s="90"/>
      <c r="F134" s="138">
        <v>8.7999999999999995E-2</v>
      </c>
      <c r="G134" s="30">
        <f>IF(AND($T$1=1, F94&gt;=750), F94-750, IF(AND($T$1=1, AND(F94&lt;750, F94&gt;=0)), 0, IF(AND($T$1=2, F94&gt;=750), F94-750, IF(AND($T$1=2, AND(F94&lt;750, F94&gt;=0)), 0))))</f>
        <v>63250</v>
      </c>
      <c r="H134" s="139">
        <f t="shared" si="16"/>
        <v>5566</v>
      </c>
      <c r="I134" s="91"/>
      <c r="J134" s="138">
        <v>8.7999999999999995E-2</v>
      </c>
      <c r="K134" s="31">
        <f>G134</f>
        <v>63250</v>
      </c>
      <c r="L134" s="139">
        <f t="shared" si="17"/>
        <v>5566</v>
      </c>
      <c r="M134" s="91"/>
      <c r="N134" s="140">
        <f t="shared" si="11"/>
        <v>0</v>
      </c>
      <c r="O134" s="87">
        <f t="shared" si="15"/>
        <v>0</v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52</v>
      </c>
      <c r="C136" s="73"/>
      <c r="D136" s="73"/>
      <c r="E136" s="73"/>
      <c r="F136" s="94"/>
      <c r="G136" s="95"/>
      <c r="H136" s="141">
        <f>SUM(H126:H132,H125)</f>
        <v>7964.8284720000011</v>
      </c>
      <c r="I136" s="96"/>
      <c r="J136" s="97"/>
      <c r="K136" s="97"/>
      <c r="L136" s="144">
        <f>SUM(L126:L132,L125)</f>
        <v>7959.2303776000008</v>
      </c>
      <c r="M136" s="145"/>
      <c r="N136" s="146">
        <f>L136-H136</f>
        <v>-5.5980944000002637</v>
      </c>
      <c r="O136" s="98">
        <f>IF((H136)=0,"",(N136/H136))</f>
        <v>-7.0285184667568355E-4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99" t="s">
        <v>53</v>
      </c>
      <c r="C137" s="73"/>
      <c r="D137" s="73"/>
      <c r="E137" s="73"/>
      <c r="F137" s="100">
        <v>0.13</v>
      </c>
      <c r="G137" s="101"/>
      <c r="H137" s="142">
        <f>H136*F137</f>
        <v>1035.4277013600001</v>
      </c>
      <c r="I137" s="102"/>
      <c r="J137" s="103">
        <v>0.13</v>
      </c>
      <c r="K137" s="102"/>
      <c r="L137" s="147">
        <f>L136*J137</f>
        <v>1034.699949088</v>
      </c>
      <c r="M137" s="148"/>
      <c r="N137" s="149">
        <f>L137-H137</f>
        <v>-0.72775227200008885</v>
      </c>
      <c r="O137" s="104">
        <f>IF((H137)=0,"",(N137/H137))</f>
        <v>-7.0285184667573625E-4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x14ac:dyDescent="0.3">
      <c r="B138" s="105" t="s">
        <v>54</v>
      </c>
      <c r="C138" s="73"/>
      <c r="D138" s="73"/>
      <c r="E138" s="73"/>
      <c r="F138" s="106"/>
      <c r="G138" s="101"/>
      <c r="H138" s="142">
        <f>H136+H137</f>
        <v>9000.2561733600014</v>
      </c>
      <c r="I138" s="102"/>
      <c r="J138" s="102"/>
      <c r="K138" s="102"/>
      <c r="L138" s="147">
        <f>L136+L137</f>
        <v>8993.9303266880015</v>
      </c>
      <c r="M138" s="148"/>
      <c r="N138" s="149">
        <f>L138-H138</f>
        <v>-6.3258466719998978</v>
      </c>
      <c r="O138" s="104">
        <f>IF((H138)=0,"",(N138/H138))</f>
        <v>-7.028518466756391E-4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ht="14.4" customHeight="1" x14ac:dyDescent="0.3">
      <c r="B139" s="172" t="s">
        <v>55</v>
      </c>
      <c r="C139" s="172"/>
      <c r="D139" s="172"/>
      <c r="E139" s="73"/>
      <c r="F139" s="106"/>
      <c r="G139" s="101"/>
      <c r="H139" s="143">
        <v>0</v>
      </c>
      <c r="I139" s="102"/>
      <c r="J139" s="102"/>
      <c r="K139" s="102"/>
      <c r="L139" s="150">
        <v>0</v>
      </c>
      <c r="M139" s="148"/>
      <c r="N139" s="151">
        <f>L139-H139</f>
        <v>0</v>
      </c>
      <c r="O139" s="107" t="str">
        <f>IF((H139)=0,"",(N139/H139))</f>
        <v/>
      </c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s="4" customFormat="1" ht="15" thickBot="1" x14ac:dyDescent="0.35">
      <c r="A140" s="60"/>
      <c r="B140" s="173" t="s">
        <v>56</v>
      </c>
      <c r="C140" s="173"/>
      <c r="D140" s="173"/>
      <c r="E140" s="42"/>
      <c r="F140" s="43"/>
      <c r="G140" s="44"/>
      <c r="H140" s="45">
        <f>H138+H139</f>
        <v>9000.2561733600014</v>
      </c>
      <c r="I140" s="46"/>
      <c r="J140" s="46"/>
      <c r="K140" s="46"/>
      <c r="L140" s="47">
        <f>L138+L139</f>
        <v>8993.9303266880015</v>
      </c>
      <c r="M140" s="48"/>
      <c r="N140" s="49">
        <f>L140-H140</f>
        <v>-6.3258466719998978</v>
      </c>
      <c r="O140" s="50">
        <f>IF((H140)=0,"",(N140/H140))</f>
        <v>-7.028518466756391E-4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57</v>
      </c>
      <c r="C142" s="90"/>
      <c r="D142" s="90"/>
      <c r="E142" s="90"/>
      <c r="F142" s="109"/>
      <c r="G142" s="110"/>
      <c r="H142" s="152">
        <f>SUM(H133:H134,H125,H126:H129)</f>
        <v>8216.198472</v>
      </c>
      <c r="I142" s="111"/>
      <c r="J142" s="112"/>
      <c r="K142" s="112"/>
      <c r="L142" s="155">
        <f>SUM(L133:L134,L125,L126:L129)</f>
        <v>8210.6003775999998</v>
      </c>
      <c r="M142" s="156"/>
      <c r="N142" s="157">
        <f>L142-H142</f>
        <v>-5.5980944000002637</v>
      </c>
      <c r="O142" s="98">
        <f>IF((H142)=0,"",(N142/H142))</f>
        <v>-6.8134848726914541E-4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53</v>
      </c>
      <c r="C143" s="90"/>
      <c r="D143" s="90"/>
      <c r="E143" s="90"/>
      <c r="F143" s="114">
        <v>0.13</v>
      </c>
      <c r="G143" s="110"/>
      <c r="H143" s="153">
        <f>H142*F143</f>
        <v>1068.10580136</v>
      </c>
      <c r="I143" s="115"/>
      <c r="J143" s="116">
        <v>0.13</v>
      </c>
      <c r="K143" s="117"/>
      <c r="L143" s="158">
        <f>L142*J143</f>
        <v>1067.3780490879999</v>
      </c>
      <c r="M143" s="159"/>
      <c r="N143" s="160">
        <f>L143-H143</f>
        <v>-0.72775227200008885</v>
      </c>
      <c r="O143" s="104">
        <f>IF((H143)=0,"",(N143/H143))</f>
        <v>-6.8134848726919648E-4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54</v>
      </c>
      <c r="C144" s="90"/>
      <c r="D144" s="90"/>
      <c r="E144" s="90"/>
      <c r="F144" s="119"/>
      <c r="G144" s="120"/>
      <c r="H144" s="153">
        <f>H142+H143</f>
        <v>9284.3042733599996</v>
      </c>
      <c r="I144" s="115"/>
      <c r="J144" s="115"/>
      <c r="K144" s="115"/>
      <c r="L144" s="158">
        <f>L142+L143</f>
        <v>9277.9784266879997</v>
      </c>
      <c r="M144" s="159"/>
      <c r="N144" s="160">
        <f>L144-H144</f>
        <v>-6.3258466719998978</v>
      </c>
      <c r="O144" s="104">
        <f>IF((H144)=0,"",(N144/H144))</f>
        <v>-6.8134848726910226E-4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55</v>
      </c>
      <c r="C145" s="174"/>
      <c r="D145" s="174"/>
      <c r="E145" s="90"/>
      <c r="F145" s="119"/>
      <c r="G145" s="120"/>
      <c r="H145" s="154">
        <v>0</v>
      </c>
      <c r="I145" s="115"/>
      <c r="J145" s="115"/>
      <c r="K145" s="115"/>
      <c r="L145" s="161">
        <v>0</v>
      </c>
      <c r="M145" s="159"/>
      <c r="N145" s="162">
        <f>L145-H145</f>
        <v>0</v>
      </c>
      <c r="O145" s="107" t="str">
        <f>IF((H145)=0,"",(N145/H145))</f>
        <v/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58</v>
      </c>
      <c r="C146" s="173"/>
      <c r="D146" s="173"/>
      <c r="E146" s="42"/>
      <c r="F146" s="43"/>
      <c r="G146" s="44"/>
      <c r="H146" s="45">
        <f>SUM(H144:H145)</f>
        <v>9284.3042733599996</v>
      </c>
      <c r="I146" s="46"/>
      <c r="J146" s="46"/>
      <c r="K146" s="46"/>
      <c r="L146" s="47">
        <f>SUM(L144:L145)</f>
        <v>9277.9784266879997</v>
      </c>
      <c r="M146" s="48"/>
      <c r="N146" s="49">
        <f>L146-H146</f>
        <v>-6.3258466719998978</v>
      </c>
      <c r="O146" s="50">
        <f>IF((H146)=0,"",(N146/H146))</f>
        <v>-6.8134848726910226E-4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59</v>
      </c>
      <c r="F149" s="51">
        <v>3.7699999999999997E-2</v>
      </c>
      <c r="J149" s="51">
        <f>+Residential!$J$74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60</v>
      </c>
    </row>
    <row r="154" spans="1:63" x14ac:dyDescent="0.3">
      <c r="A154" s="60" t="s">
        <v>61</v>
      </c>
    </row>
    <row r="155" spans="1:63" x14ac:dyDescent="0.3">
      <c r="A155" s="60" t="s">
        <v>62</v>
      </c>
    </row>
    <row r="157" spans="1:63" x14ac:dyDescent="0.3">
      <c r="B157" s="60" t="s">
        <v>63</v>
      </c>
    </row>
    <row r="160" spans="1:63" ht="18.75" customHeight="1" x14ac:dyDescent="0.3">
      <c r="B160" s="175" t="s">
        <v>6</v>
      </c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56"/>
    </row>
    <row r="161" spans="2:29" ht="18.75" customHeight="1" x14ac:dyDescent="0.3">
      <c r="B161" s="175" t="s">
        <v>7</v>
      </c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56"/>
    </row>
    <row r="162" spans="2:29" ht="7.5" customHeight="1" x14ac:dyDescent="0.3">
      <c r="L162" s="56"/>
      <c r="M162" s="56"/>
      <c r="N162" s="56"/>
      <c r="O162" s="56"/>
      <c r="P162" s="56"/>
    </row>
    <row r="163" spans="2:29" ht="7.5" customHeight="1" x14ac:dyDescent="0.3">
      <c r="L163" s="56"/>
      <c r="M163" s="56"/>
      <c r="N163" s="56"/>
      <c r="O163" s="56"/>
      <c r="P163" s="56"/>
    </row>
    <row r="164" spans="2:29" ht="15.6" x14ac:dyDescent="0.3">
      <c r="B164" s="61" t="s">
        <v>8</v>
      </c>
      <c r="D164" s="185" t="s">
        <v>69</v>
      </c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</row>
    <row r="165" spans="2:29" ht="7.5" customHeight="1" x14ac:dyDescent="0.3">
      <c r="B165" s="62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2:29" ht="15.6" x14ac:dyDescent="0.3">
      <c r="B166" s="61" t="s">
        <v>9</v>
      </c>
      <c r="D166" s="5" t="s">
        <v>64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</row>
    <row r="167" spans="2:29" ht="15.6" x14ac:dyDescent="0.3">
      <c r="B167" s="62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</row>
    <row r="168" spans="2:29" x14ac:dyDescent="0.3">
      <c r="B168" s="64"/>
      <c r="D168" s="65" t="s">
        <v>11</v>
      </c>
      <c r="E168" s="65"/>
      <c r="F168" s="6">
        <v>300</v>
      </c>
      <c r="G168" s="65" t="s">
        <v>65</v>
      </c>
    </row>
    <row r="169" spans="2:29" x14ac:dyDescent="0.3">
      <c r="B169" s="64"/>
      <c r="F169" s="6">
        <v>120000</v>
      </c>
      <c r="G169" s="65" t="s">
        <v>12</v>
      </c>
    </row>
    <row r="170" spans="2:29" x14ac:dyDescent="0.3">
      <c r="B170" s="64"/>
      <c r="D170" s="66"/>
      <c r="E170" s="66"/>
      <c r="F170" s="176" t="s">
        <v>13</v>
      </c>
      <c r="G170" s="177"/>
      <c r="H170" s="178"/>
      <c r="J170" s="176" t="s">
        <v>14</v>
      </c>
      <c r="K170" s="177"/>
      <c r="L170" s="178"/>
      <c r="N170" s="176" t="s">
        <v>15</v>
      </c>
      <c r="O170" s="178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</row>
    <row r="171" spans="2:29" x14ac:dyDescent="0.3">
      <c r="B171" s="64"/>
      <c r="D171" s="179" t="s">
        <v>16</v>
      </c>
      <c r="E171" s="67"/>
      <c r="F171" s="68" t="s">
        <v>17</v>
      </c>
      <c r="G171" s="68" t="s">
        <v>18</v>
      </c>
      <c r="H171" s="69" t="s">
        <v>19</v>
      </c>
      <c r="J171" s="68" t="s">
        <v>17</v>
      </c>
      <c r="K171" s="70" t="s">
        <v>18</v>
      </c>
      <c r="L171" s="69" t="s">
        <v>19</v>
      </c>
      <c r="N171" s="181" t="s">
        <v>20</v>
      </c>
      <c r="O171" s="183" t="s">
        <v>21</v>
      </c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</row>
    <row r="172" spans="2:29" x14ac:dyDescent="0.3">
      <c r="B172" s="64"/>
      <c r="D172" s="180"/>
      <c r="E172" s="67"/>
      <c r="F172" s="71" t="s">
        <v>22</v>
      </c>
      <c r="G172" s="71"/>
      <c r="H172" s="72" t="s">
        <v>22</v>
      </c>
      <c r="J172" s="71" t="s">
        <v>22</v>
      </c>
      <c r="K172" s="72"/>
      <c r="L172" s="72" t="s">
        <v>22</v>
      </c>
      <c r="N172" s="182"/>
      <c r="O172" s="184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</row>
    <row r="173" spans="2:29" x14ac:dyDescent="0.3">
      <c r="B173" s="73" t="s">
        <v>23</v>
      </c>
      <c r="C173" s="73"/>
      <c r="D173" s="7" t="s">
        <v>24</v>
      </c>
      <c r="E173" s="73"/>
      <c r="F173" s="129">
        <v>118.45</v>
      </c>
      <c r="G173" s="74">
        <v>1</v>
      </c>
      <c r="H173" s="75">
        <f t="shared" ref="H173:H188" si="18">G173*F173</f>
        <v>118.45</v>
      </c>
      <c r="I173" s="76"/>
      <c r="J173" s="129">
        <v>158.52000000000001</v>
      </c>
      <c r="K173" s="77">
        <v>1</v>
      </c>
      <c r="L173" s="75">
        <f t="shared" ref="L173:L188" si="19">K173*J173</f>
        <v>158.52000000000001</v>
      </c>
      <c r="M173" s="76"/>
      <c r="N173" s="78">
        <f t="shared" ref="N173:N209" si="20">L173-H173</f>
        <v>40.070000000000007</v>
      </c>
      <c r="O173" s="79">
        <f t="shared" ref="O173:O195" si="21">IF((H173)=0,"",(N173/H173))</f>
        <v>0.33828619670747156</v>
      </c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</row>
    <row r="174" spans="2:29" x14ac:dyDescent="0.3">
      <c r="B174" s="73" t="s">
        <v>25</v>
      </c>
      <c r="C174" s="73"/>
      <c r="D174" s="7" t="s">
        <v>24</v>
      </c>
      <c r="E174" s="73"/>
      <c r="F174" s="133"/>
      <c r="G174" s="74">
        <v>1</v>
      </c>
      <c r="H174" s="136">
        <f t="shared" si="18"/>
        <v>0</v>
      </c>
      <c r="I174" s="76"/>
      <c r="J174" s="130"/>
      <c r="K174" s="77">
        <v>1</v>
      </c>
      <c r="L174" s="136">
        <f t="shared" si="19"/>
        <v>0</v>
      </c>
      <c r="M174" s="76"/>
      <c r="N174" s="137">
        <f t="shared" si="20"/>
        <v>0</v>
      </c>
      <c r="O174" s="79" t="str">
        <f t="shared" si="21"/>
        <v/>
      </c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</row>
    <row r="175" spans="2:29" x14ac:dyDescent="0.3">
      <c r="B175" s="9"/>
      <c r="C175" s="73"/>
      <c r="D175" s="7"/>
      <c r="E175" s="73"/>
      <c r="F175" s="134"/>
      <c r="G175" s="74">
        <v>1</v>
      </c>
      <c r="H175" s="136">
        <f t="shared" si="18"/>
        <v>0</v>
      </c>
      <c r="I175" s="76"/>
      <c r="J175" s="131"/>
      <c r="K175" s="77">
        <v>1</v>
      </c>
      <c r="L175" s="136">
        <f t="shared" si="19"/>
        <v>0</v>
      </c>
      <c r="M175" s="76"/>
      <c r="N175" s="137">
        <f t="shared" si="20"/>
        <v>0</v>
      </c>
      <c r="O175" s="79" t="str">
        <f t="shared" si="21"/>
        <v/>
      </c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</row>
    <row r="176" spans="2:29" x14ac:dyDescent="0.3">
      <c r="B176" s="9"/>
      <c r="C176" s="73"/>
      <c r="D176" s="7"/>
      <c r="E176" s="73"/>
      <c r="F176" s="134"/>
      <c r="G176" s="74">
        <v>1</v>
      </c>
      <c r="H176" s="136">
        <f t="shared" si="18"/>
        <v>0</v>
      </c>
      <c r="I176" s="76"/>
      <c r="J176" s="131"/>
      <c r="K176" s="77">
        <v>1</v>
      </c>
      <c r="L176" s="136">
        <f t="shared" si="19"/>
        <v>0</v>
      </c>
      <c r="M176" s="76"/>
      <c r="N176" s="137">
        <f t="shared" si="20"/>
        <v>0</v>
      </c>
      <c r="O176" s="79" t="str">
        <f t="shared" si="21"/>
        <v/>
      </c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</row>
    <row r="177" spans="1:63" x14ac:dyDescent="0.3">
      <c r="B177" s="10"/>
      <c r="C177" s="73"/>
      <c r="D177" s="7"/>
      <c r="E177" s="73"/>
      <c r="F177" s="134"/>
      <c r="G177" s="74">
        <v>1</v>
      </c>
      <c r="H177" s="136">
        <f t="shared" si="18"/>
        <v>0</v>
      </c>
      <c r="I177" s="76"/>
      <c r="J177" s="131"/>
      <c r="K177" s="77">
        <v>1</v>
      </c>
      <c r="L177" s="136">
        <f t="shared" si="19"/>
        <v>0</v>
      </c>
      <c r="M177" s="76"/>
      <c r="N177" s="137">
        <f t="shared" si="20"/>
        <v>0</v>
      </c>
      <c r="O177" s="79" t="str">
        <f t="shared" si="21"/>
        <v/>
      </c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</row>
    <row r="178" spans="1:63" x14ac:dyDescent="0.3">
      <c r="B178" s="10"/>
      <c r="C178" s="73"/>
      <c r="D178" s="7"/>
      <c r="E178" s="73"/>
      <c r="F178" s="134"/>
      <c r="G178" s="74">
        <v>1</v>
      </c>
      <c r="H178" s="136">
        <f t="shared" si="18"/>
        <v>0</v>
      </c>
      <c r="I178" s="76"/>
      <c r="J178" s="131"/>
      <c r="K178" s="77">
        <v>1</v>
      </c>
      <c r="L178" s="136">
        <f t="shared" si="19"/>
        <v>0</v>
      </c>
      <c r="M178" s="76"/>
      <c r="N178" s="137">
        <f t="shared" si="20"/>
        <v>0</v>
      </c>
      <c r="O178" s="79" t="str">
        <f t="shared" si="21"/>
        <v/>
      </c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</row>
    <row r="179" spans="1:63" x14ac:dyDescent="0.3">
      <c r="B179" s="73" t="s">
        <v>26</v>
      </c>
      <c r="C179" s="73"/>
      <c r="D179" s="7" t="s">
        <v>68</v>
      </c>
      <c r="E179" s="73"/>
      <c r="F179" s="135">
        <v>3.6776</v>
      </c>
      <c r="G179" s="74">
        <f>$F168</f>
        <v>300</v>
      </c>
      <c r="H179" s="136">
        <f t="shared" si="18"/>
        <v>1103.28</v>
      </c>
      <c r="I179" s="76"/>
      <c r="J179" s="132">
        <v>4.9028</v>
      </c>
      <c r="K179" s="74">
        <f>$F168</f>
        <v>300</v>
      </c>
      <c r="L179" s="136">
        <f t="shared" si="19"/>
        <v>1470.84</v>
      </c>
      <c r="M179" s="76"/>
      <c r="N179" s="137">
        <f t="shared" si="20"/>
        <v>367.55999999999995</v>
      </c>
      <c r="O179" s="79">
        <f t="shared" si="21"/>
        <v>0.33315205568849243</v>
      </c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</row>
    <row r="180" spans="1:63" x14ac:dyDescent="0.3">
      <c r="B180" s="73" t="s">
        <v>28</v>
      </c>
      <c r="C180" s="73"/>
      <c r="D180" s="7" t="s">
        <v>24</v>
      </c>
      <c r="E180" s="73"/>
      <c r="F180" s="135"/>
      <c r="G180" s="74">
        <v>1</v>
      </c>
      <c r="H180" s="136">
        <f t="shared" si="18"/>
        <v>0</v>
      </c>
      <c r="I180" s="76"/>
      <c r="J180" s="132"/>
      <c r="K180" s="74">
        <v>1</v>
      </c>
      <c r="L180" s="136">
        <f t="shared" si="19"/>
        <v>0</v>
      </c>
      <c r="M180" s="76"/>
      <c r="N180" s="137">
        <f t="shared" si="20"/>
        <v>0</v>
      </c>
      <c r="O180" s="79" t="str">
        <f t="shared" si="21"/>
        <v/>
      </c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</row>
    <row r="181" spans="1:63" x14ac:dyDescent="0.3">
      <c r="B181" s="73" t="s">
        <v>29</v>
      </c>
      <c r="C181" s="73"/>
      <c r="D181" s="7" t="s">
        <v>68</v>
      </c>
      <c r="E181" s="73"/>
      <c r="F181" s="135">
        <v>3.3E-3</v>
      </c>
      <c r="G181" s="74">
        <f>$F168</f>
        <v>300</v>
      </c>
      <c r="H181" s="136">
        <f t="shared" si="18"/>
        <v>0.99</v>
      </c>
      <c r="I181" s="76"/>
      <c r="J181" s="132">
        <v>1.21E-2</v>
      </c>
      <c r="K181" s="74">
        <f>$F168</f>
        <v>300</v>
      </c>
      <c r="L181" s="136">
        <f t="shared" si="19"/>
        <v>3.63</v>
      </c>
      <c r="M181" s="76"/>
      <c r="N181" s="137">
        <f t="shared" si="20"/>
        <v>2.6399999999999997</v>
      </c>
      <c r="O181" s="79">
        <f t="shared" si="21"/>
        <v>2.6666666666666665</v>
      </c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</row>
    <row r="182" spans="1:63" x14ac:dyDescent="0.3">
      <c r="B182" s="11" t="s">
        <v>30</v>
      </c>
      <c r="C182" s="73"/>
      <c r="D182" s="7" t="s">
        <v>68</v>
      </c>
      <c r="E182" s="73"/>
      <c r="F182" s="135">
        <v>0.25109999999999999</v>
      </c>
      <c r="G182" s="74">
        <f>$F168</f>
        <v>300</v>
      </c>
      <c r="H182" s="136">
        <f t="shared" si="18"/>
        <v>75.33</v>
      </c>
      <c r="I182" s="76"/>
      <c r="J182" s="132"/>
      <c r="K182" s="74">
        <f>$F168</f>
        <v>300</v>
      </c>
      <c r="L182" s="136">
        <f t="shared" si="19"/>
        <v>0</v>
      </c>
      <c r="M182" s="76"/>
      <c r="N182" s="137">
        <f t="shared" si="20"/>
        <v>-75.33</v>
      </c>
      <c r="O182" s="79">
        <f t="shared" si="21"/>
        <v>-1</v>
      </c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</row>
    <row r="183" spans="1:63" x14ac:dyDescent="0.3">
      <c r="B183" s="11" t="s">
        <v>31</v>
      </c>
      <c r="C183" s="73"/>
      <c r="D183" s="7" t="s">
        <v>68</v>
      </c>
      <c r="E183" s="73"/>
      <c r="F183" s="135">
        <v>-4.65E-2</v>
      </c>
      <c r="G183" s="74">
        <f>$F168</f>
        <v>300</v>
      </c>
      <c r="H183" s="136">
        <f t="shared" si="18"/>
        <v>-13.95</v>
      </c>
      <c r="I183" s="76"/>
      <c r="J183" s="132"/>
      <c r="K183" s="74">
        <f>$F168</f>
        <v>300</v>
      </c>
      <c r="L183" s="136">
        <f t="shared" si="19"/>
        <v>0</v>
      </c>
      <c r="M183" s="76"/>
      <c r="N183" s="137">
        <f t="shared" si="20"/>
        <v>13.95</v>
      </c>
      <c r="O183" s="79">
        <f t="shared" si="21"/>
        <v>-1</v>
      </c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</row>
    <row r="184" spans="1:63" x14ac:dyDescent="0.3">
      <c r="B184" s="11" t="s">
        <v>32</v>
      </c>
      <c r="C184" s="73"/>
      <c r="D184" s="7" t="s">
        <v>24</v>
      </c>
      <c r="E184" s="73"/>
      <c r="F184" s="135"/>
      <c r="G184" s="74">
        <v>1</v>
      </c>
      <c r="H184" s="136">
        <f t="shared" si="18"/>
        <v>0</v>
      </c>
      <c r="I184" s="76"/>
      <c r="J184" s="132"/>
      <c r="K184" s="74">
        <v>1</v>
      </c>
      <c r="L184" s="136">
        <f t="shared" si="19"/>
        <v>0</v>
      </c>
      <c r="M184" s="76"/>
      <c r="N184" s="137">
        <f t="shared" si="20"/>
        <v>0</v>
      </c>
      <c r="O184" s="79" t="str">
        <f t="shared" si="21"/>
        <v/>
      </c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</row>
    <row r="185" spans="1:63" x14ac:dyDescent="0.3">
      <c r="B185" s="12" t="s">
        <v>33</v>
      </c>
      <c r="C185" s="73"/>
      <c r="D185" s="7" t="s">
        <v>68</v>
      </c>
      <c r="E185" s="73"/>
      <c r="F185" s="134"/>
      <c r="G185" s="74">
        <f>$F168</f>
        <v>300</v>
      </c>
      <c r="H185" s="136">
        <f t="shared" si="18"/>
        <v>0</v>
      </c>
      <c r="I185" s="76"/>
      <c r="J185" s="132">
        <v>-4.58E-2</v>
      </c>
      <c r="K185" s="74">
        <f>$F168</f>
        <v>300</v>
      </c>
      <c r="L185" s="136">
        <f t="shared" si="19"/>
        <v>-13.74</v>
      </c>
      <c r="M185" s="76"/>
      <c r="N185" s="137">
        <f t="shared" si="20"/>
        <v>-13.74</v>
      </c>
      <c r="O185" s="79" t="str">
        <f t="shared" si="21"/>
        <v/>
      </c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</row>
    <row r="186" spans="1:63" x14ac:dyDescent="0.3">
      <c r="B186" s="12" t="s">
        <v>77</v>
      </c>
      <c r="C186" s="73"/>
      <c r="D186" s="7" t="s">
        <v>68</v>
      </c>
      <c r="E186" s="73"/>
      <c r="F186" s="134"/>
      <c r="G186" s="74">
        <f>$F168</f>
        <v>300</v>
      </c>
      <c r="H186" s="136">
        <f t="shared" si="18"/>
        <v>0</v>
      </c>
      <c r="I186" s="76"/>
      <c r="J186" s="132">
        <v>6.8199999999999997E-2</v>
      </c>
      <c r="K186" s="74">
        <f>$F168</f>
        <v>300</v>
      </c>
      <c r="L186" s="136">
        <f t="shared" si="19"/>
        <v>20.459999999999997</v>
      </c>
      <c r="M186" s="76"/>
      <c r="N186" s="137">
        <f t="shared" si="20"/>
        <v>20.459999999999997</v>
      </c>
      <c r="O186" s="79" t="str">
        <f t="shared" si="21"/>
        <v/>
      </c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</row>
    <row r="187" spans="1:63" x14ac:dyDescent="0.3">
      <c r="B187" s="12"/>
      <c r="C187" s="73"/>
      <c r="D187" s="7"/>
      <c r="E187" s="73"/>
      <c r="F187" s="131"/>
      <c r="G187" s="74">
        <f>$F168</f>
        <v>300</v>
      </c>
      <c r="H187" s="136">
        <f t="shared" si="18"/>
        <v>0</v>
      </c>
      <c r="I187" s="76"/>
      <c r="J187" s="131"/>
      <c r="K187" s="74">
        <f>$F168</f>
        <v>300</v>
      </c>
      <c r="L187" s="136">
        <f t="shared" si="19"/>
        <v>0</v>
      </c>
      <c r="M187" s="76"/>
      <c r="N187" s="137">
        <f t="shared" si="20"/>
        <v>0</v>
      </c>
      <c r="O187" s="79" t="str">
        <f t="shared" si="21"/>
        <v/>
      </c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</row>
    <row r="188" spans="1:63" x14ac:dyDescent="0.3">
      <c r="B188" s="12"/>
      <c r="C188" s="73"/>
      <c r="D188" s="7"/>
      <c r="E188" s="73"/>
      <c r="F188" s="131"/>
      <c r="G188" s="74">
        <f>$F168</f>
        <v>300</v>
      </c>
      <c r="H188" s="136">
        <f t="shared" si="18"/>
        <v>0</v>
      </c>
      <c r="I188" s="76"/>
      <c r="J188" s="131"/>
      <c r="K188" s="74">
        <f>$F168</f>
        <v>300</v>
      </c>
      <c r="L188" s="136">
        <f t="shared" si="19"/>
        <v>0</v>
      </c>
      <c r="M188" s="76"/>
      <c r="N188" s="137">
        <f t="shared" si="20"/>
        <v>0</v>
      </c>
      <c r="O188" s="79" t="str">
        <f t="shared" si="21"/>
        <v/>
      </c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</row>
    <row r="189" spans="1:63" s="4" customFormat="1" x14ac:dyDescent="0.3">
      <c r="A189" s="60"/>
      <c r="B189" s="19" t="s">
        <v>34</v>
      </c>
      <c r="C189" s="20"/>
      <c r="D189" s="20"/>
      <c r="E189" s="20"/>
      <c r="F189" s="21"/>
      <c r="G189" s="22"/>
      <c r="H189" s="23">
        <f>SUM(H173:H188)</f>
        <v>1284.0999999999999</v>
      </c>
      <c r="I189" s="13"/>
      <c r="J189" s="14"/>
      <c r="K189" s="24"/>
      <c r="L189" s="23">
        <f>SUM(L173:L188)</f>
        <v>1639.71</v>
      </c>
      <c r="M189" s="13"/>
      <c r="N189" s="15">
        <f t="shared" si="20"/>
        <v>355.61000000000013</v>
      </c>
      <c r="O189" s="16">
        <f t="shared" si="21"/>
        <v>0.27693326064948226</v>
      </c>
      <c r="P189" s="60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</row>
    <row r="190" spans="1:63" x14ac:dyDescent="0.3">
      <c r="B190" s="17" t="s">
        <v>35</v>
      </c>
      <c r="C190" s="73"/>
      <c r="D190" s="7" t="s">
        <v>68</v>
      </c>
      <c r="E190" s="73"/>
      <c r="F190" s="135">
        <v>9.5299999999999996E-2</v>
      </c>
      <c r="G190" s="74">
        <f>$F168</f>
        <v>300</v>
      </c>
      <c r="H190" s="136">
        <f t="shared" ref="H190:H196" si="22">G190*F190</f>
        <v>28.59</v>
      </c>
      <c r="I190" s="76"/>
      <c r="J190" s="135">
        <v>-0.52969999999999995</v>
      </c>
      <c r="K190" s="74">
        <f>$F168</f>
        <v>300</v>
      </c>
      <c r="L190" s="136">
        <f t="shared" ref="L190:L196" si="23">K190*J190</f>
        <v>-158.91</v>
      </c>
      <c r="M190" s="76"/>
      <c r="N190" s="137">
        <f t="shared" si="20"/>
        <v>-187.5</v>
      </c>
      <c r="O190" s="79">
        <f t="shared" si="21"/>
        <v>-6.5582371458551938</v>
      </c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</row>
    <row r="191" spans="1:63" x14ac:dyDescent="0.3">
      <c r="B191" s="17"/>
      <c r="C191" s="73"/>
      <c r="D191" s="7"/>
      <c r="E191" s="73"/>
      <c r="F191" s="8"/>
      <c r="G191" s="74">
        <f>$F168</f>
        <v>300</v>
      </c>
      <c r="H191" s="136">
        <f t="shared" si="22"/>
        <v>0</v>
      </c>
      <c r="I191" s="82"/>
      <c r="J191" s="8"/>
      <c r="K191" s="74">
        <f>$F168</f>
        <v>300</v>
      </c>
      <c r="L191" s="136">
        <f t="shared" si="23"/>
        <v>0</v>
      </c>
      <c r="M191" s="83"/>
      <c r="N191" s="137">
        <f t="shared" si="20"/>
        <v>0</v>
      </c>
      <c r="O191" s="79" t="str">
        <f t="shared" si="21"/>
        <v/>
      </c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</row>
    <row r="192" spans="1:63" x14ac:dyDescent="0.3">
      <c r="B192" s="17"/>
      <c r="C192" s="73"/>
      <c r="D192" s="7"/>
      <c r="E192" s="73"/>
      <c r="F192" s="8"/>
      <c r="G192" s="74">
        <f>$F168</f>
        <v>300</v>
      </c>
      <c r="H192" s="136">
        <f t="shared" si="22"/>
        <v>0</v>
      </c>
      <c r="I192" s="82"/>
      <c r="J192" s="8"/>
      <c r="K192" s="74">
        <f>$F168</f>
        <v>300</v>
      </c>
      <c r="L192" s="136">
        <f t="shared" si="23"/>
        <v>0</v>
      </c>
      <c r="M192" s="83"/>
      <c r="N192" s="137">
        <f t="shared" si="20"/>
        <v>0</v>
      </c>
      <c r="O192" s="79" t="str">
        <f t="shared" si="21"/>
        <v/>
      </c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</row>
    <row r="193" spans="1:63" x14ac:dyDescent="0.3">
      <c r="B193" s="17"/>
      <c r="C193" s="73"/>
      <c r="D193" s="7"/>
      <c r="E193" s="73"/>
      <c r="F193" s="8"/>
      <c r="G193" s="74">
        <f>$F168</f>
        <v>300</v>
      </c>
      <c r="H193" s="136">
        <f t="shared" si="22"/>
        <v>0</v>
      </c>
      <c r="I193" s="82"/>
      <c r="J193" s="8"/>
      <c r="K193" s="74">
        <f>$F168</f>
        <v>300</v>
      </c>
      <c r="L193" s="136">
        <f t="shared" si="23"/>
        <v>0</v>
      </c>
      <c r="M193" s="83"/>
      <c r="N193" s="137">
        <f t="shared" si="20"/>
        <v>0</v>
      </c>
      <c r="O193" s="79" t="str">
        <f t="shared" si="21"/>
        <v/>
      </c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</row>
    <row r="194" spans="1:63" x14ac:dyDescent="0.3">
      <c r="B194" s="80" t="s">
        <v>36</v>
      </c>
      <c r="C194" s="73"/>
      <c r="D194" s="7" t="s">
        <v>68</v>
      </c>
      <c r="E194" s="73"/>
      <c r="F194" s="135">
        <v>6.3799999999999996E-2</v>
      </c>
      <c r="G194" s="74">
        <f>$F168</f>
        <v>300</v>
      </c>
      <c r="H194" s="136">
        <f t="shared" si="22"/>
        <v>19.139999999999997</v>
      </c>
      <c r="I194" s="76"/>
      <c r="J194" s="135">
        <v>0.1313</v>
      </c>
      <c r="K194" s="74">
        <f>$F168</f>
        <v>300</v>
      </c>
      <c r="L194" s="136">
        <f t="shared" si="23"/>
        <v>39.39</v>
      </c>
      <c r="M194" s="76"/>
      <c r="N194" s="137">
        <f t="shared" si="20"/>
        <v>20.250000000000004</v>
      </c>
      <c r="O194" s="79">
        <f t="shared" si="21"/>
        <v>1.0579937304075238</v>
      </c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</row>
    <row r="195" spans="1:63" x14ac:dyDescent="0.3">
      <c r="B195" s="80" t="s">
        <v>37</v>
      </c>
      <c r="C195" s="73"/>
      <c r="D195" s="7" t="s">
        <v>27</v>
      </c>
      <c r="E195" s="73"/>
      <c r="F195" s="138">
        <f>IF(ISBLANK(D166)=TRUE, 0, IF(D166="TOU", 0.64*$F205+0.18*$F206+0.18*$F207, IF(AND(D166="non-TOU", G209&gt;0), F209,F208)))</f>
        <v>8.7999999999999995E-2</v>
      </c>
      <c r="G195" s="18">
        <f>$F169*(1+$F224)-$F169</f>
        <v>4524.0000000000146</v>
      </c>
      <c r="H195" s="136">
        <f t="shared" si="22"/>
        <v>398.11200000000127</v>
      </c>
      <c r="I195" s="76"/>
      <c r="J195" s="138">
        <f>+F195</f>
        <v>8.7999999999999995E-2</v>
      </c>
      <c r="K195" s="18">
        <f>$F169*(1+$J224)-$F169</f>
        <v>4512.0000000000146</v>
      </c>
      <c r="L195" s="136">
        <f t="shared" si="23"/>
        <v>397.05600000000123</v>
      </c>
      <c r="M195" s="76"/>
      <c r="N195" s="137">
        <f t="shared" si="20"/>
        <v>-1.05600000000004</v>
      </c>
      <c r="O195" s="79">
        <f t="shared" si="21"/>
        <v>-2.6525198938992965E-3</v>
      </c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</row>
    <row r="196" spans="1:63" x14ac:dyDescent="0.3">
      <c r="B196" s="80" t="s">
        <v>38</v>
      </c>
      <c r="C196" s="73"/>
      <c r="D196" s="7" t="s">
        <v>24</v>
      </c>
      <c r="E196" s="73"/>
      <c r="F196" s="138">
        <v>0</v>
      </c>
      <c r="G196" s="74">
        <v>1</v>
      </c>
      <c r="H196" s="136">
        <f t="shared" si="22"/>
        <v>0</v>
      </c>
      <c r="I196" s="76"/>
      <c r="J196" s="138"/>
      <c r="K196" s="81">
        <v>1</v>
      </c>
      <c r="L196" s="136">
        <f t="shared" si="23"/>
        <v>0</v>
      </c>
      <c r="M196" s="76"/>
      <c r="N196" s="137">
        <f t="shared" si="20"/>
        <v>0</v>
      </c>
      <c r="O196" s="79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</row>
    <row r="197" spans="1:63" s="4" customFormat="1" x14ac:dyDescent="0.3">
      <c r="A197" s="60"/>
      <c r="B197" s="19" t="s">
        <v>39</v>
      </c>
      <c r="C197" s="20"/>
      <c r="D197" s="20"/>
      <c r="E197" s="20"/>
      <c r="F197" s="21"/>
      <c r="G197" s="22"/>
      <c r="H197" s="23">
        <f>SUM(H190:H196)+H189</f>
        <v>1729.9420000000011</v>
      </c>
      <c r="I197" s="13"/>
      <c r="J197" s="22"/>
      <c r="K197" s="24"/>
      <c r="L197" s="23">
        <f>SUM(L190:L196)+L189</f>
        <v>1917.2460000000012</v>
      </c>
      <c r="M197" s="13"/>
      <c r="N197" s="15">
        <f t="shared" si="20"/>
        <v>187.30400000000009</v>
      </c>
      <c r="O197" s="16">
        <f t="shared" ref="O197:O209" si="24">IF((H197)=0,"",(N197/H197))</f>
        <v>0.10827183801537853</v>
      </c>
      <c r="P197" s="60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</row>
    <row r="198" spans="1:63" x14ac:dyDescent="0.3">
      <c r="B198" s="76" t="s">
        <v>40</v>
      </c>
      <c r="C198" s="76"/>
      <c r="D198" s="25" t="s">
        <v>68</v>
      </c>
      <c r="E198" s="76"/>
      <c r="F198" s="135">
        <v>2.8561000000000001</v>
      </c>
      <c r="G198" s="18">
        <f>F168*(1+F224)</f>
        <v>311.31</v>
      </c>
      <c r="H198" s="136">
        <f>G198*F198</f>
        <v>889.13249100000007</v>
      </c>
      <c r="I198" s="76"/>
      <c r="J198" s="135">
        <v>2.6861000000000002</v>
      </c>
      <c r="K198" s="18">
        <f>F168*(1+J224)</f>
        <v>311.28000000000003</v>
      </c>
      <c r="L198" s="136">
        <f>K198*J198</f>
        <v>836.12920800000018</v>
      </c>
      <c r="M198" s="76"/>
      <c r="N198" s="136">
        <f t="shared" si="20"/>
        <v>-53.003282999999897</v>
      </c>
      <c r="O198" s="79">
        <f t="shared" si="24"/>
        <v>-5.9612356467130714E-2</v>
      </c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</row>
    <row r="199" spans="1:63" x14ac:dyDescent="0.3">
      <c r="B199" s="85" t="s">
        <v>41</v>
      </c>
      <c r="C199" s="76"/>
      <c r="D199" s="25" t="s">
        <v>68</v>
      </c>
      <c r="E199" s="76"/>
      <c r="F199" s="135">
        <v>1.9374</v>
      </c>
      <c r="G199" s="18">
        <f>G198</f>
        <v>311.31</v>
      </c>
      <c r="H199" s="136">
        <f>G199*F199</f>
        <v>603.13199399999996</v>
      </c>
      <c r="I199" s="76"/>
      <c r="J199" s="135">
        <v>1.36</v>
      </c>
      <c r="K199" s="18">
        <f>K198</f>
        <v>311.28000000000003</v>
      </c>
      <c r="L199" s="136">
        <f>K199*J199</f>
        <v>423.34080000000006</v>
      </c>
      <c r="M199" s="76"/>
      <c r="N199" s="136">
        <f t="shared" si="20"/>
        <v>-179.7911939999999</v>
      </c>
      <c r="O199" s="79">
        <f t="shared" si="24"/>
        <v>-0.29809593221479791</v>
      </c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</row>
    <row r="200" spans="1:63" s="4" customFormat="1" x14ac:dyDescent="0.3">
      <c r="A200" s="60"/>
      <c r="B200" s="19" t="s">
        <v>42</v>
      </c>
      <c r="C200" s="20"/>
      <c r="D200" s="20"/>
      <c r="E200" s="20"/>
      <c r="F200" s="21"/>
      <c r="G200" s="22"/>
      <c r="H200" s="23">
        <f>SUM(H197:H199)</f>
        <v>3222.2064850000011</v>
      </c>
      <c r="I200" s="13"/>
      <c r="J200" s="26"/>
      <c r="K200" s="22"/>
      <c r="L200" s="23">
        <f>SUM(L197:L199)</f>
        <v>3176.7160080000012</v>
      </c>
      <c r="M200" s="13"/>
      <c r="N200" s="15">
        <f t="shared" si="20"/>
        <v>-45.490476999999828</v>
      </c>
      <c r="O200" s="16">
        <f t="shared" si="24"/>
        <v>-1.4117803192243223E-2</v>
      </c>
      <c r="P200" s="60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</row>
    <row r="201" spans="1:63" x14ac:dyDescent="0.3">
      <c r="B201" s="86" t="s">
        <v>43</v>
      </c>
      <c r="C201" s="73"/>
      <c r="D201" s="7" t="s">
        <v>27</v>
      </c>
      <c r="E201" s="73"/>
      <c r="F201" s="135">
        <v>4.4000000000000003E-3</v>
      </c>
      <c r="G201" s="18">
        <f>F169*(1+F224)</f>
        <v>124524.00000000001</v>
      </c>
      <c r="H201" s="139">
        <f t="shared" ref="H201:H209" si="25">G201*F201</f>
        <v>547.90560000000005</v>
      </c>
      <c r="I201" s="76"/>
      <c r="J201" s="135">
        <f>+F201</f>
        <v>4.4000000000000003E-3</v>
      </c>
      <c r="K201" s="18">
        <f>F169*(1+J224)</f>
        <v>124512.00000000001</v>
      </c>
      <c r="L201" s="139">
        <f t="shared" ref="L201:L209" si="26">K201*J201</f>
        <v>547.85280000000012</v>
      </c>
      <c r="M201" s="76"/>
      <c r="N201" s="137">
        <f t="shared" si="20"/>
        <v>-5.2799999999933789E-2</v>
      </c>
      <c r="O201" s="87">
        <f t="shared" si="24"/>
        <v>-9.6366965404138567E-5</v>
      </c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</row>
    <row r="202" spans="1:63" x14ac:dyDescent="0.3">
      <c r="B202" s="86" t="s">
        <v>44</v>
      </c>
      <c r="C202" s="73"/>
      <c r="D202" s="7" t="s">
        <v>27</v>
      </c>
      <c r="E202" s="73"/>
      <c r="F202" s="135">
        <v>1.1999999999999999E-3</v>
      </c>
      <c r="G202" s="18">
        <f>+G201</f>
        <v>124524.00000000001</v>
      </c>
      <c r="H202" s="139">
        <f t="shared" si="25"/>
        <v>149.4288</v>
      </c>
      <c r="I202" s="76"/>
      <c r="J202" s="135">
        <f>+F202</f>
        <v>1.1999999999999999E-3</v>
      </c>
      <c r="K202" s="18">
        <f>+K201</f>
        <v>124512.00000000001</v>
      </c>
      <c r="L202" s="139">
        <f t="shared" si="26"/>
        <v>149.4144</v>
      </c>
      <c r="M202" s="76"/>
      <c r="N202" s="137">
        <f t="shared" si="20"/>
        <v>-1.4399999999994861E-2</v>
      </c>
      <c r="O202" s="87">
        <f t="shared" si="24"/>
        <v>-9.6366965404225032E-5</v>
      </c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</row>
    <row r="203" spans="1:63" x14ac:dyDescent="0.3">
      <c r="B203" s="73" t="s">
        <v>45</v>
      </c>
      <c r="C203" s="73"/>
      <c r="D203" s="7" t="s">
        <v>24</v>
      </c>
      <c r="E203" s="73"/>
      <c r="F203" s="135">
        <v>0.25</v>
      </c>
      <c r="G203" s="81">
        <v>1</v>
      </c>
      <c r="H203" s="139">
        <f t="shared" si="25"/>
        <v>0.25</v>
      </c>
      <c r="I203" s="76"/>
      <c r="J203" s="135">
        <f>+F203</f>
        <v>0.25</v>
      </c>
      <c r="K203" s="77">
        <v>1</v>
      </c>
      <c r="L203" s="139">
        <f t="shared" si="26"/>
        <v>0.25</v>
      </c>
      <c r="M203" s="76"/>
      <c r="N203" s="137">
        <f t="shared" si="20"/>
        <v>0</v>
      </c>
      <c r="O203" s="87">
        <f t="shared" si="24"/>
        <v>0</v>
      </c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</row>
    <row r="204" spans="1:63" x14ac:dyDescent="0.3">
      <c r="B204" s="73" t="s">
        <v>46</v>
      </c>
      <c r="C204" s="73"/>
      <c r="D204" s="7" t="s">
        <v>27</v>
      </c>
      <c r="E204" s="73"/>
      <c r="F204" s="135">
        <v>7.0000000000000001E-3</v>
      </c>
      <c r="G204" s="84">
        <f>F169</f>
        <v>120000</v>
      </c>
      <c r="H204" s="139">
        <f t="shared" si="25"/>
        <v>840</v>
      </c>
      <c r="I204" s="76"/>
      <c r="J204" s="135">
        <f>+F204</f>
        <v>7.0000000000000001E-3</v>
      </c>
      <c r="K204" s="77">
        <f>F169</f>
        <v>120000</v>
      </c>
      <c r="L204" s="139">
        <f t="shared" si="26"/>
        <v>840</v>
      </c>
      <c r="M204" s="76"/>
      <c r="N204" s="137">
        <f t="shared" si="20"/>
        <v>0</v>
      </c>
      <c r="O204" s="87">
        <f t="shared" si="24"/>
        <v>0</v>
      </c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</row>
    <row r="205" spans="1:63" x14ac:dyDescent="0.3">
      <c r="B205" s="80" t="s">
        <v>47</v>
      </c>
      <c r="C205" s="73"/>
      <c r="D205" s="7" t="s">
        <v>27</v>
      </c>
      <c r="E205" s="73"/>
      <c r="F205" s="138">
        <v>6.7000000000000004E-2</v>
      </c>
      <c r="G205" s="27">
        <f>0.64*$F169</f>
        <v>76800</v>
      </c>
      <c r="H205" s="139">
        <f t="shared" si="25"/>
        <v>5145.6000000000004</v>
      </c>
      <c r="I205" s="76"/>
      <c r="J205" s="138">
        <v>6.7000000000000004E-2</v>
      </c>
      <c r="K205" s="28">
        <f>G205</f>
        <v>76800</v>
      </c>
      <c r="L205" s="139">
        <f t="shared" si="26"/>
        <v>5145.6000000000004</v>
      </c>
      <c r="M205" s="76"/>
      <c r="N205" s="137">
        <f t="shared" si="20"/>
        <v>0</v>
      </c>
      <c r="O205" s="87">
        <f t="shared" si="24"/>
        <v>0</v>
      </c>
      <c r="Q205" s="126"/>
      <c r="R205" s="126"/>
      <c r="S205" s="127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</row>
    <row r="206" spans="1:63" x14ac:dyDescent="0.3">
      <c r="B206" s="80" t="s">
        <v>48</v>
      </c>
      <c r="C206" s="73"/>
      <c r="D206" s="7" t="s">
        <v>27</v>
      </c>
      <c r="E206" s="73"/>
      <c r="F206" s="138">
        <v>0.104</v>
      </c>
      <c r="G206" s="27">
        <f>0.18*$F169</f>
        <v>21600</v>
      </c>
      <c r="H206" s="139">
        <f t="shared" si="25"/>
        <v>2246.4</v>
      </c>
      <c r="I206" s="76"/>
      <c r="J206" s="138">
        <v>0.104</v>
      </c>
      <c r="K206" s="28">
        <f>G206</f>
        <v>21600</v>
      </c>
      <c r="L206" s="139">
        <f t="shared" si="26"/>
        <v>2246.4</v>
      </c>
      <c r="M206" s="76"/>
      <c r="N206" s="137">
        <f t="shared" si="20"/>
        <v>0</v>
      </c>
      <c r="O206" s="87">
        <f t="shared" si="24"/>
        <v>0</v>
      </c>
      <c r="Q206" s="126"/>
      <c r="R206" s="126"/>
      <c r="S206" s="127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</row>
    <row r="207" spans="1:63" x14ac:dyDescent="0.3">
      <c r="B207" s="64" t="s">
        <v>49</v>
      </c>
      <c r="C207" s="73"/>
      <c r="D207" s="7" t="s">
        <v>27</v>
      </c>
      <c r="E207" s="73"/>
      <c r="F207" s="138">
        <v>0.124</v>
      </c>
      <c r="G207" s="27">
        <f>0.18*$F169</f>
        <v>21600</v>
      </c>
      <c r="H207" s="139">
        <f t="shared" si="25"/>
        <v>2678.4</v>
      </c>
      <c r="I207" s="76"/>
      <c r="J207" s="138">
        <v>0.124</v>
      </c>
      <c r="K207" s="28">
        <f>G207</f>
        <v>21600</v>
      </c>
      <c r="L207" s="139">
        <f t="shared" si="26"/>
        <v>2678.4</v>
      </c>
      <c r="M207" s="76"/>
      <c r="N207" s="137">
        <f t="shared" si="20"/>
        <v>0</v>
      </c>
      <c r="O207" s="87">
        <f t="shared" si="24"/>
        <v>0</v>
      </c>
      <c r="Q207" s="126"/>
      <c r="R207" s="126"/>
      <c r="S207" s="127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</row>
    <row r="208" spans="1:63" s="92" customFormat="1" x14ac:dyDescent="0.25">
      <c r="B208" s="89" t="s">
        <v>50</v>
      </c>
      <c r="C208" s="90"/>
      <c r="D208" s="29" t="s">
        <v>27</v>
      </c>
      <c r="E208" s="90"/>
      <c r="F208" s="138">
        <v>7.4999999999999997E-2</v>
      </c>
      <c r="G208" s="30">
        <f>IF(AND($T$1=1, F169&gt;=750), 750, IF(AND($T$1=1, AND(F169&lt;750, F169&gt;=0)), F169, IF(AND($T$1=2, F169&gt;=750), 750, IF(AND($T$1=2, AND(F169&lt;750, F169&gt;=0)), F169))))</f>
        <v>750</v>
      </c>
      <c r="H208" s="139">
        <f t="shared" si="25"/>
        <v>56.25</v>
      </c>
      <c r="I208" s="91"/>
      <c r="J208" s="138">
        <v>7.4999999999999997E-2</v>
      </c>
      <c r="K208" s="31">
        <f>G208</f>
        <v>750</v>
      </c>
      <c r="L208" s="139">
        <f t="shared" si="26"/>
        <v>56.25</v>
      </c>
      <c r="M208" s="91"/>
      <c r="N208" s="140">
        <f t="shared" si="20"/>
        <v>0</v>
      </c>
      <c r="O208" s="87">
        <f t="shared" si="24"/>
        <v>0</v>
      </c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</row>
    <row r="209" spans="1:63" s="92" customFormat="1" ht="15" thickBot="1" x14ac:dyDescent="0.3">
      <c r="B209" s="89" t="s">
        <v>51</v>
      </c>
      <c r="C209" s="90"/>
      <c r="D209" s="29" t="s">
        <v>27</v>
      </c>
      <c r="E209" s="90"/>
      <c r="F209" s="138">
        <v>8.7999999999999995E-2</v>
      </c>
      <c r="G209" s="30">
        <f>IF(AND($T$1=1, F169&gt;=750), F169-750, IF(AND($T$1=1, AND(F169&lt;750, F169&gt;=0)), 0, IF(AND($T$1=2, F169&gt;=750), F169-750, IF(AND($T$1=2, AND(F169&lt;750, F169&gt;=0)), 0))))</f>
        <v>119250</v>
      </c>
      <c r="H209" s="139">
        <f t="shared" si="25"/>
        <v>10494</v>
      </c>
      <c r="I209" s="91"/>
      <c r="J209" s="138">
        <v>8.7999999999999995E-2</v>
      </c>
      <c r="K209" s="31">
        <f>G209</f>
        <v>119250</v>
      </c>
      <c r="L209" s="139">
        <f t="shared" si="26"/>
        <v>10494</v>
      </c>
      <c r="M209" s="91"/>
      <c r="N209" s="140">
        <f t="shared" si="20"/>
        <v>0</v>
      </c>
      <c r="O209" s="87">
        <f t="shared" si="24"/>
        <v>0</v>
      </c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</row>
    <row r="210" spans="1:63" s="4" customFormat="1" ht="15" thickBot="1" x14ac:dyDescent="0.35">
      <c r="A210" s="60"/>
      <c r="B210" s="32"/>
      <c r="C210" s="33"/>
      <c r="D210" s="124"/>
      <c r="E210" s="33"/>
      <c r="F210" s="35"/>
      <c r="G210" s="36"/>
      <c r="H210" s="122"/>
      <c r="I210" s="123"/>
      <c r="J210" s="35"/>
      <c r="K210" s="39"/>
      <c r="L210" s="122"/>
      <c r="M210" s="123"/>
      <c r="N210" s="40"/>
      <c r="O210" s="41"/>
      <c r="P210" s="60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</row>
    <row r="211" spans="1:63" x14ac:dyDescent="0.3">
      <c r="B211" s="93" t="s">
        <v>52</v>
      </c>
      <c r="C211" s="73"/>
      <c r="D211" s="73"/>
      <c r="E211" s="73"/>
      <c r="F211" s="94"/>
      <c r="G211" s="95"/>
      <c r="H211" s="141">
        <f>SUM(H201:H207,H200)</f>
        <v>14830.190885</v>
      </c>
      <c r="I211" s="96"/>
      <c r="J211" s="97"/>
      <c r="K211" s="97"/>
      <c r="L211" s="144">
        <f>SUM(L201:L207,L200)</f>
        <v>14784.633208000001</v>
      </c>
      <c r="M211" s="145"/>
      <c r="N211" s="146">
        <f>L211-H211</f>
        <v>-45.557676999998876</v>
      </c>
      <c r="O211" s="98">
        <f>IF((H211)=0,"",(N211/H211))</f>
        <v>-3.0719548624339151E-3</v>
      </c>
      <c r="Q211" s="126"/>
      <c r="R211" s="126"/>
      <c r="S211" s="127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</row>
    <row r="212" spans="1:63" x14ac:dyDescent="0.3">
      <c r="B212" s="99" t="s">
        <v>53</v>
      </c>
      <c r="C212" s="73"/>
      <c r="D212" s="73"/>
      <c r="E212" s="73"/>
      <c r="F212" s="100">
        <v>0.13</v>
      </c>
      <c r="G212" s="101"/>
      <c r="H212" s="142">
        <f>H211*F212</f>
        <v>1927.92481505</v>
      </c>
      <c r="I212" s="102"/>
      <c r="J212" s="103">
        <v>0.13</v>
      </c>
      <c r="K212" s="102"/>
      <c r="L212" s="147">
        <f>L211*J212</f>
        <v>1922.0023170400002</v>
      </c>
      <c r="M212" s="148"/>
      <c r="N212" s="149">
        <f>L212-H212</f>
        <v>-5.9224980099997993</v>
      </c>
      <c r="O212" s="104">
        <f>IF((H212)=0,"",(N212/H212))</f>
        <v>-3.0719548624338869E-3</v>
      </c>
      <c r="Q212" s="126"/>
      <c r="R212" s="126"/>
      <c r="S212" s="127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</row>
    <row r="213" spans="1:63" x14ac:dyDescent="0.3">
      <c r="B213" s="105" t="s">
        <v>54</v>
      </c>
      <c r="C213" s="73"/>
      <c r="D213" s="73"/>
      <c r="E213" s="73"/>
      <c r="F213" s="106"/>
      <c r="G213" s="101"/>
      <c r="H213" s="142">
        <f>H211+H212</f>
        <v>16758.115700049999</v>
      </c>
      <c r="I213" s="102"/>
      <c r="J213" s="102"/>
      <c r="K213" s="102"/>
      <c r="L213" s="147">
        <f>L211+L212</f>
        <v>16706.635525040001</v>
      </c>
      <c r="M213" s="148"/>
      <c r="N213" s="149">
        <f>L213-H213</f>
        <v>-51.480175009997765</v>
      </c>
      <c r="O213" s="104">
        <f>IF((H213)=0,"",(N213/H213))</f>
        <v>-3.0719548624338578E-3</v>
      </c>
      <c r="Q213" s="126"/>
      <c r="R213" s="126"/>
      <c r="S213" s="127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</row>
    <row r="214" spans="1:63" ht="14.4" customHeight="1" x14ac:dyDescent="0.3">
      <c r="B214" s="172" t="s">
        <v>55</v>
      </c>
      <c r="C214" s="172"/>
      <c r="D214" s="172"/>
      <c r="E214" s="73"/>
      <c r="F214" s="106"/>
      <c r="G214" s="101"/>
      <c r="H214" s="143">
        <v>0</v>
      </c>
      <c r="I214" s="102"/>
      <c r="J214" s="102"/>
      <c r="K214" s="102"/>
      <c r="L214" s="150">
        <v>0</v>
      </c>
      <c r="M214" s="148"/>
      <c r="N214" s="151">
        <f>L214-H214</f>
        <v>0</v>
      </c>
      <c r="O214" s="107" t="str">
        <f>IF((H214)=0,"",(N214/H214))</f>
        <v/>
      </c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</row>
    <row r="215" spans="1:63" s="4" customFormat="1" ht="15" thickBot="1" x14ac:dyDescent="0.35">
      <c r="A215" s="60"/>
      <c r="B215" s="173" t="s">
        <v>56</v>
      </c>
      <c r="C215" s="173"/>
      <c r="D215" s="173"/>
      <c r="E215" s="42"/>
      <c r="F215" s="43"/>
      <c r="G215" s="44"/>
      <c r="H215" s="45">
        <f>H213+H214</f>
        <v>16758.115700049999</v>
      </c>
      <c r="I215" s="46"/>
      <c r="J215" s="46"/>
      <c r="K215" s="46"/>
      <c r="L215" s="47">
        <f>L213+L214</f>
        <v>16706.635525040001</v>
      </c>
      <c r="M215" s="48"/>
      <c r="N215" s="49">
        <f>L215-H215</f>
        <v>-51.480175009997765</v>
      </c>
      <c r="O215" s="50">
        <f>IF((H215)=0,"",(N215/H215))</f>
        <v>-3.0719548624338578E-3</v>
      </c>
      <c r="P215" s="60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</row>
    <row r="216" spans="1:63" s="4" customFormat="1" ht="15" thickBot="1" x14ac:dyDescent="0.35">
      <c r="A216" s="60"/>
      <c r="B216" s="32"/>
      <c r="C216" s="33"/>
      <c r="D216" s="34"/>
      <c r="E216" s="33"/>
      <c r="F216" s="35"/>
      <c r="G216" s="36"/>
      <c r="H216" s="37"/>
      <c r="I216" s="38"/>
      <c r="J216" s="35"/>
      <c r="K216" s="39"/>
      <c r="L216" s="37"/>
      <c r="M216" s="123"/>
      <c r="N216" s="40"/>
      <c r="O216" s="41"/>
      <c r="P216" s="60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</row>
    <row r="217" spans="1:63" s="92" customFormat="1" ht="13.2" x14ac:dyDescent="0.25">
      <c r="B217" s="108" t="s">
        <v>57</v>
      </c>
      <c r="C217" s="90"/>
      <c r="D217" s="90"/>
      <c r="E217" s="90"/>
      <c r="F217" s="109"/>
      <c r="G217" s="110"/>
      <c r="H217" s="152">
        <f>SUM(H208:H209,H200,H201:H204)</f>
        <v>15310.040885</v>
      </c>
      <c r="I217" s="111"/>
      <c r="J217" s="112"/>
      <c r="K217" s="112"/>
      <c r="L217" s="155">
        <f>SUM(L208:L209,L200,L201:L204)</f>
        <v>15264.483208000001</v>
      </c>
      <c r="M217" s="156"/>
      <c r="N217" s="157">
        <f>L217-H217</f>
        <v>-45.557676999998876</v>
      </c>
      <c r="O217" s="98">
        <f>IF((H217)=0,"",(N217/H217))</f>
        <v>-2.9756731116658201E-3</v>
      </c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63" s="92" customFormat="1" ht="13.2" x14ac:dyDescent="0.25">
      <c r="B218" s="113" t="s">
        <v>53</v>
      </c>
      <c r="C218" s="90"/>
      <c r="D218" s="90"/>
      <c r="E218" s="90"/>
      <c r="F218" s="114">
        <v>0.13</v>
      </c>
      <c r="G218" s="110"/>
      <c r="H218" s="153">
        <f>H217*F218</f>
        <v>1990.3053150500002</v>
      </c>
      <c r="I218" s="115"/>
      <c r="J218" s="116">
        <v>0.13</v>
      </c>
      <c r="K218" s="117"/>
      <c r="L218" s="158">
        <f>L217*J218</f>
        <v>1984.3828170400002</v>
      </c>
      <c r="M218" s="159"/>
      <c r="N218" s="160">
        <f>L218-H218</f>
        <v>-5.9224980100000266</v>
      </c>
      <c r="O218" s="104">
        <f>IF((H218)=0,"",(N218/H218))</f>
        <v>-2.9756731116659064E-3</v>
      </c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63" s="92" customFormat="1" ht="13.2" x14ac:dyDescent="0.25">
      <c r="B219" s="118" t="s">
        <v>54</v>
      </c>
      <c r="C219" s="90"/>
      <c r="D219" s="90"/>
      <c r="E219" s="90"/>
      <c r="F219" s="119"/>
      <c r="G219" s="120"/>
      <c r="H219" s="153">
        <f>H217+H218</f>
        <v>17300.34620005</v>
      </c>
      <c r="I219" s="115"/>
      <c r="J219" s="115"/>
      <c r="K219" s="115"/>
      <c r="L219" s="158">
        <f>L217+L218</f>
        <v>17248.866025040003</v>
      </c>
      <c r="M219" s="159"/>
      <c r="N219" s="160">
        <f>L219-H219</f>
        <v>-51.480175009997765</v>
      </c>
      <c r="O219" s="104">
        <f>IF((H219)=0,"",(N219/H219))</f>
        <v>-2.9756731116657642E-3</v>
      </c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</row>
    <row r="220" spans="1:63" s="92" customFormat="1" ht="13.2" customHeight="1" x14ac:dyDescent="0.25">
      <c r="B220" s="174" t="s">
        <v>55</v>
      </c>
      <c r="C220" s="174"/>
      <c r="D220" s="174"/>
      <c r="E220" s="90"/>
      <c r="F220" s="119"/>
      <c r="G220" s="120"/>
      <c r="H220" s="154">
        <v>0</v>
      </c>
      <c r="I220" s="115"/>
      <c r="J220" s="115"/>
      <c r="K220" s="115"/>
      <c r="L220" s="161">
        <v>0</v>
      </c>
      <c r="M220" s="159"/>
      <c r="N220" s="162">
        <f>L220-H220</f>
        <v>0</v>
      </c>
      <c r="O220" s="107" t="str">
        <f>IF((H220)=0,"",(N220/H220))</f>
        <v/>
      </c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</row>
    <row r="221" spans="1:63" s="4" customFormat="1" ht="15" thickBot="1" x14ac:dyDescent="0.35">
      <c r="A221" s="60"/>
      <c r="B221" s="173" t="s">
        <v>58</v>
      </c>
      <c r="C221" s="173"/>
      <c r="D221" s="173"/>
      <c r="E221" s="42"/>
      <c r="F221" s="43"/>
      <c r="G221" s="44"/>
      <c r="H221" s="45">
        <f>SUM(H219:H220)</f>
        <v>17300.34620005</v>
      </c>
      <c r="I221" s="46"/>
      <c r="J221" s="46"/>
      <c r="K221" s="46"/>
      <c r="L221" s="47">
        <f>SUM(L219:L220)</f>
        <v>17248.866025040003</v>
      </c>
      <c r="M221" s="48"/>
      <c r="N221" s="49">
        <f>L221-H221</f>
        <v>-51.480175009997765</v>
      </c>
      <c r="O221" s="50">
        <f>IF((H221)=0,"",(N221/H221))</f>
        <v>-2.9756731116657642E-3</v>
      </c>
      <c r="P221" s="60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</row>
    <row r="222" spans="1:63" s="4" customFormat="1" ht="15" thickBot="1" x14ac:dyDescent="0.35">
      <c r="A222" s="60"/>
      <c r="B222" s="32"/>
      <c r="C222" s="33"/>
      <c r="D222" s="34"/>
      <c r="E222" s="33"/>
      <c r="F222" s="35"/>
      <c r="G222" s="36"/>
      <c r="H222" s="122"/>
      <c r="I222" s="123"/>
      <c r="J222" s="35"/>
      <c r="K222" s="39"/>
      <c r="L222" s="37"/>
      <c r="M222" s="123"/>
      <c r="N222" s="40"/>
      <c r="O222" s="41"/>
      <c r="P222" s="60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</row>
    <row r="223" spans="1:63" x14ac:dyDescent="0.3">
      <c r="L223" s="88"/>
    </row>
    <row r="224" spans="1:63" x14ac:dyDescent="0.3">
      <c r="B224" s="65" t="s">
        <v>59</v>
      </c>
      <c r="F224" s="51">
        <v>3.7699999999999997E-2</v>
      </c>
      <c r="J224" s="51">
        <f>+Residential!$J$74</f>
        <v>3.7600000000000001E-2</v>
      </c>
    </row>
    <row r="226" spans="1:16" x14ac:dyDescent="0.3">
      <c r="L226" s="56"/>
      <c r="M226" s="56"/>
      <c r="N226" s="56"/>
      <c r="O226" s="56"/>
      <c r="P226" s="56"/>
    </row>
    <row r="227" spans="1:16" ht="16.2" x14ac:dyDescent="0.3">
      <c r="A227" s="121" t="s">
        <v>60</v>
      </c>
    </row>
    <row r="229" spans="1:16" x14ac:dyDescent="0.3">
      <c r="A229" s="60" t="s">
        <v>61</v>
      </c>
    </row>
    <row r="230" spans="1:16" x14ac:dyDescent="0.3">
      <c r="A230" s="60" t="s">
        <v>62</v>
      </c>
    </row>
    <row r="232" spans="1:16" x14ac:dyDescent="0.3">
      <c r="B232" s="60" t="s">
        <v>63</v>
      </c>
    </row>
    <row r="235" spans="1:16" ht="18.75" customHeight="1" x14ac:dyDescent="0.3">
      <c r="B235" s="175" t="s">
        <v>6</v>
      </c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56"/>
    </row>
    <row r="236" spans="1:16" ht="18.75" customHeight="1" x14ac:dyDescent="0.3">
      <c r="B236" s="175" t="s">
        <v>7</v>
      </c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56"/>
    </row>
    <row r="237" spans="1:16" ht="7.5" customHeight="1" x14ac:dyDescent="0.3">
      <c r="L237" s="56"/>
      <c r="M237" s="56"/>
      <c r="N237" s="56"/>
      <c r="O237" s="56"/>
      <c r="P237" s="56"/>
    </row>
    <row r="238" spans="1:16" ht="7.5" customHeight="1" x14ac:dyDescent="0.3">
      <c r="L238" s="56"/>
      <c r="M238" s="56"/>
      <c r="N238" s="56"/>
      <c r="O238" s="56"/>
      <c r="P238" s="56"/>
    </row>
    <row r="239" spans="1:16" ht="15.6" x14ac:dyDescent="0.3">
      <c r="B239" s="61" t="s">
        <v>8</v>
      </c>
      <c r="D239" s="185" t="s">
        <v>69</v>
      </c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</row>
    <row r="240" spans="1:16" ht="7.5" customHeight="1" x14ac:dyDescent="0.3">
      <c r="B240" s="62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</row>
    <row r="241" spans="2:29" ht="15.6" x14ac:dyDescent="0.3">
      <c r="B241" s="61" t="s">
        <v>9</v>
      </c>
      <c r="D241" s="5" t="s">
        <v>64</v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</row>
    <row r="242" spans="2:29" ht="15.6" x14ac:dyDescent="0.3">
      <c r="B242" s="62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</row>
    <row r="243" spans="2:29" x14ac:dyDescent="0.3">
      <c r="B243" s="64"/>
      <c r="D243" s="65" t="s">
        <v>11</v>
      </c>
      <c r="E243" s="65"/>
      <c r="F243" s="6">
        <v>500</v>
      </c>
      <c r="G243" s="65" t="s">
        <v>65</v>
      </c>
    </row>
    <row r="244" spans="2:29" x14ac:dyDescent="0.3">
      <c r="B244" s="64"/>
      <c r="F244" s="6">
        <v>200000</v>
      </c>
      <c r="G244" s="65" t="s">
        <v>12</v>
      </c>
    </row>
    <row r="245" spans="2:29" x14ac:dyDescent="0.3">
      <c r="B245" s="64"/>
      <c r="D245" s="66"/>
      <c r="E245" s="66"/>
      <c r="F245" s="176" t="s">
        <v>13</v>
      </c>
      <c r="G245" s="177"/>
      <c r="H245" s="178"/>
      <c r="J245" s="176" t="s">
        <v>14</v>
      </c>
      <c r="K245" s="177"/>
      <c r="L245" s="178"/>
      <c r="N245" s="176" t="s">
        <v>15</v>
      </c>
      <c r="O245" s="178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</row>
    <row r="246" spans="2:29" x14ac:dyDescent="0.3">
      <c r="B246" s="64"/>
      <c r="D246" s="179" t="s">
        <v>16</v>
      </c>
      <c r="E246" s="67"/>
      <c r="F246" s="68" t="s">
        <v>17</v>
      </c>
      <c r="G246" s="68" t="s">
        <v>18</v>
      </c>
      <c r="H246" s="69" t="s">
        <v>19</v>
      </c>
      <c r="J246" s="68" t="s">
        <v>17</v>
      </c>
      <c r="K246" s="70" t="s">
        <v>18</v>
      </c>
      <c r="L246" s="69" t="s">
        <v>19</v>
      </c>
      <c r="N246" s="181" t="s">
        <v>20</v>
      </c>
      <c r="O246" s="183" t="s">
        <v>21</v>
      </c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</row>
    <row r="247" spans="2:29" x14ac:dyDescent="0.3">
      <c r="B247" s="64"/>
      <c r="D247" s="180"/>
      <c r="E247" s="67"/>
      <c r="F247" s="71" t="s">
        <v>22</v>
      </c>
      <c r="G247" s="71"/>
      <c r="H247" s="72" t="s">
        <v>22</v>
      </c>
      <c r="J247" s="71" t="s">
        <v>22</v>
      </c>
      <c r="K247" s="72"/>
      <c r="L247" s="72" t="s">
        <v>22</v>
      </c>
      <c r="N247" s="182"/>
      <c r="O247" s="184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</row>
    <row r="248" spans="2:29" x14ac:dyDescent="0.3">
      <c r="B248" s="73" t="s">
        <v>23</v>
      </c>
      <c r="C248" s="73"/>
      <c r="D248" s="7" t="s">
        <v>24</v>
      </c>
      <c r="E248" s="73"/>
      <c r="F248" s="129">
        <v>118.45</v>
      </c>
      <c r="G248" s="74">
        <v>1</v>
      </c>
      <c r="H248" s="75">
        <f t="shared" ref="H248:H263" si="27">G248*F248</f>
        <v>118.45</v>
      </c>
      <c r="I248" s="76"/>
      <c r="J248" s="129">
        <v>158.52000000000001</v>
      </c>
      <c r="K248" s="77">
        <v>1</v>
      </c>
      <c r="L248" s="75">
        <f t="shared" ref="L248:L263" si="28">K248*J248</f>
        <v>158.52000000000001</v>
      </c>
      <c r="M248" s="76"/>
      <c r="N248" s="78">
        <f t="shared" ref="N248:N284" si="29">L248-H248</f>
        <v>40.070000000000007</v>
      </c>
      <c r="O248" s="79">
        <f t="shared" ref="O248:O270" si="30">IF((H248)=0,"",(N248/H248))</f>
        <v>0.33828619670747156</v>
      </c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</row>
    <row r="249" spans="2:29" x14ac:dyDescent="0.3">
      <c r="B249" s="73" t="s">
        <v>25</v>
      </c>
      <c r="C249" s="73"/>
      <c r="D249" s="7" t="s">
        <v>24</v>
      </c>
      <c r="E249" s="73"/>
      <c r="F249" s="133"/>
      <c r="G249" s="74">
        <v>1</v>
      </c>
      <c r="H249" s="136">
        <f t="shared" si="27"/>
        <v>0</v>
      </c>
      <c r="I249" s="76"/>
      <c r="J249" s="130"/>
      <c r="K249" s="77">
        <v>1</v>
      </c>
      <c r="L249" s="136">
        <f t="shared" si="28"/>
        <v>0</v>
      </c>
      <c r="M249" s="76"/>
      <c r="N249" s="137">
        <f t="shared" si="29"/>
        <v>0</v>
      </c>
      <c r="O249" s="79" t="str">
        <f t="shared" si="30"/>
        <v/>
      </c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</row>
    <row r="250" spans="2:29" x14ac:dyDescent="0.3">
      <c r="B250" s="9"/>
      <c r="C250" s="73"/>
      <c r="D250" s="7"/>
      <c r="E250" s="73"/>
      <c r="F250" s="134"/>
      <c r="G250" s="74">
        <v>1</v>
      </c>
      <c r="H250" s="136">
        <f t="shared" si="27"/>
        <v>0</v>
      </c>
      <c r="I250" s="76"/>
      <c r="J250" s="131"/>
      <c r="K250" s="77">
        <v>1</v>
      </c>
      <c r="L250" s="136">
        <f t="shared" si="28"/>
        <v>0</v>
      </c>
      <c r="M250" s="76"/>
      <c r="N250" s="137">
        <f t="shared" si="29"/>
        <v>0</v>
      </c>
      <c r="O250" s="79" t="str">
        <f t="shared" si="30"/>
        <v/>
      </c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</row>
    <row r="251" spans="2:29" x14ac:dyDescent="0.3">
      <c r="B251" s="9"/>
      <c r="C251" s="73"/>
      <c r="D251" s="7"/>
      <c r="E251" s="73"/>
      <c r="F251" s="134"/>
      <c r="G251" s="74">
        <v>1</v>
      </c>
      <c r="H251" s="136">
        <f t="shared" si="27"/>
        <v>0</v>
      </c>
      <c r="I251" s="76"/>
      <c r="J251" s="131"/>
      <c r="K251" s="77">
        <v>1</v>
      </c>
      <c r="L251" s="136">
        <f t="shared" si="28"/>
        <v>0</v>
      </c>
      <c r="M251" s="76"/>
      <c r="N251" s="137">
        <f t="shared" si="29"/>
        <v>0</v>
      </c>
      <c r="O251" s="79" t="str">
        <f t="shared" si="30"/>
        <v/>
      </c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</row>
    <row r="252" spans="2:29" x14ac:dyDescent="0.3">
      <c r="B252" s="10"/>
      <c r="C252" s="73"/>
      <c r="D252" s="7"/>
      <c r="E252" s="73"/>
      <c r="F252" s="134"/>
      <c r="G252" s="74">
        <v>1</v>
      </c>
      <c r="H252" s="136">
        <f t="shared" si="27"/>
        <v>0</v>
      </c>
      <c r="I252" s="76"/>
      <c r="J252" s="131"/>
      <c r="K252" s="77">
        <v>1</v>
      </c>
      <c r="L252" s="136">
        <f t="shared" si="28"/>
        <v>0</v>
      </c>
      <c r="M252" s="76"/>
      <c r="N252" s="137">
        <f t="shared" si="29"/>
        <v>0</v>
      </c>
      <c r="O252" s="79" t="str">
        <f t="shared" si="30"/>
        <v/>
      </c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</row>
    <row r="253" spans="2:29" x14ac:dyDescent="0.3">
      <c r="B253" s="10"/>
      <c r="C253" s="73"/>
      <c r="D253" s="7"/>
      <c r="E253" s="73"/>
      <c r="F253" s="134"/>
      <c r="G253" s="74">
        <v>1</v>
      </c>
      <c r="H253" s="136">
        <f t="shared" si="27"/>
        <v>0</v>
      </c>
      <c r="I253" s="76"/>
      <c r="J253" s="131"/>
      <c r="K253" s="77">
        <v>1</v>
      </c>
      <c r="L253" s="136">
        <f t="shared" si="28"/>
        <v>0</v>
      </c>
      <c r="M253" s="76"/>
      <c r="N253" s="137">
        <f t="shared" si="29"/>
        <v>0</v>
      </c>
      <c r="O253" s="79" t="str">
        <f t="shared" si="30"/>
        <v/>
      </c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</row>
    <row r="254" spans="2:29" x14ac:dyDescent="0.3">
      <c r="B254" s="73" t="s">
        <v>26</v>
      </c>
      <c r="C254" s="73"/>
      <c r="D254" s="7" t="s">
        <v>68</v>
      </c>
      <c r="E254" s="73"/>
      <c r="F254" s="135">
        <v>3.6776</v>
      </c>
      <c r="G254" s="74">
        <f>$F243</f>
        <v>500</v>
      </c>
      <c r="H254" s="136">
        <f t="shared" si="27"/>
        <v>1838.8</v>
      </c>
      <c r="I254" s="76"/>
      <c r="J254" s="132">
        <v>4.9028</v>
      </c>
      <c r="K254" s="74">
        <f>$F243</f>
        <v>500</v>
      </c>
      <c r="L254" s="136">
        <f t="shared" si="28"/>
        <v>2451.4</v>
      </c>
      <c r="M254" s="76"/>
      <c r="N254" s="137">
        <f t="shared" si="29"/>
        <v>612.60000000000014</v>
      </c>
      <c r="O254" s="79">
        <f t="shared" si="30"/>
        <v>0.3331520556884926</v>
      </c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</row>
    <row r="255" spans="2:29" x14ac:dyDescent="0.3">
      <c r="B255" s="73" t="s">
        <v>28</v>
      </c>
      <c r="C255" s="73"/>
      <c r="D255" s="7" t="s">
        <v>24</v>
      </c>
      <c r="E255" s="73"/>
      <c r="F255" s="135"/>
      <c r="G255" s="74">
        <v>1</v>
      </c>
      <c r="H255" s="136">
        <f t="shared" si="27"/>
        <v>0</v>
      </c>
      <c r="I255" s="76"/>
      <c r="J255" s="132"/>
      <c r="K255" s="74">
        <v>1</v>
      </c>
      <c r="L255" s="136">
        <f t="shared" si="28"/>
        <v>0</v>
      </c>
      <c r="M255" s="76"/>
      <c r="N255" s="137">
        <f t="shared" si="29"/>
        <v>0</v>
      </c>
      <c r="O255" s="79" t="str">
        <f t="shared" si="30"/>
        <v/>
      </c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</row>
    <row r="256" spans="2:29" x14ac:dyDescent="0.3">
      <c r="B256" s="73" t="s">
        <v>29</v>
      </c>
      <c r="C256" s="73"/>
      <c r="D256" s="7" t="s">
        <v>68</v>
      </c>
      <c r="E256" s="73"/>
      <c r="F256" s="135">
        <v>3.3E-3</v>
      </c>
      <c r="G256" s="74">
        <f>$F243</f>
        <v>500</v>
      </c>
      <c r="H256" s="136">
        <f t="shared" si="27"/>
        <v>1.65</v>
      </c>
      <c r="I256" s="76"/>
      <c r="J256" s="132">
        <v>1.21E-2</v>
      </c>
      <c r="K256" s="74">
        <f>$F243</f>
        <v>500</v>
      </c>
      <c r="L256" s="136">
        <f t="shared" si="28"/>
        <v>6.05</v>
      </c>
      <c r="M256" s="76"/>
      <c r="N256" s="137">
        <f t="shared" si="29"/>
        <v>4.4000000000000004</v>
      </c>
      <c r="O256" s="79">
        <f t="shared" si="30"/>
        <v>2.666666666666667</v>
      </c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</row>
    <row r="257" spans="1:63" x14ac:dyDescent="0.3">
      <c r="B257" s="11" t="s">
        <v>30</v>
      </c>
      <c r="C257" s="73"/>
      <c r="D257" s="7" t="s">
        <v>68</v>
      </c>
      <c r="E257" s="73"/>
      <c r="F257" s="135">
        <v>0.25109999999999999</v>
      </c>
      <c r="G257" s="74">
        <f>$F243</f>
        <v>500</v>
      </c>
      <c r="H257" s="136">
        <f t="shared" si="27"/>
        <v>125.55</v>
      </c>
      <c r="I257" s="76"/>
      <c r="J257" s="132"/>
      <c r="K257" s="74">
        <f>$F243</f>
        <v>500</v>
      </c>
      <c r="L257" s="136">
        <f t="shared" si="28"/>
        <v>0</v>
      </c>
      <c r="M257" s="76"/>
      <c r="N257" s="137">
        <f t="shared" si="29"/>
        <v>-125.55</v>
      </c>
      <c r="O257" s="79">
        <f t="shared" si="30"/>
        <v>-1</v>
      </c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</row>
    <row r="258" spans="1:63" x14ac:dyDescent="0.3">
      <c r="B258" s="11" t="s">
        <v>31</v>
      </c>
      <c r="C258" s="73"/>
      <c r="D258" s="7" t="s">
        <v>68</v>
      </c>
      <c r="E258" s="73"/>
      <c r="F258" s="135">
        <v>-4.65E-2</v>
      </c>
      <c r="G258" s="74">
        <f>$F243</f>
        <v>500</v>
      </c>
      <c r="H258" s="136">
        <f t="shared" si="27"/>
        <v>-23.25</v>
      </c>
      <c r="I258" s="76"/>
      <c r="J258" s="132"/>
      <c r="K258" s="74">
        <f>$F243</f>
        <v>500</v>
      </c>
      <c r="L258" s="136">
        <f t="shared" si="28"/>
        <v>0</v>
      </c>
      <c r="M258" s="76"/>
      <c r="N258" s="137">
        <f t="shared" si="29"/>
        <v>23.25</v>
      </c>
      <c r="O258" s="79">
        <f t="shared" si="30"/>
        <v>-1</v>
      </c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</row>
    <row r="259" spans="1:63" x14ac:dyDescent="0.3">
      <c r="B259" s="11" t="s">
        <v>32</v>
      </c>
      <c r="C259" s="73"/>
      <c r="D259" s="7" t="s">
        <v>24</v>
      </c>
      <c r="E259" s="73"/>
      <c r="F259" s="135"/>
      <c r="G259" s="74">
        <v>1</v>
      </c>
      <c r="H259" s="136">
        <f t="shared" si="27"/>
        <v>0</v>
      </c>
      <c r="I259" s="76"/>
      <c r="J259" s="132"/>
      <c r="K259" s="74">
        <v>1</v>
      </c>
      <c r="L259" s="136">
        <f t="shared" si="28"/>
        <v>0</v>
      </c>
      <c r="M259" s="76"/>
      <c r="N259" s="137">
        <f t="shared" si="29"/>
        <v>0</v>
      </c>
      <c r="O259" s="79" t="str">
        <f t="shared" si="30"/>
        <v/>
      </c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</row>
    <row r="260" spans="1:63" x14ac:dyDescent="0.3">
      <c r="B260" s="12" t="s">
        <v>33</v>
      </c>
      <c r="C260" s="73"/>
      <c r="D260" s="7" t="s">
        <v>68</v>
      </c>
      <c r="E260" s="73"/>
      <c r="F260" s="134"/>
      <c r="G260" s="74">
        <f>$F243</f>
        <v>500</v>
      </c>
      <c r="H260" s="136">
        <f t="shared" si="27"/>
        <v>0</v>
      </c>
      <c r="I260" s="76"/>
      <c r="J260" s="132">
        <v>-4.58E-2</v>
      </c>
      <c r="K260" s="74">
        <f>$F243</f>
        <v>500</v>
      </c>
      <c r="L260" s="136">
        <f t="shared" si="28"/>
        <v>-22.9</v>
      </c>
      <c r="M260" s="76"/>
      <c r="N260" s="137">
        <f t="shared" si="29"/>
        <v>-22.9</v>
      </c>
      <c r="O260" s="79" t="str">
        <f t="shared" si="30"/>
        <v/>
      </c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</row>
    <row r="261" spans="1:63" x14ac:dyDescent="0.3">
      <c r="B261" s="12" t="s">
        <v>77</v>
      </c>
      <c r="C261" s="73"/>
      <c r="D261" s="7" t="s">
        <v>68</v>
      </c>
      <c r="E261" s="73"/>
      <c r="F261" s="134"/>
      <c r="G261" s="74">
        <f>$F243</f>
        <v>500</v>
      </c>
      <c r="H261" s="136">
        <f t="shared" si="27"/>
        <v>0</v>
      </c>
      <c r="I261" s="76"/>
      <c r="J261" s="132">
        <v>6.8199999999999997E-2</v>
      </c>
      <c r="K261" s="74">
        <f>$F243</f>
        <v>500</v>
      </c>
      <c r="L261" s="136">
        <f t="shared" si="28"/>
        <v>34.1</v>
      </c>
      <c r="M261" s="76"/>
      <c r="N261" s="137">
        <f t="shared" si="29"/>
        <v>34.1</v>
      </c>
      <c r="O261" s="79" t="str">
        <f t="shared" si="30"/>
        <v/>
      </c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</row>
    <row r="262" spans="1:63" x14ac:dyDescent="0.3">
      <c r="B262" s="12"/>
      <c r="C262" s="73"/>
      <c r="D262" s="7"/>
      <c r="E262" s="73"/>
      <c r="F262" s="131"/>
      <c r="G262" s="74">
        <f>$F243</f>
        <v>500</v>
      </c>
      <c r="H262" s="136">
        <f t="shared" si="27"/>
        <v>0</v>
      </c>
      <c r="I262" s="76"/>
      <c r="J262" s="131"/>
      <c r="K262" s="74">
        <f>$F243</f>
        <v>500</v>
      </c>
      <c r="L262" s="136">
        <f t="shared" si="28"/>
        <v>0</v>
      </c>
      <c r="M262" s="76"/>
      <c r="N262" s="137">
        <f t="shared" si="29"/>
        <v>0</v>
      </c>
      <c r="O262" s="79" t="str">
        <f t="shared" si="30"/>
        <v/>
      </c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</row>
    <row r="263" spans="1:63" x14ac:dyDescent="0.3">
      <c r="B263" s="12"/>
      <c r="C263" s="73"/>
      <c r="D263" s="7"/>
      <c r="E263" s="73"/>
      <c r="F263" s="131"/>
      <c r="G263" s="74">
        <f>$F243</f>
        <v>500</v>
      </c>
      <c r="H263" s="136">
        <f t="shared" si="27"/>
        <v>0</v>
      </c>
      <c r="I263" s="76"/>
      <c r="J263" s="131"/>
      <c r="K263" s="74">
        <f>$F243</f>
        <v>500</v>
      </c>
      <c r="L263" s="136">
        <f t="shared" si="28"/>
        <v>0</v>
      </c>
      <c r="M263" s="76"/>
      <c r="N263" s="137">
        <f t="shared" si="29"/>
        <v>0</v>
      </c>
      <c r="O263" s="79" t="str">
        <f t="shared" si="30"/>
        <v/>
      </c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</row>
    <row r="264" spans="1:63" s="4" customFormat="1" x14ac:dyDescent="0.3">
      <c r="A264" s="60"/>
      <c r="B264" s="19" t="s">
        <v>34</v>
      </c>
      <c r="C264" s="20"/>
      <c r="D264" s="20"/>
      <c r="E264" s="20"/>
      <c r="F264" s="21"/>
      <c r="G264" s="22"/>
      <c r="H264" s="23">
        <f>SUM(H248:H263)</f>
        <v>2061.2000000000003</v>
      </c>
      <c r="I264" s="13"/>
      <c r="J264" s="14"/>
      <c r="K264" s="24"/>
      <c r="L264" s="23">
        <f>SUM(L248:L263)</f>
        <v>2627.17</v>
      </c>
      <c r="M264" s="13"/>
      <c r="N264" s="15">
        <f t="shared" si="29"/>
        <v>565.9699999999998</v>
      </c>
      <c r="O264" s="16">
        <f t="shared" si="30"/>
        <v>0.27458276732000764</v>
      </c>
      <c r="P264" s="60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</row>
    <row r="265" spans="1:63" x14ac:dyDescent="0.3">
      <c r="B265" s="17" t="s">
        <v>35</v>
      </c>
      <c r="C265" s="73"/>
      <c r="D265" s="7" t="s">
        <v>68</v>
      </c>
      <c r="E265" s="73"/>
      <c r="F265" s="135">
        <v>9.5299999999999996E-2</v>
      </c>
      <c r="G265" s="74">
        <f>$F243</f>
        <v>500</v>
      </c>
      <c r="H265" s="136">
        <f t="shared" ref="H265:H271" si="31">G265*F265</f>
        <v>47.65</v>
      </c>
      <c r="I265" s="76"/>
      <c r="J265" s="135">
        <v>-0.52969999999999995</v>
      </c>
      <c r="K265" s="74">
        <f>$F243</f>
        <v>500</v>
      </c>
      <c r="L265" s="136">
        <f t="shared" ref="L265:L271" si="32">K265*J265</f>
        <v>-264.84999999999997</v>
      </c>
      <c r="M265" s="76"/>
      <c r="N265" s="137">
        <f t="shared" si="29"/>
        <v>-312.49999999999994</v>
      </c>
      <c r="O265" s="79">
        <f t="shared" si="30"/>
        <v>-6.5582371458551929</v>
      </c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</row>
    <row r="266" spans="1:63" x14ac:dyDescent="0.3">
      <c r="B266" s="17"/>
      <c r="C266" s="73"/>
      <c r="D266" s="7"/>
      <c r="E266" s="73"/>
      <c r="F266" s="8"/>
      <c r="G266" s="74">
        <f>$F243</f>
        <v>500</v>
      </c>
      <c r="H266" s="136">
        <f t="shared" si="31"/>
        <v>0</v>
      </c>
      <c r="I266" s="82"/>
      <c r="J266" s="8"/>
      <c r="K266" s="74">
        <f>$F243</f>
        <v>500</v>
      </c>
      <c r="L266" s="136">
        <f t="shared" si="32"/>
        <v>0</v>
      </c>
      <c r="M266" s="83"/>
      <c r="N266" s="137">
        <f t="shared" si="29"/>
        <v>0</v>
      </c>
      <c r="O266" s="79" t="str">
        <f t="shared" si="30"/>
        <v/>
      </c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</row>
    <row r="267" spans="1:63" x14ac:dyDescent="0.3">
      <c r="B267" s="17"/>
      <c r="C267" s="73"/>
      <c r="D267" s="7"/>
      <c r="E267" s="73"/>
      <c r="F267" s="8"/>
      <c r="G267" s="74">
        <f>$F243</f>
        <v>500</v>
      </c>
      <c r="H267" s="136">
        <f t="shared" si="31"/>
        <v>0</v>
      </c>
      <c r="I267" s="82"/>
      <c r="J267" s="8"/>
      <c r="K267" s="74">
        <f>$F243</f>
        <v>500</v>
      </c>
      <c r="L267" s="136">
        <f t="shared" si="32"/>
        <v>0</v>
      </c>
      <c r="M267" s="83"/>
      <c r="N267" s="137">
        <f t="shared" si="29"/>
        <v>0</v>
      </c>
      <c r="O267" s="79" t="str">
        <f t="shared" si="30"/>
        <v/>
      </c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</row>
    <row r="268" spans="1:63" x14ac:dyDescent="0.3">
      <c r="B268" s="17"/>
      <c r="C268" s="73"/>
      <c r="D268" s="7"/>
      <c r="E268" s="73"/>
      <c r="F268" s="8"/>
      <c r="G268" s="74">
        <f>$F243</f>
        <v>500</v>
      </c>
      <c r="H268" s="136">
        <f t="shared" si="31"/>
        <v>0</v>
      </c>
      <c r="I268" s="82"/>
      <c r="J268" s="8"/>
      <c r="K268" s="74">
        <f>$F243</f>
        <v>500</v>
      </c>
      <c r="L268" s="136">
        <f t="shared" si="32"/>
        <v>0</v>
      </c>
      <c r="M268" s="83"/>
      <c r="N268" s="137">
        <f t="shared" si="29"/>
        <v>0</v>
      </c>
      <c r="O268" s="79" t="str">
        <f t="shared" si="30"/>
        <v/>
      </c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</row>
    <row r="269" spans="1:63" x14ac:dyDescent="0.3">
      <c r="B269" s="80" t="s">
        <v>36</v>
      </c>
      <c r="C269" s="73"/>
      <c r="D269" s="7" t="s">
        <v>68</v>
      </c>
      <c r="E269" s="73"/>
      <c r="F269" s="135">
        <v>6.3799999999999996E-2</v>
      </c>
      <c r="G269" s="74">
        <f>$F243</f>
        <v>500</v>
      </c>
      <c r="H269" s="136">
        <f t="shared" si="31"/>
        <v>31.9</v>
      </c>
      <c r="I269" s="76"/>
      <c r="J269" s="135">
        <v>0.1313</v>
      </c>
      <c r="K269" s="74">
        <f>$F243</f>
        <v>500</v>
      </c>
      <c r="L269" s="136">
        <f t="shared" si="32"/>
        <v>65.650000000000006</v>
      </c>
      <c r="M269" s="76"/>
      <c r="N269" s="137">
        <f t="shared" si="29"/>
        <v>33.750000000000007</v>
      </c>
      <c r="O269" s="79">
        <f t="shared" si="30"/>
        <v>1.0579937304075238</v>
      </c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</row>
    <row r="270" spans="1:63" x14ac:dyDescent="0.3">
      <c r="B270" s="80" t="s">
        <v>37</v>
      </c>
      <c r="C270" s="73"/>
      <c r="D270" s="7" t="s">
        <v>27</v>
      </c>
      <c r="E270" s="73"/>
      <c r="F270" s="138">
        <f>IF(ISBLANK(D241)=TRUE, 0, IF(D241="TOU", 0.64*$F280+0.18*$F281+0.18*$F282, IF(AND(D241="non-TOU", G284&gt;0), F284,F283)))</f>
        <v>8.7999999999999995E-2</v>
      </c>
      <c r="G270" s="18">
        <f>$F244*(1+$F299)-$F244</f>
        <v>7540</v>
      </c>
      <c r="H270" s="136">
        <f t="shared" si="31"/>
        <v>663.52</v>
      </c>
      <c r="I270" s="76"/>
      <c r="J270" s="138">
        <f>+F270</f>
        <v>8.7999999999999995E-2</v>
      </c>
      <c r="K270" s="18">
        <f>$F244*(1+$J299)-$F244</f>
        <v>7520.0000000000291</v>
      </c>
      <c r="L270" s="136">
        <f t="shared" si="32"/>
        <v>661.76000000000249</v>
      </c>
      <c r="M270" s="76"/>
      <c r="N270" s="137">
        <f t="shared" si="29"/>
        <v>-1.7599999999974898</v>
      </c>
      <c r="O270" s="79">
        <f t="shared" si="30"/>
        <v>-2.6525198938954211E-3</v>
      </c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</row>
    <row r="271" spans="1:63" x14ac:dyDescent="0.3">
      <c r="B271" s="80" t="s">
        <v>38</v>
      </c>
      <c r="C271" s="73"/>
      <c r="D271" s="7" t="s">
        <v>24</v>
      </c>
      <c r="E271" s="73"/>
      <c r="F271" s="138">
        <v>0</v>
      </c>
      <c r="G271" s="74">
        <v>1</v>
      </c>
      <c r="H271" s="136">
        <f t="shared" si="31"/>
        <v>0</v>
      </c>
      <c r="I271" s="76"/>
      <c r="J271" s="138"/>
      <c r="K271" s="81">
        <v>1</v>
      </c>
      <c r="L271" s="136">
        <f t="shared" si="32"/>
        <v>0</v>
      </c>
      <c r="M271" s="76"/>
      <c r="N271" s="137">
        <f t="shared" si="29"/>
        <v>0</v>
      </c>
      <c r="O271" s="79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</row>
    <row r="272" spans="1:63" s="4" customFormat="1" x14ac:dyDescent="0.3">
      <c r="A272" s="60"/>
      <c r="B272" s="19" t="s">
        <v>39</v>
      </c>
      <c r="C272" s="20"/>
      <c r="D272" s="20"/>
      <c r="E272" s="20"/>
      <c r="F272" s="21"/>
      <c r="G272" s="22"/>
      <c r="H272" s="23">
        <f>SUM(H265:H271)+H264</f>
        <v>2804.2700000000004</v>
      </c>
      <c r="I272" s="13"/>
      <c r="J272" s="22"/>
      <c r="K272" s="24"/>
      <c r="L272" s="23">
        <f>SUM(L265:L271)+L264</f>
        <v>3089.7300000000027</v>
      </c>
      <c r="M272" s="13"/>
      <c r="N272" s="15">
        <f t="shared" si="29"/>
        <v>285.46000000000231</v>
      </c>
      <c r="O272" s="16">
        <f t="shared" ref="O272:O284" si="33">IF((H272)=0,"",(N272/H272))</f>
        <v>0.10179476298644648</v>
      </c>
      <c r="P272" s="60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</row>
    <row r="273" spans="1:63" x14ac:dyDescent="0.3">
      <c r="B273" s="76" t="s">
        <v>40</v>
      </c>
      <c r="C273" s="76"/>
      <c r="D273" s="25" t="s">
        <v>68</v>
      </c>
      <c r="E273" s="76"/>
      <c r="F273" s="135">
        <v>2.8561000000000001</v>
      </c>
      <c r="G273" s="18">
        <f>F243*(1+F299)</f>
        <v>518.85</v>
      </c>
      <c r="H273" s="136">
        <f>G273*F273</f>
        <v>1481.8874850000002</v>
      </c>
      <c r="I273" s="76"/>
      <c r="J273" s="135">
        <v>2.6861000000000002</v>
      </c>
      <c r="K273" s="18">
        <f>F243*(1+J299)</f>
        <v>518.80000000000007</v>
      </c>
      <c r="L273" s="136">
        <f>K273*J273</f>
        <v>1393.5486800000003</v>
      </c>
      <c r="M273" s="76"/>
      <c r="N273" s="136">
        <f t="shared" si="29"/>
        <v>-88.338804999999866</v>
      </c>
      <c r="O273" s="79">
        <f t="shared" si="33"/>
        <v>-5.9612356467130735E-2</v>
      </c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</row>
    <row r="274" spans="1:63" x14ac:dyDescent="0.3">
      <c r="B274" s="85" t="s">
        <v>41</v>
      </c>
      <c r="C274" s="76"/>
      <c r="D274" s="25" t="s">
        <v>68</v>
      </c>
      <c r="E274" s="76"/>
      <c r="F274" s="135">
        <v>1.9374</v>
      </c>
      <c r="G274" s="18">
        <f>G273</f>
        <v>518.85</v>
      </c>
      <c r="H274" s="136">
        <f>G274*F274</f>
        <v>1005.2199900000001</v>
      </c>
      <c r="I274" s="76"/>
      <c r="J274" s="135">
        <v>1.36</v>
      </c>
      <c r="K274" s="18">
        <f>K273</f>
        <v>518.80000000000007</v>
      </c>
      <c r="L274" s="136">
        <f>K274*J274</f>
        <v>705.5680000000001</v>
      </c>
      <c r="M274" s="76"/>
      <c r="N274" s="136">
        <f t="shared" si="29"/>
        <v>-299.65198999999996</v>
      </c>
      <c r="O274" s="79">
        <f t="shared" si="33"/>
        <v>-0.29809593221479802</v>
      </c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</row>
    <row r="275" spans="1:63" s="4" customFormat="1" x14ac:dyDescent="0.3">
      <c r="A275" s="60"/>
      <c r="B275" s="19" t="s">
        <v>42</v>
      </c>
      <c r="C275" s="20"/>
      <c r="D275" s="20"/>
      <c r="E275" s="20"/>
      <c r="F275" s="21"/>
      <c r="G275" s="22"/>
      <c r="H275" s="23">
        <f>SUM(H272:H274)</f>
        <v>5291.3774750000011</v>
      </c>
      <c r="I275" s="13"/>
      <c r="J275" s="26"/>
      <c r="K275" s="22"/>
      <c r="L275" s="23">
        <f>SUM(L272:L274)</f>
        <v>5188.8466800000033</v>
      </c>
      <c r="M275" s="13"/>
      <c r="N275" s="15">
        <f t="shared" si="29"/>
        <v>-102.53079499999785</v>
      </c>
      <c r="O275" s="16">
        <f t="shared" si="33"/>
        <v>-1.9376957226057253E-2</v>
      </c>
      <c r="P275" s="60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</row>
    <row r="276" spans="1:63" x14ac:dyDescent="0.3">
      <c r="B276" s="86" t="s">
        <v>43</v>
      </c>
      <c r="C276" s="73"/>
      <c r="D276" s="7" t="s">
        <v>27</v>
      </c>
      <c r="E276" s="73"/>
      <c r="F276" s="135">
        <v>4.4000000000000003E-3</v>
      </c>
      <c r="G276" s="18">
        <f>F244*(1+F299)</f>
        <v>207540</v>
      </c>
      <c r="H276" s="139">
        <f t="shared" ref="H276:H284" si="34">G276*F276</f>
        <v>913.17600000000004</v>
      </c>
      <c r="I276" s="76"/>
      <c r="J276" s="135">
        <f>+F276</f>
        <v>4.4000000000000003E-3</v>
      </c>
      <c r="K276" s="18">
        <f>F244*(1+J299)</f>
        <v>207520.00000000003</v>
      </c>
      <c r="L276" s="139">
        <f t="shared" ref="L276:L284" si="35">K276*J276</f>
        <v>913.08800000000019</v>
      </c>
      <c r="M276" s="76"/>
      <c r="N276" s="137">
        <f t="shared" si="29"/>
        <v>-8.7999999999851752E-2</v>
      </c>
      <c r="O276" s="87">
        <f t="shared" si="33"/>
        <v>-9.6366965404097069E-5</v>
      </c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</row>
    <row r="277" spans="1:63" x14ac:dyDescent="0.3">
      <c r="B277" s="86" t="s">
        <v>44</v>
      </c>
      <c r="C277" s="73"/>
      <c r="D277" s="7" t="s">
        <v>27</v>
      </c>
      <c r="E277" s="73"/>
      <c r="F277" s="135">
        <v>1.1999999999999999E-3</v>
      </c>
      <c r="G277" s="18">
        <f>+G276</f>
        <v>207540</v>
      </c>
      <c r="H277" s="139">
        <f t="shared" si="34"/>
        <v>249.04799999999997</v>
      </c>
      <c r="I277" s="76"/>
      <c r="J277" s="135">
        <f>+F277</f>
        <v>1.1999999999999999E-3</v>
      </c>
      <c r="K277" s="18">
        <f>+K276</f>
        <v>207520.00000000003</v>
      </c>
      <c r="L277" s="139">
        <f t="shared" si="35"/>
        <v>249.024</v>
      </c>
      <c r="M277" s="76"/>
      <c r="N277" s="137">
        <f t="shared" si="29"/>
        <v>-2.3999999999972488E-2</v>
      </c>
      <c r="O277" s="87">
        <f t="shared" si="33"/>
        <v>-9.6366965404148962E-5</v>
      </c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</row>
    <row r="278" spans="1:63" x14ac:dyDescent="0.3">
      <c r="B278" s="73" t="s">
        <v>45</v>
      </c>
      <c r="C278" s="73"/>
      <c r="D278" s="7" t="s">
        <v>24</v>
      </c>
      <c r="E278" s="73"/>
      <c r="F278" s="135">
        <v>0.25</v>
      </c>
      <c r="G278" s="81">
        <v>1</v>
      </c>
      <c r="H278" s="139">
        <f t="shared" si="34"/>
        <v>0.25</v>
      </c>
      <c r="I278" s="76"/>
      <c r="J278" s="135">
        <f>+F278</f>
        <v>0.25</v>
      </c>
      <c r="K278" s="77">
        <v>1</v>
      </c>
      <c r="L278" s="139">
        <f t="shared" si="35"/>
        <v>0.25</v>
      </c>
      <c r="M278" s="76"/>
      <c r="N278" s="137">
        <f t="shared" si="29"/>
        <v>0</v>
      </c>
      <c r="O278" s="87">
        <f t="shared" si="33"/>
        <v>0</v>
      </c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</row>
    <row r="279" spans="1:63" x14ac:dyDescent="0.3">
      <c r="B279" s="73" t="s">
        <v>46</v>
      </c>
      <c r="C279" s="73"/>
      <c r="D279" s="7" t="s">
        <v>27</v>
      </c>
      <c r="E279" s="73"/>
      <c r="F279" s="135">
        <v>7.0000000000000001E-3</v>
      </c>
      <c r="G279" s="84">
        <f>F244</f>
        <v>200000</v>
      </c>
      <c r="H279" s="139">
        <f t="shared" si="34"/>
        <v>1400</v>
      </c>
      <c r="I279" s="76"/>
      <c r="J279" s="135">
        <f>+F279</f>
        <v>7.0000000000000001E-3</v>
      </c>
      <c r="K279" s="77">
        <f>F244</f>
        <v>200000</v>
      </c>
      <c r="L279" s="139">
        <f t="shared" si="35"/>
        <v>1400</v>
      </c>
      <c r="M279" s="76"/>
      <c r="N279" s="137">
        <f t="shared" si="29"/>
        <v>0</v>
      </c>
      <c r="O279" s="87">
        <f t="shared" si="33"/>
        <v>0</v>
      </c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</row>
    <row r="280" spans="1:63" x14ac:dyDescent="0.3">
      <c r="B280" s="80" t="s">
        <v>47</v>
      </c>
      <c r="C280" s="73"/>
      <c r="D280" s="7" t="s">
        <v>27</v>
      </c>
      <c r="E280" s="73"/>
      <c r="F280" s="138">
        <v>6.7000000000000004E-2</v>
      </c>
      <c r="G280" s="27">
        <f>0.64*$F244</f>
        <v>128000</v>
      </c>
      <c r="H280" s="139">
        <f t="shared" si="34"/>
        <v>8576</v>
      </c>
      <c r="I280" s="76"/>
      <c r="J280" s="138">
        <v>6.7000000000000004E-2</v>
      </c>
      <c r="K280" s="28">
        <f>G280</f>
        <v>128000</v>
      </c>
      <c r="L280" s="139">
        <f t="shared" si="35"/>
        <v>8576</v>
      </c>
      <c r="M280" s="76"/>
      <c r="N280" s="137">
        <f t="shared" si="29"/>
        <v>0</v>
      </c>
      <c r="O280" s="87">
        <f t="shared" si="33"/>
        <v>0</v>
      </c>
      <c r="Q280" s="126"/>
      <c r="R280" s="126"/>
      <c r="S280" s="127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</row>
    <row r="281" spans="1:63" x14ac:dyDescent="0.3">
      <c r="B281" s="80" t="s">
        <v>48</v>
      </c>
      <c r="C281" s="73"/>
      <c r="D281" s="7" t="s">
        <v>27</v>
      </c>
      <c r="E281" s="73"/>
      <c r="F281" s="138">
        <v>0.104</v>
      </c>
      <c r="G281" s="27">
        <f>0.18*$F244</f>
        <v>36000</v>
      </c>
      <c r="H281" s="139">
        <f t="shared" si="34"/>
        <v>3744</v>
      </c>
      <c r="I281" s="76"/>
      <c r="J281" s="138">
        <v>0.104</v>
      </c>
      <c r="K281" s="28">
        <f>G281</f>
        <v>36000</v>
      </c>
      <c r="L281" s="139">
        <f t="shared" si="35"/>
        <v>3744</v>
      </c>
      <c r="M281" s="76"/>
      <c r="N281" s="137">
        <f t="shared" si="29"/>
        <v>0</v>
      </c>
      <c r="O281" s="87">
        <f t="shared" si="33"/>
        <v>0</v>
      </c>
      <c r="Q281" s="126"/>
      <c r="R281" s="126"/>
      <c r="S281" s="127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</row>
    <row r="282" spans="1:63" x14ac:dyDescent="0.3">
      <c r="B282" s="64" t="s">
        <v>49</v>
      </c>
      <c r="C282" s="73"/>
      <c r="D282" s="7" t="s">
        <v>27</v>
      </c>
      <c r="E282" s="73"/>
      <c r="F282" s="138">
        <v>0.124</v>
      </c>
      <c r="G282" s="27">
        <f>0.18*$F244</f>
        <v>36000</v>
      </c>
      <c r="H282" s="139">
        <f t="shared" si="34"/>
        <v>4464</v>
      </c>
      <c r="I282" s="76"/>
      <c r="J282" s="138">
        <v>0.124</v>
      </c>
      <c r="K282" s="28">
        <f>G282</f>
        <v>36000</v>
      </c>
      <c r="L282" s="139">
        <f t="shared" si="35"/>
        <v>4464</v>
      </c>
      <c r="M282" s="76"/>
      <c r="N282" s="137">
        <f t="shared" si="29"/>
        <v>0</v>
      </c>
      <c r="O282" s="87">
        <f t="shared" si="33"/>
        <v>0</v>
      </c>
      <c r="Q282" s="126"/>
      <c r="R282" s="126"/>
      <c r="S282" s="127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</row>
    <row r="283" spans="1:63" s="92" customFormat="1" x14ac:dyDescent="0.25">
      <c r="B283" s="89" t="s">
        <v>50</v>
      </c>
      <c r="C283" s="90"/>
      <c r="D283" s="29" t="s">
        <v>27</v>
      </c>
      <c r="E283" s="90"/>
      <c r="F283" s="138">
        <v>7.4999999999999997E-2</v>
      </c>
      <c r="G283" s="30">
        <f>IF(AND($T$1=1, F244&gt;=750), 750, IF(AND($T$1=1, AND(F244&lt;750, F244&gt;=0)), F244, IF(AND($T$1=2, F244&gt;=750), 750, IF(AND($T$1=2, AND(F244&lt;750, F244&gt;=0)), F244))))</f>
        <v>750</v>
      </c>
      <c r="H283" s="139">
        <f t="shared" si="34"/>
        <v>56.25</v>
      </c>
      <c r="I283" s="91"/>
      <c r="J283" s="138">
        <v>7.4999999999999997E-2</v>
      </c>
      <c r="K283" s="31">
        <f>G283</f>
        <v>750</v>
      </c>
      <c r="L283" s="139">
        <f t="shared" si="35"/>
        <v>56.25</v>
      </c>
      <c r="M283" s="91"/>
      <c r="N283" s="140">
        <f t="shared" si="29"/>
        <v>0</v>
      </c>
      <c r="O283" s="87">
        <f t="shared" si="33"/>
        <v>0</v>
      </c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</row>
    <row r="284" spans="1:63" s="92" customFormat="1" ht="15" thickBot="1" x14ac:dyDescent="0.3">
      <c r="B284" s="89" t="s">
        <v>51</v>
      </c>
      <c r="C284" s="90"/>
      <c r="D284" s="29" t="s">
        <v>27</v>
      </c>
      <c r="E284" s="90"/>
      <c r="F284" s="138">
        <v>8.7999999999999995E-2</v>
      </c>
      <c r="G284" s="30">
        <f>IF(AND($T$1=1, F244&gt;=750), F244-750, IF(AND($T$1=1, AND(F244&lt;750, F244&gt;=0)), 0, IF(AND($T$1=2, F244&gt;=750), F244-750, IF(AND($T$1=2, AND(F244&lt;750, F244&gt;=0)), 0))))</f>
        <v>199250</v>
      </c>
      <c r="H284" s="139">
        <f t="shared" si="34"/>
        <v>17534</v>
      </c>
      <c r="I284" s="91"/>
      <c r="J284" s="138">
        <v>8.7999999999999995E-2</v>
      </c>
      <c r="K284" s="31">
        <f>G284</f>
        <v>199250</v>
      </c>
      <c r="L284" s="139">
        <f t="shared" si="35"/>
        <v>17534</v>
      </c>
      <c r="M284" s="91"/>
      <c r="N284" s="140">
        <f t="shared" si="29"/>
        <v>0</v>
      </c>
      <c r="O284" s="87">
        <f t="shared" si="33"/>
        <v>0</v>
      </c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</row>
    <row r="285" spans="1:63" s="4" customFormat="1" ht="15" thickBot="1" x14ac:dyDescent="0.35">
      <c r="A285" s="60"/>
      <c r="B285" s="32"/>
      <c r="C285" s="33"/>
      <c r="D285" s="124"/>
      <c r="E285" s="33"/>
      <c r="F285" s="35"/>
      <c r="G285" s="36"/>
      <c r="H285" s="122"/>
      <c r="I285" s="123"/>
      <c r="J285" s="35"/>
      <c r="K285" s="39"/>
      <c r="L285" s="122"/>
      <c r="M285" s="123"/>
      <c r="N285" s="40"/>
      <c r="O285" s="41"/>
      <c r="P285" s="60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</row>
    <row r="286" spans="1:63" x14ac:dyDescent="0.3">
      <c r="B286" s="93" t="s">
        <v>52</v>
      </c>
      <c r="C286" s="73"/>
      <c r="D286" s="73"/>
      <c r="E286" s="73"/>
      <c r="F286" s="94"/>
      <c r="G286" s="95"/>
      <c r="H286" s="141">
        <f>SUM(H276:H282,H275)</f>
        <v>24637.851475000003</v>
      </c>
      <c r="I286" s="96"/>
      <c r="J286" s="97"/>
      <c r="K286" s="97"/>
      <c r="L286" s="144">
        <f>SUM(L276:L282,L275)</f>
        <v>24535.208680000003</v>
      </c>
      <c r="M286" s="145"/>
      <c r="N286" s="146">
        <f>L286-H286</f>
        <v>-102.64279499999975</v>
      </c>
      <c r="O286" s="98">
        <f>IF((H286)=0,"",(N286/H286))</f>
        <v>-4.166061115521833E-3</v>
      </c>
      <c r="Q286" s="126"/>
      <c r="R286" s="126"/>
      <c r="S286" s="127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</row>
    <row r="287" spans="1:63" x14ac:dyDescent="0.3">
      <c r="B287" s="99" t="s">
        <v>53</v>
      </c>
      <c r="C287" s="73"/>
      <c r="D287" s="73"/>
      <c r="E287" s="73"/>
      <c r="F287" s="100">
        <v>0.13</v>
      </c>
      <c r="G287" s="101"/>
      <c r="H287" s="142">
        <f>H286*F287</f>
        <v>3202.9206917500005</v>
      </c>
      <c r="I287" s="102"/>
      <c r="J287" s="103">
        <v>0.13</v>
      </c>
      <c r="K287" s="102"/>
      <c r="L287" s="147">
        <f>L286*J287</f>
        <v>3189.5771284000007</v>
      </c>
      <c r="M287" s="148"/>
      <c r="N287" s="149">
        <f>L287-H287</f>
        <v>-13.34356334999984</v>
      </c>
      <c r="O287" s="104">
        <f>IF((H287)=0,"",(N287/H287))</f>
        <v>-4.1660611155217931E-3</v>
      </c>
      <c r="Q287" s="126"/>
      <c r="R287" s="126"/>
      <c r="S287" s="127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</row>
    <row r="288" spans="1:63" x14ac:dyDescent="0.3">
      <c r="B288" s="105" t="s">
        <v>54</v>
      </c>
      <c r="C288" s="73"/>
      <c r="D288" s="73"/>
      <c r="E288" s="73"/>
      <c r="F288" s="106"/>
      <c r="G288" s="101"/>
      <c r="H288" s="142">
        <f>H286+H287</f>
        <v>27840.772166750005</v>
      </c>
      <c r="I288" s="102"/>
      <c r="J288" s="102"/>
      <c r="K288" s="102"/>
      <c r="L288" s="147">
        <f>L286+L287</f>
        <v>27724.785808400004</v>
      </c>
      <c r="M288" s="148"/>
      <c r="N288" s="149">
        <f>L288-H288</f>
        <v>-115.98635835000096</v>
      </c>
      <c r="O288" s="104">
        <f>IF((H288)=0,"",(N288/H288))</f>
        <v>-4.1660611155218772E-3</v>
      </c>
      <c r="Q288" s="126"/>
      <c r="R288" s="126"/>
      <c r="S288" s="127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</row>
    <row r="289" spans="1:63" ht="14.4" customHeight="1" x14ac:dyDescent="0.3">
      <c r="B289" s="172" t="s">
        <v>55</v>
      </c>
      <c r="C289" s="172"/>
      <c r="D289" s="172"/>
      <c r="E289" s="73"/>
      <c r="F289" s="106"/>
      <c r="G289" s="101"/>
      <c r="H289" s="143">
        <v>0</v>
      </c>
      <c r="I289" s="102"/>
      <c r="J289" s="102"/>
      <c r="K289" s="102"/>
      <c r="L289" s="150">
        <v>0</v>
      </c>
      <c r="M289" s="148"/>
      <c r="N289" s="151">
        <f>L289-H289</f>
        <v>0</v>
      </c>
      <c r="O289" s="107" t="str">
        <f>IF((H289)=0,"",(N289/H289))</f>
        <v/>
      </c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</row>
    <row r="290" spans="1:63" s="4" customFormat="1" ht="15" thickBot="1" x14ac:dyDescent="0.35">
      <c r="A290" s="60"/>
      <c r="B290" s="173" t="s">
        <v>56</v>
      </c>
      <c r="C290" s="173"/>
      <c r="D290" s="173"/>
      <c r="E290" s="42"/>
      <c r="F290" s="43"/>
      <c r="G290" s="44"/>
      <c r="H290" s="45">
        <f>H288+H289</f>
        <v>27840.772166750005</v>
      </c>
      <c r="I290" s="46"/>
      <c r="J290" s="46"/>
      <c r="K290" s="46"/>
      <c r="L290" s="47">
        <f>L288+L289</f>
        <v>27724.785808400004</v>
      </c>
      <c r="M290" s="48"/>
      <c r="N290" s="49">
        <f>L290-H290</f>
        <v>-115.98635835000096</v>
      </c>
      <c r="O290" s="50">
        <f>IF((H290)=0,"",(N290/H290))</f>
        <v>-4.1660611155218772E-3</v>
      </c>
      <c r="P290" s="60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</row>
    <row r="291" spans="1:63" s="4" customFormat="1" ht="15" thickBot="1" x14ac:dyDescent="0.35">
      <c r="A291" s="60"/>
      <c r="B291" s="32"/>
      <c r="C291" s="33"/>
      <c r="D291" s="34"/>
      <c r="E291" s="33"/>
      <c r="F291" s="35"/>
      <c r="G291" s="36"/>
      <c r="H291" s="37"/>
      <c r="I291" s="38"/>
      <c r="J291" s="35"/>
      <c r="K291" s="39"/>
      <c r="L291" s="37"/>
      <c r="M291" s="123"/>
      <c r="N291" s="40"/>
      <c r="O291" s="41"/>
      <c r="P291" s="60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</row>
    <row r="292" spans="1:63" s="92" customFormat="1" ht="13.2" x14ac:dyDescent="0.25">
      <c r="B292" s="108" t="s">
        <v>57</v>
      </c>
      <c r="C292" s="90"/>
      <c r="D292" s="90"/>
      <c r="E292" s="90"/>
      <c r="F292" s="109"/>
      <c r="G292" s="110"/>
      <c r="H292" s="152">
        <f>SUM(H283:H284,H275,H276:H279)</f>
        <v>25444.101474999999</v>
      </c>
      <c r="I292" s="111"/>
      <c r="J292" s="112"/>
      <c r="K292" s="112"/>
      <c r="L292" s="155">
        <f>SUM(L283:L284,L275,L276:L279)</f>
        <v>25341.458680000003</v>
      </c>
      <c r="M292" s="156"/>
      <c r="N292" s="157">
        <f>L292-H292</f>
        <v>-102.64279499999611</v>
      </c>
      <c r="O292" s="98">
        <f>IF((H292)=0,"",(N292/H292))</f>
        <v>-4.034050685611649E-3</v>
      </c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63" s="92" customFormat="1" ht="13.2" x14ac:dyDescent="0.25">
      <c r="B293" s="113" t="s">
        <v>53</v>
      </c>
      <c r="C293" s="90"/>
      <c r="D293" s="90"/>
      <c r="E293" s="90"/>
      <c r="F293" s="114">
        <v>0.13</v>
      </c>
      <c r="G293" s="110"/>
      <c r="H293" s="153">
        <f>H292*F293</f>
        <v>3307.7331917500001</v>
      </c>
      <c r="I293" s="115"/>
      <c r="J293" s="116">
        <v>0.13</v>
      </c>
      <c r="K293" s="117"/>
      <c r="L293" s="158">
        <f>L292*J293</f>
        <v>3294.3896284000007</v>
      </c>
      <c r="M293" s="159"/>
      <c r="N293" s="160">
        <f>L293-H293</f>
        <v>-13.343563349999386</v>
      </c>
      <c r="O293" s="104">
        <f>IF((H293)=0,"",(N293/H293))</f>
        <v>-4.0340506856116161E-3</v>
      </c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63" s="92" customFormat="1" ht="13.2" x14ac:dyDescent="0.25">
      <c r="B294" s="118" t="s">
        <v>54</v>
      </c>
      <c r="C294" s="90"/>
      <c r="D294" s="90"/>
      <c r="E294" s="90"/>
      <c r="F294" s="119"/>
      <c r="G294" s="120"/>
      <c r="H294" s="153">
        <f>H292+H293</f>
        <v>28751.834666750001</v>
      </c>
      <c r="I294" s="115"/>
      <c r="J294" s="115"/>
      <c r="K294" s="115"/>
      <c r="L294" s="158">
        <f>L292+L293</f>
        <v>28635.848308400004</v>
      </c>
      <c r="M294" s="159"/>
      <c r="N294" s="160">
        <f>L294-H294</f>
        <v>-115.98635834999732</v>
      </c>
      <c r="O294" s="104">
        <f>IF((H294)=0,"",(N294/H294))</f>
        <v>-4.034050685611708E-3</v>
      </c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</row>
    <row r="295" spans="1:63" s="92" customFormat="1" ht="13.2" customHeight="1" x14ac:dyDescent="0.25">
      <c r="B295" s="174" t="s">
        <v>55</v>
      </c>
      <c r="C295" s="174"/>
      <c r="D295" s="174"/>
      <c r="E295" s="90"/>
      <c r="F295" s="119"/>
      <c r="G295" s="120"/>
      <c r="H295" s="154">
        <v>0</v>
      </c>
      <c r="I295" s="115"/>
      <c r="J295" s="115"/>
      <c r="K295" s="115"/>
      <c r="L295" s="161">
        <v>0</v>
      </c>
      <c r="M295" s="159"/>
      <c r="N295" s="162">
        <f>L295-H295</f>
        <v>0</v>
      </c>
      <c r="O295" s="107" t="str">
        <f>IF((H295)=0,"",(N295/H295))</f>
        <v/>
      </c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</row>
    <row r="296" spans="1:63" s="4" customFormat="1" ht="15" thickBot="1" x14ac:dyDescent="0.35">
      <c r="A296" s="60"/>
      <c r="B296" s="173" t="s">
        <v>58</v>
      </c>
      <c r="C296" s="173"/>
      <c r="D296" s="173"/>
      <c r="E296" s="42"/>
      <c r="F296" s="43"/>
      <c r="G296" s="44"/>
      <c r="H296" s="45">
        <f>SUM(H294:H295)</f>
        <v>28751.834666750001</v>
      </c>
      <c r="I296" s="46"/>
      <c r="J296" s="46"/>
      <c r="K296" s="46"/>
      <c r="L296" s="47">
        <f>SUM(L294:L295)</f>
        <v>28635.848308400004</v>
      </c>
      <c r="M296" s="48"/>
      <c r="N296" s="49">
        <f>L296-H296</f>
        <v>-115.98635834999732</v>
      </c>
      <c r="O296" s="50">
        <f>IF((H296)=0,"",(N296/H296))</f>
        <v>-4.034050685611708E-3</v>
      </c>
      <c r="P296" s="60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</row>
    <row r="297" spans="1:63" s="4" customFormat="1" ht="15" thickBot="1" x14ac:dyDescent="0.35">
      <c r="A297" s="60"/>
      <c r="B297" s="32"/>
      <c r="C297" s="33"/>
      <c r="D297" s="34"/>
      <c r="E297" s="33"/>
      <c r="F297" s="35"/>
      <c r="G297" s="36"/>
      <c r="H297" s="122"/>
      <c r="I297" s="123"/>
      <c r="J297" s="35"/>
      <c r="K297" s="39"/>
      <c r="L297" s="37"/>
      <c r="M297" s="123"/>
      <c r="N297" s="40"/>
      <c r="O297" s="41"/>
      <c r="P297" s="60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</row>
    <row r="298" spans="1:63" x14ac:dyDescent="0.3">
      <c r="L298" s="88"/>
    </row>
    <row r="299" spans="1:63" x14ac:dyDescent="0.3">
      <c r="B299" s="65" t="s">
        <v>59</v>
      </c>
      <c r="F299" s="51">
        <v>3.7699999999999997E-2</v>
      </c>
      <c r="J299" s="51">
        <f>+Residential!$J$74</f>
        <v>3.7600000000000001E-2</v>
      </c>
    </row>
    <row r="301" spans="1:63" x14ac:dyDescent="0.3">
      <c r="L301" s="56"/>
      <c r="M301" s="56"/>
      <c r="N301" s="56"/>
      <c r="O301" s="56"/>
      <c r="P301" s="56"/>
    </row>
    <row r="302" spans="1:63" ht="16.2" x14ac:dyDescent="0.3">
      <c r="A302" s="121" t="s">
        <v>60</v>
      </c>
    </row>
    <row r="304" spans="1:63" x14ac:dyDescent="0.3">
      <c r="A304" s="60" t="s">
        <v>61</v>
      </c>
    </row>
    <row r="305" spans="1:2" x14ac:dyDescent="0.3">
      <c r="A305" s="60" t="s">
        <v>62</v>
      </c>
    </row>
    <row r="307" spans="1:2" x14ac:dyDescent="0.3">
      <c r="B307" s="60" t="s">
        <v>63</v>
      </c>
    </row>
  </sheetData>
  <mergeCells count="53">
    <mergeCell ref="B70:D70"/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4:D64"/>
    <mergeCell ref="B65:D65"/>
    <mergeCell ref="B145:D145"/>
    <mergeCell ref="B71:D71"/>
    <mergeCell ref="B85:O85"/>
    <mergeCell ref="B86:O86"/>
    <mergeCell ref="D89:O89"/>
    <mergeCell ref="F95:H95"/>
    <mergeCell ref="J95:L95"/>
    <mergeCell ref="N95:O95"/>
    <mergeCell ref="D96:D97"/>
    <mergeCell ref="N96:N97"/>
    <mergeCell ref="O96:O97"/>
    <mergeCell ref="B139:D139"/>
    <mergeCell ref="B140:D140"/>
    <mergeCell ref="B220:D220"/>
    <mergeCell ref="B146:D146"/>
    <mergeCell ref="B160:O160"/>
    <mergeCell ref="B161:O161"/>
    <mergeCell ref="D164:O164"/>
    <mergeCell ref="F170:H170"/>
    <mergeCell ref="J170:L170"/>
    <mergeCell ref="N170:O170"/>
    <mergeCell ref="D171:D172"/>
    <mergeCell ref="N171:N172"/>
    <mergeCell ref="O171:O172"/>
    <mergeCell ref="B214:D214"/>
    <mergeCell ref="B215:D215"/>
    <mergeCell ref="B221:D221"/>
    <mergeCell ref="B235:O235"/>
    <mergeCell ref="B236:O236"/>
    <mergeCell ref="D239:O239"/>
    <mergeCell ref="F245:H245"/>
    <mergeCell ref="J245:L245"/>
    <mergeCell ref="N245:O245"/>
    <mergeCell ref="B296:D296"/>
    <mergeCell ref="D246:D247"/>
    <mergeCell ref="N246:N247"/>
    <mergeCell ref="O246:O247"/>
    <mergeCell ref="B289:D289"/>
    <mergeCell ref="B290:D290"/>
    <mergeCell ref="B295:D295"/>
  </mergeCells>
  <dataValidations count="3">
    <dataValidation type="list" allowBlank="1" showInputMessage="1" showErrorMessage="1" prompt="Select Charge Unit - monthly, per kWh, per kW" sqref="D48:D49 D40:D46 D66 D23:D38 D72 D51:D60 D123:D124 D115:D121 D141 D98:D113 D147 D126:D135 D198:D199 D190:D196 D216 D173:D188 D222 D201:D210 D273:D274 D265:D271 D291 D248:D263 D297 D276:D285">
      <formula1>"Monthly, per kWh, per kW"</formula1>
    </dataValidation>
    <dataValidation type="list" allowBlank="1" showInputMessage="1" showErrorMessage="1" sqref="E72 E66 E48:E49 E40:E46 E23:E38 E51:E60 E147 E141 E123:E124 E115:E121 E98:E113 E126:E135 E222 E216 E198:E199 E190:E196 E173:E188 E201:E210 E297 E291 E273:E274 E265:E271 E248:E263 E276:E285">
      <formula1>#REF!</formula1>
    </dataValidation>
    <dataValidation type="list" allowBlank="1" showInputMessage="1" showErrorMessage="1" sqref="D16 D91 D166 D241">
      <formula1>"TOU, non-TOU"</formula1>
    </dataValidation>
  </dataValidations>
  <pageMargins left="0.7" right="0.7" top="0.75" bottom="0.75" header="0.3" footer="0.3"/>
  <pageSetup scale="51" fitToHeight="0" orientation="portrait" r:id="rId1"/>
  <rowBreaks count="3" manualBreakCount="3">
    <brk id="84" max="15" man="1"/>
    <brk id="159" max="15" man="1"/>
    <brk id="23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Option Button 5">
              <controlPr defaultSize="0" autoFill="0" autoLine="0" autoPict="0">
                <anchor moveWithCells="1">
                  <from>
                    <xdr:col>1</xdr:col>
                    <xdr:colOff>2880360</xdr:colOff>
                    <xdr:row>46</xdr:row>
                    <xdr:rowOff>38100</xdr:rowOff>
                  </from>
                  <to>
                    <xdr:col>4</xdr:col>
                    <xdr:colOff>76200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5" name="Option Button 75">
              <controlPr defaultSize="0" autoFill="0" autoLine="0" autoPict="0">
                <anchor moveWithCells="1">
                  <from>
                    <xdr:col>1</xdr:col>
                    <xdr:colOff>2270760</xdr:colOff>
                    <xdr:row>46</xdr:row>
                    <xdr:rowOff>30480</xdr:rowOff>
                  </from>
                  <to>
                    <xdr:col>1</xdr:col>
                    <xdr:colOff>2743200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6" name="Option Button 76">
              <controlPr defaultSize="0" autoFill="0" autoLine="0" autoPict="0">
                <anchor moveWithCells="1">
                  <from>
                    <xdr:col>5</xdr:col>
                    <xdr:colOff>601980</xdr:colOff>
                    <xdr:row>15</xdr:row>
                    <xdr:rowOff>0</xdr:rowOff>
                  </from>
                  <to>
                    <xdr:col>7</xdr:col>
                    <xdr:colOff>289560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7" name="Option Button 77">
              <controlPr defaultSize="0" autoFill="0" autoLine="0" autoPict="0">
                <anchor moveWithCells="1">
                  <from>
                    <xdr:col>7</xdr:col>
                    <xdr:colOff>350520</xdr:colOff>
                    <xdr:row>15</xdr:row>
                    <xdr:rowOff>0</xdr:rowOff>
                  </from>
                  <to>
                    <xdr:col>14</xdr:col>
                    <xdr:colOff>632460</xdr:colOff>
                    <xdr:row>16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235"/>
  <sheetViews>
    <sheetView view="pageBreakPreview" topLeftCell="A222" zoomScale="90" zoomScaleNormal="80" zoomScaleSheetLayoutView="90" workbookViewId="0">
      <selection activeCell="K351" sqref="K351"/>
    </sheetView>
  </sheetViews>
  <sheetFormatPr defaultColWidth="9.109375" defaultRowHeight="14.4" x14ac:dyDescent="0.3"/>
  <cols>
    <col min="1" max="1" width="4.44140625" style="60" customWidth="1"/>
    <col min="2" max="2" width="45.3320312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2.44140625" style="60" bestFit="1" customWidth="1"/>
    <col min="9" max="9" width="2.88671875" style="60" customWidth="1"/>
    <col min="10" max="10" width="12.109375" style="60" customWidth="1"/>
    <col min="11" max="11" width="12.88671875" style="60" bestFit="1" customWidth="1"/>
    <col min="12" max="12" width="12.44140625" style="60" bestFit="1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78</v>
      </c>
      <c r="P1" s="56"/>
      <c r="T1" s="53">
        <v>3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70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64</v>
      </c>
      <c r="E16" s="63"/>
      <c r="F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1200</v>
      </c>
      <c r="G18" s="65" t="s">
        <v>65</v>
      </c>
    </row>
    <row r="19" spans="2:29" x14ac:dyDescent="0.3">
      <c r="B19" s="64"/>
      <c r="F19" s="6">
        <v>600000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3399.83</v>
      </c>
      <c r="G23" s="74">
        <v>1</v>
      </c>
      <c r="H23" s="75">
        <f t="shared" ref="H23:H38" si="0">G23*F23</f>
        <v>3399.83</v>
      </c>
      <c r="I23" s="76"/>
      <c r="J23" s="129">
        <v>4482.03</v>
      </c>
      <c r="K23" s="77">
        <v>1</v>
      </c>
      <c r="L23" s="75">
        <f t="shared" ref="L23:L38" si="1">K23*J23</f>
        <v>4482.03</v>
      </c>
      <c r="M23" s="76"/>
      <c r="N23" s="78">
        <f t="shared" ref="N23:N59" si="2">L23-H23</f>
        <v>1082.1999999999998</v>
      </c>
      <c r="O23" s="79">
        <f t="shared" ref="O23:O45" si="3">IF((H23)=0,"",(N23/H23))</f>
        <v>0.3183100331487162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68</v>
      </c>
      <c r="E29" s="73"/>
      <c r="F29" s="135">
        <v>1.8569</v>
      </c>
      <c r="G29" s="74">
        <f>$F18</f>
        <v>1200</v>
      </c>
      <c r="H29" s="136">
        <f t="shared" si="0"/>
        <v>2228.2800000000002</v>
      </c>
      <c r="I29" s="76"/>
      <c r="J29" s="132">
        <v>2.448</v>
      </c>
      <c r="K29" s="74">
        <f>$F18</f>
        <v>1200</v>
      </c>
      <c r="L29" s="136">
        <f t="shared" si="1"/>
        <v>2937.6</v>
      </c>
      <c r="M29" s="76"/>
      <c r="N29" s="137">
        <f t="shared" si="2"/>
        <v>709.31999999999971</v>
      </c>
      <c r="O29" s="79">
        <f t="shared" si="3"/>
        <v>0.31832624266250187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68</v>
      </c>
      <c r="E31" s="73"/>
      <c r="F31" s="135">
        <v>-1.4E-3</v>
      </c>
      <c r="G31" s="74">
        <f>$F18</f>
        <v>1200</v>
      </c>
      <c r="H31" s="136">
        <f>G31*F31</f>
        <v>-1.68</v>
      </c>
      <c r="I31" s="76"/>
      <c r="J31" s="132">
        <v>4.0000000000000002E-4</v>
      </c>
      <c r="K31" s="74">
        <f>$F18</f>
        <v>1200</v>
      </c>
      <c r="L31" s="136">
        <f t="shared" si="1"/>
        <v>0.48000000000000004</v>
      </c>
      <c r="M31" s="76"/>
      <c r="N31" s="137">
        <f t="shared" si="2"/>
        <v>2.16</v>
      </c>
      <c r="O31" s="79">
        <f t="shared" si="3"/>
        <v>-1.2857142857142858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68</v>
      </c>
      <c r="E32" s="73"/>
      <c r="F32" s="135">
        <v>0.22309999999999999</v>
      </c>
      <c r="G32" s="74">
        <f>$F18</f>
        <v>1200</v>
      </c>
      <c r="H32" s="136">
        <f t="shared" si="0"/>
        <v>267.71999999999997</v>
      </c>
      <c r="I32" s="76"/>
      <c r="J32" s="132"/>
      <c r="K32" s="74">
        <f>$F18</f>
        <v>1200</v>
      </c>
      <c r="L32" s="136">
        <f t="shared" si="1"/>
        <v>0</v>
      </c>
      <c r="M32" s="76"/>
      <c r="N32" s="137">
        <f t="shared" si="2"/>
        <v>-267.71999999999997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68</v>
      </c>
      <c r="E33" s="73"/>
      <c r="F33" s="135">
        <v>-4.0500000000000001E-2</v>
      </c>
      <c r="G33" s="74">
        <f>$F18</f>
        <v>1200</v>
      </c>
      <c r="H33" s="136">
        <f t="shared" si="0"/>
        <v>-48.6</v>
      </c>
      <c r="I33" s="76"/>
      <c r="J33" s="132"/>
      <c r="K33" s="74">
        <f>$F18</f>
        <v>1200</v>
      </c>
      <c r="L33" s="136">
        <f t="shared" si="1"/>
        <v>0</v>
      </c>
      <c r="M33" s="76"/>
      <c r="N33" s="137">
        <f t="shared" si="2"/>
        <v>48.6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71</v>
      </c>
      <c r="C34" s="73"/>
      <c r="D34" s="7" t="s">
        <v>68</v>
      </c>
      <c r="E34" s="73"/>
      <c r="F34" s="135">
        <v>1.3157000000000001</v>
      </c>
      <c r="G34" s="74">
        <f>$F18</f>
        <v>1200</v>
      </c>
      <c r="H34" s="136">
        <f t="shared" si="0"/>
        <v>1578.8400000000001</v>
      </c>
      <c r="I34" s="76"/>
      <c r="J34" s="132">
        <v>-0.71440000000000003</v>
      </c>
      <c r="K34" s="74">
        <f>$F18</f>
        <v>1200</v>
      </c>
      <c r="L34" s="136">
        <f t="shared" si="1"/>
        <v>-857.28000000000009</v>
      </c>
      <c r="M34" s="76"/>
      <c r="N34" s="137">
        <f t="shared" si="2"/>
        <v>-2436.1200000000003</v>
      </c>
      <c r="O34" s="79">
        <f t="shared" si="3"/>
        <v>-1.5429809227027438</v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">
        <v>33</v>
      </c>
      <c r="C35" s="73"/>
      <c r="D35" s="7" t="s">
        <v>68</v>
      </c>
      <c r="E35" s="73"/>
      <c r="F35" s="134"/>
      <c r="G35" s="74">
        <f>$F18</f>
        <v>1200</v>
      </c>
      <c r="H35" s="136">
        <f t="shared" si="0"/>
        <v>0</v>
      </c>
      <c r="I35" s="76"/>
      <c r="J35" s="132">
        <v>-5.6099999999999997E-2</v>
      </c>
      <c r="K35" s="74">
        <f>$F18</f>
        <v>1200</v>
      </c>
      <c r="L35" s="136">
        <f t="shared" si="1"/>
        <v>-67.319999999999993</v>
      </c>
      <c r="M35" s="76"/>
      <c r="N35" s="137">
        <f t="shared" si="2"/>
        <v>-67.319999999999993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">
        <v>77</v>
      </c>
      <c r="C36" s="73"/>
      <c r="D36" s="7" t="s">
        <v>68</v>
      </c>
      <c r="E36" s="73"/>
      <c r="F36" s="134"/>
      <c r="G36" s="74">
        <f>$F18</f>
        <v>1200</v>
      </c>
      <c r="H36" s="136">
        <f t="shared" si="0"/>
        <v>0</v>
      </c>
      <c r="I36" s="76"/>
      <c r="J36" s="132">
        <v>8.3599999999999994E-2</v>
      </c>
      <c r="K36" s="74">
        <f>$F18</f>
        <v>1200</v>
      </c>
      <c r="L36" s="136">
        <f t="shared" si="1"/>
        <v>100.32</v>
      </c>
      <c r="M36" s="76"/>
      <c r="N36" s="137">
        <f t="shared" si="2"/>
        <v>100.32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>$F18</f>
        <v>1200</v>
      </c>
      <c r="H37" s="136">
        <f t="shared" si="0"/>
        <v>0</v>
      </c>
      <c r="I37" s="76"/>
      <c r="J37" s="131"/>
      <c r="K37" s="74">
        <f>$F18</f>
        <v>1200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1200</v>
      </c>
      <c r="H38" s="136">
        <f t="shared" si="0"/>
        <v>0</v>
      </c>
      <c r="I38" s="76"/>
      <c r="J38" s="131"/>
      <c r="K38" s="74">
        <f>$F18</f>
        <v>1200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34</v>
      </c>
      <c r="C39" s="20"/>
      <c r="D39" s="20"/>
      <c r="E39" s="20"/>
      <c r="F39" s="21"/>
      <c r="G39" s="22"/>
      <c r="H39" s="23">
        <f>SUM(H23:H38)</f>
        <v>7424.39</v>
      </c>
      <c r="I39" s="13"/>
      <c r="J39" s="14"/>
      <c r="K39" s="24"/>
      <c r="L39" s="23">
        <f>SUM(L23:L38)</f>
        <v>6595.829999999999</v>
      </c>
      <c r="M39" s="13"/>
      <c r="N39" s="15">
        <f t="shared" si="2"/>
        <v>-828.56000000000131</v>
      </c>
      <c r="O39" s="16">
        <f t="shared" si="3"/>
        <v>-0.11159974085413095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35</v>
      </c>
      <c r="C40" s="73"/>
      <c r="D40" s="7" t="s">
        <v>68</v>
      </c>
      <c r="E40" s="73"/>
      <c r="F40" s="135">
        <v>0.1113</v>
      </c>
      <c r="G40" s="74">
        <f>$F18</f>
        <v>1200</v>
      </c>
      <c r="H40" s="136">
        <f t="shared" ref="H40:H46" si="4">G40*F40</f>
        <v>133.56</v>
      </c>
      <c r="I40" s="76"/>
      <c r="J40" s="135">
        <v>-0.73450000000000004</v>
      </c>
      <c r="K40" s="74">
        <f>$F18</f>
        <v>1200</v>
      </c>
      <c r="L40" s="136">
        <f t="shared" ref="L40:L46" si="5">K40*J40</f>
        <v>-881.40000000000009</v>
      </c>
      <c r="M40" s="76"/>
      <c r="N40" s="137">
        <f t="shared" si="2"/>
        <v>-1014.96</v>
      </c>
      <c r="O40" s="79">
        <f t="shared" si="3"/>
        <v>-7.5992812219227313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1200</v>
      </c>
      <c r="H41" s="136">
        <f t="shared" si="4"/>
        <v>0</v>
      </c>
      <c r="I41" s="82"/>
      <c r="J41" s="8"/>
      <c r="K41" s="74">
        <f>$F18</f>
        <v>1200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1200</v>
      </c>
      <c r="H42" s="136">
        <f t="shared" si="4"/>
        <v>0</v>
      </c>
      <c r="I42" s="82"/>
      <c r="J42" s="8"/>
      <c r="K42" s="74">
        <f>$F18</f>
        <v>1200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1200</v>
      </c>
      <c r="H43" s="136">
        <f t="shared" si="4"/>
        <v>0</v>
      </c>
      <c r="I43" s="82"/>
      <c r="J43" s="8"/>
      <c r="K43" s="74">
        <f>$F18</f>
        <v>1200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36</v>
      </c>
      <c r="C44" s="73"/>
      <c r="D44" s="7" t="s">
        <v>68</v>
      </c>
      <c r="E44" s="73"/>
      <c r="F44" s="135">
        <v>6.3799999999999996E-2</v>
      </c>
      <c r="G44" s="74">
        <f>$F18</f>
        <v>1200</v>
      </c>
      <c r="H44" s="136">
        <f t="shared" si="4"/>
        <v>76.559999999999988</v>
      </c>
      <c r="I44" s="76"/>
      <c r="J44" s="135">
        <v>0.1313</v>
      </c>
      <c r="K44" s="74">
        <f>$F18</f>
        <v>1200</v>
      </c>
      <c r="L44" s="136">
        <f t="shared" si="5"/>
        <v>157.56</v>
      </c>
      <c r="M44" s="76"/>
      <c r="N44" s="137">
        <f t="shared" si="2"/>
        <v>81.000000000000014</v>
      </c>
      <c r="O44" s="79">
        <f t="shared" si="3"/>
        <v>1.0579937304075238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37</v>
      </c>
      <c r="C45" s="73"/>
      <c r="D45" s="7" t="s">
        <v>27</v>
      </c>
      <c r="E45" s="73"/>
      <c r="F45" s="138"/>
      <c r="G45" s="18">
        <f>$F19*(1+$F74)-$F19</f>
        <v>22620</v>
      </c>
      <c r="H45" s="136">
        <f t="shared" si="4"/>
        <v>0</v>
      </c>
      <c r="I45" s="76"/>
      <c r="J45" s="138">
        <f>+F45</f>
        <v>0</v>
      </c>
      <c r="K45" s="18">
        <f>$F19*(1+$J74)-$F19</f>
        <v>22560</v>
      </c>
      <c r="L45" s="136">
        <f t="shared" si="5"/>
        <v>0</v>
      </c>
      <c r="M45" s="76"/>
      <c r="N45" s="137">
        <f t="shared" si="2"/>
        <v>0</v>
      </c>
      <c r="O45" s="79" t="str">
        <f t="shared" si="3"/>
        <v/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38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4"/>
        <v>0</v>
      </c>
      <c r="I46" s="76"/>
      <c r="J46" s="138"/>
      <c r="K46" s="81">
        <v>1</v>
      </c>
      <c r="L46" s="136">
        <f t="shared" si="5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39</v>
      </c>
      <c r="C47" s="20"/>
      <c r="D47" s="20"/>
      <c r="E47" s="20"/>
      <c r="F47" s="21"/>
      <c r="G47" s="22"/>
      <c r="H47" s="23">
        <f>SUM(H40:H46)+H39</f>
        <v>7634.51</v>
      </c>
      <c r="I47" s="13"/>
      <c r="J47" s="22"/>
      <c r="K47" s="24"/>
      <c r="L47" s="23">
        <f>SUM(L40:L46)+L39</f>
        <v>5871.9899999999989</v>
      </c>
      <c r="M47" s="13"/>
      <c r="N47" s="15">
        <f t="shared" si="2"/>
        <v>-1762.5200000000013</v>
      </c>
      <c r="O47" s="16">
        <f t="shared" ref="O47:O59" si="6">IF((H47)=0,"",(N47/H47))</f>
        <v>-0.23086222953405017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40</v>
      </c>
      <c r="C48" s="76"/>
      <c r="D48" s="25" t="s">
        <v>68</v>
      </c>
      <c r="E48" s="76"/>
      <c r="F48" s="135">
        <v>2.8561000000000001</v>
      </c>
      <c r="G48" s="18">
        <f>F18*(1+F74)</f>
        <v>1245.24</v>
      </c>
      <c r="H48" s="136">
        <f>G48*F48</f>
        <v>3556.5299640000003</v>
      </c>
      <c r="I48" s="76"/>
      <c r="J48" s="135">
        <v>2.6861000000000002</v>
      </c>
      <c r="K48" s="18">
        <f>F18*(1+J74)</f>
        <v>1245.1200000000001</v>
      </c>
      <c r="L48" s="136">
        <f>K48*J48</f>
        <v>3344.5168320000007</v>
      </c>
      <c r="M48" s="76"/>
      <c r="N48" s="136">
        <f t="shared" si="2"/>
        <v>-212.01313199999959</v>
      </c>
      <c r="O48" s="79">
        <f t="shared" si="6"/>
        <v>-5.9612356467130714E-2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41</v>
      </c>
      <c r="C49" s="76"/>
      <c r="D49" s="25" t="s">
        <v>68</v>
      </c>
      <c r="E49" s="76"/>
      <c r="F49" s="135">
        <v>1.9374</v>
      </c>
      <c r="G49" s="18">
        <f>G48</f>
        <v>1245.24</v>
      </c>
      <c r="H49" s="136">
        <f>G49*F49</f>
        <v>2412.5279759999999</v>
      </c>
      <c r="I49" s="76"/>
      <c r="J49" s="135">
        <v>1.36</v>
      </c>
      <c r="K49" s="18">
        <f>K48</f>
        <v>1245.1200000000001</v>
      </c>
      <c r="L49" s="136">
        <f>K49*J49</f>
        <v>1693.3632000000002</v>
      </c>
      <c r="M49" s="76"/>
      <c r="N49" s="136">
        <f t="shared" si="2"/>
        <v>-719.16477599999962</v>
      </c>
      <c r="O49" s="79">
        <f t="shared" si="6"/>
        <v>-0.29809593221479791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42</v>
      </c>
      <c r="C50" s="20"/>
      <c r="D50" s="20"/>
      <c r="E50" s="20"/>
      <c r="F50" s="21"/>
      <c r="G50" s="22"/>
      <c r="H50" s="23">
        <f>SUM(H47:H49)</f>
        <v>13603.567939999999</v>
      </c>
      <c r="I50" s="13"/>
      <c r="J50" s="26"/>
      <c r="K50" s="22"/>
      <c r="L50" s="23">
        <f>SUM(L47:L49)</f>
        <v>10909.870031999999</v>
      </c>
      <c r="M50" s="13"/>
      <c r="N50" s="15">
        <f t="shared" si="2"/>
        <v>-2693.6979080000001</v>
      </c>
      <c r="O50" s="16">
        <f t="shared" si="6"/>
        <v>-0.1980140739459563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43</v>
      </c>
      <c r="C51" s="73"/>
      <c r="D51" s="7" t="s">
        <v>27</v>
      </c>
      <c r="E51" s="73"/>
      <c r="F51" s="135">
        <v>4.4000000000000003E-3</v>
      </c>
      <c r="G51" s="18">
        <f>F19*(1+F74)</f>
        <v>622620</v>
      </c>
      <c r="H51" s="139">
        <f t="shared" ref="H51:H59" si="7">G51*F51</f>
        <v>2739.5280000000002</v>
      </c>
      <c r="I51" s="76"/>
      <c r="J51" s="135">
        <f>+F51</f>
        <v>4.4000000000000003E-3</v>
      </c>
      <c r="K51" s="18">
        <f>F19*(1+J74)</f>
        <v>622560</v>
      </c>
      <c r="L51" s="139">
        <f t="shared" ref="L51:L59" si="8">K51*J51</f>
        <v>2739.2640000000001</v>
      </c>
      <c r="M51" s="76"/>
      <c r="N51" s="137">
        <f t="shared" si="2"/>
        <v>-0.26400000000012369</v>
      </c>
      <c r="O51" s="87">
        <f t="shared" si="6"/>
        <v>-9.6366965404304559E-5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44</v>
      </c>
      <c r="C52" s="73"/>
      <c r="D52" s="7" t="s">
        <v>27</v>
      </c>
      <c r="E52" s="73"/>
      <c r="F52" s="135">
        <v>1.1999999999999999E-3</v>
      </c>
      <c r="G52" s="18">
        <f>+G51</f>
        <v>622620</v>
      </c>
      <c r="H52" s="139">
        <f t="shared" si="7"/>
        <v>747.14399999999989</v>
      </c>
      <c r="I52" s="76"/>
      <c r="J52" s="135">
        <f>+F52</f>
        <v>1.1999999999999999E-3</v>
      </c>
      <c r="K52" s="18">
        <f>+K51</f>
        <v>622560</v>
      </c>
      <c r="L52" s="139">
        <f t="shared" si="8"/>
        <v>747.07199999999989</v>
      </c>
      <c r="M52" s="76"/>
      <c r="N52" s="137">
        <f t="shared" si="2"/>
        <v>-7.2000000000002728E-2</v>
      </c>
      <c r="O52" s="87">
        <f t="shared" si="6"/>
        <v>-9.6366965404263088E-5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45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46</v>
      </c>
      <c r="C54" s="73"/>
      <c r="D54" s="7" t="s">
        <v>27</v>
      </c>
      <c r="E54" s="73"/>
      <c r="F54" s="135">
        <v>7.0000000000000001E-3</v>
      </c>
      <c r="G54" s="84">
        <f>F19</f>
        <v>600000</v>
      </c>
      <c r="H54" s="139">
        <f t="shared" si="7"/>
        <v>4200</v>
      </c>
      <c r="I54" s="76"/>
      <c r="J54" s="135">
        <f>+F54</f>
        <v>7.0000000000000001E-3</v>
      </c>
      <c r="K54" s="77">
        <f>F19</f>
        <v>600000</v>
      </c>
      <c r="L54" s="139">
        <f t="shared" si="8"/>
        <v>4200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47</v>
      </c>
      <c r="C55" s="73"/>
      <c r="D55" s="7" t="s">
        <v>27</v>
      </c>
      <c r="E55" s="73"/>
      <c r="F55" s="138">
        <v>6.7000000000000004E-2</v>
      </c>
      <c r="G55" s="27">
        <f>0.64*$F19*(1+F74)</f>
        <v>398476.80000000005</v>
      </c>
      <c r="H55" s="139">
        <f t="shared" si="7"/>
        <v>26697.945600000006</v>
      </c>
      <c r="I55" s="76"/>
      <c r="J55" s="138">
        <v>6.7000000000000004E-2</v>
      </c>
      <c r="K55" s="27">
        <f>0.64*$F19*(1+J74)</f>
        <v>398438.40000000002</v>
      </c>
      <c r="L55" s="139">
        <f>K55*J55</f>
        <v>26695.372800000005</v>
      </c>
      <c r="M55" s="76"/>
      <c r="N55" s="137">
        <f t="shared" si="2"/>
        <v>-2.5728000000017346</v>
      </c>
      <c r="O55" s="87">
        <f t="shared" si="6"/>
        <v>-9.6366965404324372E-5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48</v>
      </c>
      <c r="C56" s="73"/>
      <c r="D56" s="7" t="s">
        <v>27</v>
      </c>
      <c r="E56" s="73"/>
      <c r="F56" s="138">
        <v>0.104</v>
      </c>
      <c r="G56" s="27">
        <f>0.18*$F19*(1+F74)</f>
        <v>112071.6</v>
      </c>
      <c r="H56" s="139">
        <f t="shared" si="7"/>
        <v>11655.446400000001</v>
      </c>
      <c r="I56" s="76"/>
      <c r="J56" s="138">
        <v>0.104</v>
      </c>
      <c r="K56" s="27">
        <f>0.18*$F19*(1+J74)</f>
        <v>112060.8</v>
      </c>
      <c r="L56" s="139">
        <f t="shared" si="8"/>
        <v>11654.323199999999</v>
      </c>
      <c r="M56" s="76"/>
      <c r="N56" s="137">
        <f t="shared" si="2"/>
        <v>-1.1232000000018161</v>
      </c>
      <c r="O56" s="87">
        <f t="shared" si="6"/>
        <v>-9.6366965404415228E-5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49</v>
      </c>
      <c r="C57" s="73"/>
      <c r="D57" s="7" t="s">
        <v>27</v>
      </c>
      <c r="E57" s="73"/>
      <c r="F57" s="138">
        <v>0.124</v>
      </c>
      <c r="G57" s="27">
        <f>0.18*$F19*(1+F74)</f>
        <v>112071.6</v>
      </c>
      <c r="H57" s="139">
        <f t="shared" si="7"/>
        <v>13896.878400000001</v>
      </c>
      <c r="I57" s="76"/>
      <c r="J57" s="138">
        <v>0.124</v>
      </c>
      <c r="K57" s="27">
        <f>0.18*$F19*(1+J74)</f>
        <v>112060.8</v>
      </c>
      <c r="L57" s="139">
        <f t="shared" si="8"/>
        <v>13895.539200000001</v>
      </c>
      <c r="M57" s="76"/>
      <c r="N57" s="137">
        <f t="shared" si="2"/>
        <v>-1.3392000000003463</v>
      </c>
      <c r="O57" s="87">
        <f t="shared" si="6"/>
        <v>-9.6366965404284338E-5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50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F19))))*(1+F74)</f>
        <v>0</v>
      </c>
      <c r="H58" s="139">
        <f t="shared" si="7"/>
        <v>0</v>
      </c>
      <c r="I58" s="91"/>
      <c r="J58" s="138">
        <v>7.4999999999999997E-2</v>
      </c>
      <c r="K58" s="30">
        <f>IF(AND($T$1=1, J19&gt;=750), 750, IF(AND($T$1=1, AND(J19&lt;750, J19&gt;=0)), J19, IF(AND($T$1=2, J19&gt;=750), 750, IF(AND($T$1=2, AND(J19&lt;750, J19&gt;=0)), J19))))*(1+J74)</f>
        <v>0</v>
      </c>
      <c r="L58" s="139">
        <f t="shared" si="8"/>
        <v>0</v>
      </c>
      <c r="M58" s="91"/>
      <c r="N58" s="140">
        <f t="shared" si="2"/>
        <v>0</v>
      </c>
      <c r="O58" s="87" t="str">
        <f t="shared" si="6"/>
        <v/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51</v>
      </c>
      <c r="C59" s="90"/>
      <c r="D59" s="29" t="s">
        <v>27</v>
      </c>
      <c r="E59" s="90"/>
      <c r="F59" s="138">
        <v>8.7999999999999995E-2</v>
      </c>
      <c r="G59" s="30">
        <f>+F19*(1+F74)-G58</f>
        <v>622620</v>
      </c>
      <c r="H59" s="139">
        <f t="shared" si="7"/>
        <v>54790.559999999998</v>
      </c>
      <c r="I59" s="91"/>
      <c r="J59" s="138">
        <v>8.7999999999999995E-2</v>
      </c>
      <c r="K59" s="30">
        <f>+F19*(1+J74)-K58</f>
        <v>622560</v>
      </c>
      <c r="L59" s="139">
        <f t="shared" si="8"/>
        <v>54785.279999999999</v>
      </c>
      <c r="M59" s="91"/>
      <c r="N59" s="140">
        <f t="shared" si="2"/>
        <v>-5.2799999999988358</v>
      </c>
      <c r="O59" s="87">
        <f t="shared" si="6"/>
        <v>-9.6366965404238178E-5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52</v>
      </c>
      <c r="C61" s="73"/>
      <c r="D61" s="73"/>
      <c r="E61" s="73"/>
      <c r="F61" s="94"/>
      <c r="G61" s="95"/>
      <c r="H61" s="141">
        <f>SUM(H51:H57,H50)</f>
        <v>73540.760340000008</v>
      </c>
      <c r="I61" s="96"/>
      <c r="J61" s="97"/>
      <c r="K61" s="97"/>
      <c r="L61" s="144">
        <f>SUM(L51:L57,L50)</f>
        <v>70841.691232000012</v>
      </c>
      <c r="M61" s="145"/>
      <c r="N61" s="146">
        <f>L61-H61</f>
        <v>-2699.069107999996</v>
      </c>
      <c r="O61" s="98">
        <f>IF((H61)=0,"",(N61/H61))</f>
        <v>-3.6701675309330856E-2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53</v>
      </c>
      <c r="C62" s="73"/>
      <c r="D62" s="73"/>
      <c r="E62" s="73"/>
      <c r="F62" s="100">
        <v>0.13</v>
      </c>
      <c r="G62" s="101"/>
      <c r="H62" s="142">
        <f>H61*F62</f>
        <v>9560.2988442000005</v>
      </c>
      <c r="I62" s="102"/>
      <c r="J62" s="103">
        <v>0.13</v>
      </c>
      <c r="K62" s="102"/>
      <c r="L62" s="147">
        <f>L61*J62</f>
        <v>9209.4198601600019</v>
      </c>
      <c r="M62" s="148"/>
      <c r="N62" s="149">
        <f>L62-H62</f>
        <v>-350.87898403999861</v>
      </c>
      <c r="O62" s="104">
        <f>IF((H62)=0,"",(N62/H62))</f>
        <v>-3.6701675309330765E-2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54</v>
      </c>
      <c r="C63" s="73"/>
      <c r="D63" s="73"/>
      <c r="E63" s="73"/>
      <c r="F63" s="106"/>
      <c r="G63" s="101"/>
      <c r="H63" s="142">
        <f>H61+H62</f>
        <v>83101.059184200014</v>
      </c>
      <c r="I63" s="102"/>
      <c r="J63" s="102"/>
      <c r="K63" s="102"/>
      <c r="L63" s="147">
        <f>L61+L62</f>
        <v>80051.111092160019</v>
      </c>
      <c r="M63" s="148"/>
      <c r="N63" s="149">
        <f>L63-H63</f>
        <v>-3049.9480920399947</v>
      </c>
      <c r="O63" s="104">
        <f>IF((H63)=0,"",(N63/H63))</f>
        <v>-3.6701675309330842E-2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55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56</v>
      </c>
      <c r="C65" s="173"/>
      <c r="D65" s="173"/>
      <c r="E65" s="42"/>
      <c r="F65" s="43"/>
      <c r="G65" s="44"/>
      <c r="H65" s="45">
        <f>H63+H64</f>
        <v>83101.059184200014</v>
      </c>
      <c r="I65" s="46"/>
      <c r="J65" s="46"/>
      <c r="K65" s="46"/>
      <c r="L65" s="47">
        <f>L63+L64</f>
        <v>80051.111092160019</v>
      </c>
      <c r="M65" s="48"/>
      <c r="N65" s="49">
        <f>L65-H65</f>
        <v>-3049.9480920399947</v>
      </c>
      <c r="O65" s="50">
        <f>IF((H65)=0,"",(N65/H65))</f>
        <v>-3.6701675309330842E-2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57</v>
      </c>
      <c r="C67" s="90"/>
      <c r="D67" s="90"/>
      <c r="E67" s="90"/>
      <c r="F67" s="109"/>
      <c r="G67" s="110"/>
      <c r="H67" s="152">
        <f>SUM(H58:H59,H50,H51:H54)</f>
        <v>76081.049939999997</v>
      </c>
      <c r="I67" s="111"/>
      <c r="J67" s="112"/>
      <c r="K67" s="112"/>
      <c r="L67" s="155">
        <f>SUM(L58:L59,L50,L51:L54)</f>
        <v>73381.736032000001</v>
      </c>
      <c r="M67" s="156"/>
      <c r="N67" s="157">
        <f>L67-H67</f>
        <v>-2699.3139079999964</v>
      </c>
      <c r="O67" s="98">
        <f>IF((H67)=0,"",(N67/H67))</f>
        <v>-3.5479451323670794E-2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53</v>
      </c>
      <c r="C68" s="90"/>
      <c r="D68" s="90"/>
      <c r="E68" s="90"/>
      <c r="F68" s="114">
        <v>0.13</v>
      </c>
      <c r="G68" s="110"/>
      <c r="H68" s="153">
        <f>H67*F68</f>
        <v>9890.5364922000008</v>
      </c>
      <c r="I68" s="115"/>
      <c r="J68" s="116">
        <v>0.13</v>
      </c>
      <c r="K68" s="117"/>
      <c r="L68" s="158">
        <f>L67*J68</f>
        <v>9539.6256841600007</v>
      </c>
      <c r="M68" s="159"/>
      <c r="N68" s="160">
        <f>L68-H68</f>
        <v>-350.91080804000012</v>
      </c>
      <c r="O68" s="104">
        <f>IF((H68)=0,"",(N68/H68))</f>
        <v>-3.5479451323670842E-2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54</v>
      </c>
      <c r="C69" s="90"/>
      <c r="D69" s="90"/>
      <c r="E69" s="90"/>
      <c r="F69" s="119"/>
      <c r="G69" s="120"/>
      <c r="H69" s="153">
        <f>H67+H68</f>
        <v>85971.586432199998</v>
      </c>
      <c r="I69" s="115"/>
      <c r="J69" s="115"/>
      <c r="K69" s="115"/>
      <c r="L69" s="158">
        <f>L67+L68</f>
        <v>82921.361716159998</v>
      </c>
      <c r="M69" s="159"/>
      <c r="N69" s="160">
        <f>L69-H69</f>
        <v>-3050.2247160400002</v>
      </c>
      <c r="O69" s="104">
        <f>IF((H69)=0,"",(N69/H69))</f>
        <v>-3.5479451323670842E-2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55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58</v>
      </c>
      <c r="C71" s="173"/>
      <c r="D71" s="173"/>
      <c r="E71" s="42"/>
      <c r="F71" s="43"/>
      <c r="G71" s="44"/>
      <c r="H71" s="45">
        <f>SUM(H69:H70)</f>
        <v>85971.586432199998</v>
      </c>
      <c r="I71" s="46"/>
      <c r="J71" s="46"/>
      <c r="K71" s="46"/>
      <c r="L71" s="47">
        <f>SUM(L69:L70)</f>
        <v>82921.361716159998</v>
      </c>
      <c r="M71" s="48"/>
      <c r="N71" s="49">
        <f>L71-H71</f>
        <v>-3050.2247160400002</v>
      </c>
      <c r="O71" s="50">
        <f>IF((H71)=0,"",(N71/H71))</f>
        <v>-3.5479451323670842E-2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59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60</v>
      </c>
    </row>
    <row r="79" spans="1:63" x14ac:dyDescent="0.3">
      <c r="A79" s="60" t="s">
        <v>61</v>
      </c>
    </row>
    <row r="80" spans="1:63" x14ac:dyDescent="0.3">
      <c r="A80" s="60" t="s">
        <v>62</v>
      </c>
    </row>
    <row r="81" spans="2:16" ht="11.4" customHeight="1" x14ac:dyDescent="0.3"/>
    <row r="82" spans="2:16" x14ac:dyDescent="0.3">
      <c r="B82" s="60" t="s">
        <v>63</v>
      </c>
    </row>
    <row r="87" spans="2:16" ht="17.399999999999999" x14ac:dyDescent="0.3">
      <c r="B87" s="175" t="s">
        <v>6</v>
      </c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56"/>
    </row>
    <row r="88" spans="2:16" ht="18.75" customHeight="1" x14ac:dyDescent="0.3">
      <c r="B88" s="175" t="s">
        <v>7</v>
      </c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56"/>
    </row>
    <row r="89" spans="2:16" ht="7.5" customHeight="1" x14ac:dyDescent="0.3">
      <c r="L89" s="56"/>
      <c r="M89" s="56"/>
      <c r="N89" s="56"/>
      <c r="O89" s="56"/>
      <c r="P89" s="56"/>
    </row>
    <row r="90" spans="2:16" ht="7.5" customHeight="1" x14ac:dyDescent="0.3">
      <c r="L90" s="56"/>
      <c r="M90" s="56"/>
      <c r="N90" s="56"/>
      <c r="O90" s="56"/>
      <c r="P90" s="56"/>
    </row>
    <row r="91" spans="2:16" ht="15.6" x14ac:dyDescent="0.3">
      <c r="B91" s="61" t="s">
        <v>8</v>
      </c>
      <c r="D91" s="185" t="s">
        <v>70</v>
      </c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</row>
    <row r="92" spans="2:16" ht="7.5" customHeight="1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2:16" ht="15.6" x14ac:dyDescent="0.3">
      <c r="B93" s="61" t="s">
        <v>9</v>
      </c>
      <c r="D93" s="5" t="s">
        <v>64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</row>
    <row r="94" spans="2:16" ht="15.6" x14ac:dyDescent="0.3">
      <c r="B94" s="62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</row>
    <row r="95" spans="2:16" x14ac:dyDescent="0.3">
      <c r="B95" s="64"/>
      <c r="D95" s="65" t="s">
        <v>11</v>
      </c>
      <c r="E95" s="65"/>
      <c r="F95" s="6">
        <v>2200</v>
      </c>
      <c r="G95" s="65" t="s">
        <v>65</v>
      </c>
    </row>
    <row r="96" spans="2:16" x14ac:dyDescent="0.3">
      <c r="B96" s="64"/>
      <c r="F96" s="6">
        <v>1000000</v>
      </c>
      <c r="G96" s="65" t="s">
        <v>12</v>
      </c>
    </row>
    <row r="97" spans="2:29" x14ac:dyDescent="0.3">
      <c r="B97" s="64"/>
      <c r="D97" s="66"/>
      <c r="E97" s="66"/>
      <c r="F97" s="176" t="s">
        <v>13</v>
      </c>
      <c r="G97" s="177"/>
      <c r="H97" s="178"/>
      <c r="J97" s="176" t="s">
        <v>14</v>
      </c>
      <c r="K97" s="177"/>
      <c r="L97" s="178"/>
      <c r="N97" s="176" t="s">
        <v>15</v>
      </c>
      <c r="O97" s="178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64"/>
      <c r="D98" s="179" t="s">
        <v>16</v>
      </c>
      <c r="E98" s="67"/>
      <c r="F98" s="68" t="s">
        <v>17</v>
      </c>
      <c r="G98" s="68" t="s">
        <v>18</v>
      </c>
      <c r="H98" s="69" t="s">
        <v>19</v>
      </c>
      <c r="J98" s="68" t="s">
        <v>17</v>
      </c>
      <c r="K98" s="70" t="s">
        <v>18</v>
      </c>
      <c r="L98" s="69" t="s">
        <v>19</v>
      </c>
      <c r="N98" s="181" t="s">
        <v>20</v>
      </c>
      <c r="O98" s="183" t="s">
        <v>21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64"/>
      <c r="D99" s="180"/>
      <c r="E99" s="67"/>
      <c r="F99" s="71" t="s">
        <v>22</v>
      </c>
      <c r="G99" s="71"/>
      <c r="H99" s="72" t="s">
        <v>22</v>
      </c>
      <c r="J99" s="71" t="s">
        <v>22</v>
      </c>
      <c r="K99" s="72"/>
      <c r="L99" s="72" t="s">
        <v>22</v>
      </c>
      <c r="N99" s="182"/>
      <c r="O99" s="184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73" t="s">
        <v>23</v>
      </c>
      <c r="C100" s="73"/>
      <c r="D100" s="7" t="s">
        <v>24</v>
      </c>
      <c r="E100" s="73"/>
      <c r="F100" s="129">
        <v>3399.83</v>
      </c>
      <c r="G100" s="74">
        <v>1</v>
      </c>
      <c r="H100" s="75">
        <f t="shared" ref="H100:H115" si="9">G100*F100</f>
        <v>3399.83</v>
      </c>
      <c r="I100" s="76"/>
      <c r="J100" s="129">
        <v>4482.03</v>
      </c>
      <c r="K100" s="77">
        <v>1</v>
      </c>
      <c r="L100" s="75">
        <f t="shared" ref="L100:L115" si="10">K100*J100</f>
        <v>4482.03</v>
      </c>
      <c r="M100" s="76"/>
      <c r="N100" s="78">
        <f t="shared" ref="N100:N136" si="11">L100-H100</f>
        <v>1082.1999999999998</v>
      </c>
      <c r="O100" s="79">
        <f t="shared" ref="O100:O122" si="12">IF((H100)=0,"",(N100/H100))</f>
        <v>0.3183100331487162</v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73" t="s">
        <v>25</v>
      </c>
      <c r="C101" s="73"/>
      <c r="D101" s="7" t="s">
        <v>24</v>
      </c>
      <c r="E101" s="73"/>
      <c r="F101" s="133"/>
      <c r="G101" s="74">
        <v>1</v>
      </c>
      <c r="H101" s="136">
        <f t="shared" si="9"/>
        <v>0</v>
      </c>
      <c r="I101" s="76"/>
      <c r="J101" s="130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9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9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10"/>
      <c r="C104" s="73"/>
      <c r="D104" s="7"/>
      <c r="E104" s="73"/>
      <c r="F104" s="134"/>
      <c r="G104" s="74">
        <v>1</v>
      </c>
      <c r="H104" s="136">
        <f t="shared" si="9"/>
        <v>0</v>
      </c>
      <c r="I104" s="76"/>
      <c r="J104" s="131"/>
      <c r="K104" s="77">
        <v>1</v>
      </c>
      <c r="L104" s="136">
        <f t="shared" si="10"/>
        <v>0</v>
      </c>
      <c r="M104" s="76"/>
      <c r="N104" s="137">
        <f t="shared" si="11"/>
        <v>0</v>
      </c>
      <c r="O104" s="79" t="str">
        <f t="shared" si="12"/>
        <v/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10"/>
      <c r="C105" s="73"/>
      <c r="D105" s="7"/>
      <c r="E105" s="73"/>
      <c r="F105" s="134"/>
      <c r="G105" s="74">
        <v>1</v>
      </c>
      <c r="H105" s="136">
        <f t="shared" si="9"/>
        <v>0</v>
      </c>
      <c r="I105" s="76"/>
      <c r="J105" s="131"/>
      <c r="K105" s="77">
        <v>1</v>
      </c>
      <c r="L105" s="136">
        <f t="shared" si="10"/>
        <v>0</v>
      </c>
      <c r="M105" s="76"/>
      <c r="N105" s="137">
        <f t="shared" si="11"/>
        <v>0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26</v>
      </c>
      <c r="C106" s="73"/>
      <c r="D106" s="7" t="s">
        <v>68</v>
      </c>
      <c r="E106" s="73"/>
      <c r="F106" s="135">
        <v>1.8569</v>
      </c>
      <c r="G106" s="74">
        <f>$F95</f>
        <v>2200</v>
      </c>
      <c r="H106" s="136">
        <f t="shared" si="9"/>
        <v>4085.18</v>
      </c>
      <c r="I106" s="76"/>
      <c r="J106" s="132">
        <v>2.448</v>
      </c>
      <c r="K106" s="74">
        <f>$F95</f>
        <v>2200</v>
      </c>
      <c r="L106" s="136">
        <f t="shared" si="10"/>
        <v>5385.5999999999995</v>
      </c>
      <c r="M106" s="76"/>
      <c r="N106" s="137">
        <f t="shared" si="11"/>
        <v>1300.4199999999996</v>
      </c>
      <c r="O106" s="79">
        <f t="shared" si="12"/>
        <v>0.31832624266250192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73" t="s">
        <v>28</v>
      </c>
      <c r="C107" s="73"/>
      <c r="D107" s="7" t="s">
        <v>24</v>
      </c>
      <c r="E107" s="73"/>
      <c r="F107" s="135"/>
      <c r="G107" s="74">
        <v>1</v>
      </c>
      <c r="H107" s="136">
        <f t="shared" si="9"/>
        <v>0</v>
      </c>
      <c r="I107" s="76"/>
      <c r="J107" s="132"/>
      <c r="K107" s="74">
        <v>1</v>
      </c>
      <c r="L107" s="136">
        <f t="shared" si="10"/>
        <v>0</v>
      </c>
      <c r="M107" s="76"/>
      <c r="N107" s="137">
        <f t="shared" si="11"/>
        <v>0</v>
      </c>
      <c r="O107" s="79" t="str">
        <f t="shared" si="12"/>
        <v/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73" t="s">
        <v>29</v>
      </c>
      <c r="C108" s="73"/>
      <c r="D108" s="7" t="s">
        <v>68</v>
      </c>
      <c r="E108" s="73"/>
      <c r="F108" s="135">
        <v>-1.4E-3</v>
      </c>
      <c r="G108" s="74">
        <f>$F95</f>
        <v>2200</v>
      </c>
      <c r="H108" s="136">
        <f t="shared" si="9"/>
        <v>-3.08</v>
      </c>
      <c r="I108" s="76"/>
      <c r="J108" s="132">
        <v>4.0000000000000002E-4</v>
      </c>
      <c r="K108" s="74">
        <f>$F95</f>
        <v>2200</v>
      </c>
      <c r="L108" s="136">
        <f t="shared" si="10"/>
        <v>0.88</v>
      </c>
      <c r="M108" s="76"/>
      <c r="N108" s="137">
        <f t="shared" si="11"/>
        <v>3.96</v>
      </c>
      <c r="O108" s="79">
        <f t="shared" si="12"/>
        <v>-1.2857142857142856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1" t="s">
        <v>30</v>
      </c>
      <c r="C109" s="73"/>
      <c r="D109" s="7" t="s">
        <v>68</v>
      </c>
      <c r="E109" s="73"/>
      <c r="F109" s="135">
        <v>0.22309999999999999</v>
      </c>
      <c r="G109" s="74">
        <f>$F95</f>
        <v>2200</v>
      </c>
      <c r="H109" s="136">
        <f t="shared" si="9"/>
        <v>490.82</v>
      </c>
      <c r="I109" s="76"/>
      <c r="J109" s="132"/>
      <c r="K109" s="74">
        <f>$F95</f>
        <v>2200</v>
      </c>
      <c r="L109" s="136">
        <f t="shared" si="10"/>
        <v>0</v>
      </c>
      <c r="M109" s="76"/>
      <c r="N109" s="137">
        <f t="shared" si="11"/>
        <v>-490.82</v>
      </c>
      <c r="O109" s="79">
        <f t="shared" si="12"/>
        <v>-1</v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1" t="s">
        <v>31</v>
      </c>
      <c r="C110" s="73"/>
      <c r="D110" s="7" t="s">
        <v>68</v>
      </c>
      <c r="E110" s="73"/>
      <c r="F110" s="135">
        <v>-4.0500000000000001E-2</v>
      </c>
      <c r="G110" s="74">
        <f>$F95</f>
        <v>2200</v>
      </c>
      <c r="H110" s="136">
        <f t="shared" si="9"/>
        <v>-89.100000000000009</v>
      </c>
      <c r="I110" s="76"/>
      <c r="J110" s="132"/>
      <c r="K110" s="74">
        <f>$F95</f>
        <v>2200</v>
      </c>
      <c r="L110" s="136">
        <f t="shared" si="10"/>
        <v>0</v>
      </c>
      <c r="M110" s="76"/>
      <c r="N110" s="137">
        <f t="shared" si="11"/>
        <v>89.100000000000009</v>
      </c>
      <c r="O110" s="79">
        <f t="shared" si="12"/>
        <v>-1</v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1" t="s">
        <v>71</v>
      </c>
      <c r="C111" s="73"/>
      <c r="D111" s="7" t="s">
        <v>68</v>
      </c>
      <c r="E111" s="73"/>
      <c r="F111" s="135">
        <v>1.3157000000000001</v>
      </c>
      <c r="G111" s="74">
        <f>$F95</f>
        <v>2200</v>
      </c>
      <c r="H111" s="136">
        <f t="shared" si="9"/>
        <v>2894.5400000000004</v>
      </c>
      <c r="I111" s="76"/>
      <c r="J111" s="132">
        <v>-0.71440000000000003</v>
      </c>
      <c r="K111" s="74">
        <f>$F95</f>
        <v>2200</v>
      </c>
      <c r="L111" s="136">
        <f t="shared" si="10"/>
        <v>-1571.68</v>
      </c>
      <c r="M111" s="76"/>
      <c r="N111" s="137">
        <f t="shared" si="11"/>
        <v>-4466.22</v>
      </c>
      <c r="O111" s="79">
        <f t="shared" si="12"/>
        <v>-1.5429809227027436</v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 t="s">
        <v>33</v>
      </c>
      <c r="C112" s="73"/>
      <c r="D112" s="7" t="s">
        <v>68</v>
      </c>
      <c r="E112" s="73"/>
      <c r="F112" s="134"/>
      <c r="G112" s="74">
        <f>$F95</f>
        <v>2200</v>
      </c>
      <c r="H112" s="136">
        <f t="shared" si="9"/>
        <v>0</v>
      </c>
      <c r="I112" s="76"/>
      <c r="J112" s="132">
        <v>-5.6099999999999997E-2</v>
      </c>
      <c r="K112" s="74">
        <f>$F95</f>
        <v>2200</v>
      </c>
      <c r="L112" s="136">
        <f t="shared" si="10"/>
        <v>-123.41999999999999</v>
      </c>
      <c r="M112" s="76"/>
      <c r="N112" s="137">
        <f t="shared" si="11"/>
        <v>-123.41999999999999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 t="s">
        <v>77</v>
      </c>
      <c r="C113" s="73"/>
      <c r="D113" s="7" t="s">
        <v>68</v>
      </c>
      <c r="E113" s="73"/>
      <c r="F113" s="134"/>
      <c r="G113" s="74">
        <f>$F95</f>
        <v>2200</v>
      </c>
      <c r="H113" s="136">
        <f t="shared" si="9"/>
        <v>0</v>
      </c>
      <c r="I113" s="76"/>
      <c r="J113" s="132">
        <v>8.3599999999999994E-2</v>
      </c>
      <c r="K113" s="74">
        <f>$F95</f>
        <v>2200</v>
      </c>
      <c r="L113" s="136">
        <f t="shared" si="10"/>
        <v>183.92</v>
      </c>
      <c r="M113" s="76"/>
      <c r="N113" s="137">
        <f t="shared" si="11"/>
        <v>183.92</v>
      </c>
      <c r="O113" s="79" t="str">
        <f t="shared" si="12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x14ac:dyDescent="0.3">
      <c r="B114" s="12"/>
      <c r="C114" s="73"/>
      <c r="D114" s="7"/>
      <c r="E114" s="73"/>
      <c r="F114" s="131"/>
      <c r="G114" s="74">
        <f>$F95</f>
        <v>2200</v>
      </c>
      <c r="H114" s="136">
        <f t="shared" si="9"/>
        <v>0</v>
      </c>
      <c r="I114" s="76"/>
      <c r="J114" s="131"/>
      <c r="K114" s="74">
        <f>$F95</f>
        <v>2200</v>
      </c>
      <c r="L114" s="136">
        <f t="shared" si="10"/>
        <v>0</v>
      </c>
      <c r="M114" s="76"/>
      <c r="N114" s="137">
        <f t="shared" si="11"/>
        <v>0</v>
      </c>
      <c r="O114" s="79" t="str">
        <f t="shared" si="12"/>
        <v/>
      </c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</row>
    <row r="115" spans="1:63" x14ac:dyDescent="0.3">
      <c r="B115" s="12"/>
      <c r="C115" s="73"/>
      <c r="D115" s="7"/>
      <c r="E115" s="73"/>
      <c r="F115" s="131"/>
      <c r="G115" s="74">
        <f>$F95</f>
        <v>2200</v>
      </c>
      <c r="H115" s="136">
        <f t="shared" si="9"/>
        <v>0</v>
      </c>
      <c r="I115" s="76"/>
      <c r="J115" s="131"/>
      <c r="K115" s="74">
        <f>$F95</f>
        <v>2200</v>
      </c>
      <c r="L115" s="136">
        <f t="shared" si="10"/>
        <v>0</v>
      </c>
      <c r="M115" s="76"/>
      <c r="N115" s="137">
        <f t="shared" si="11"/>
        <v>0</v>
      </c>
      <c r="O115" s="79" t="str">
        <f t="shared" si="12"/>
        <v/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s="4" customFormat="1" x14ac:dyDescent="0.3">
      <c r="A116" s="60"/>
      <c r="B116" s="19" t="s">
        <v>34</v>
      </c>
      <c r="C116" s="20"/>
      <c r="D116" s="20"/>
      <c r="E116" s="20"/>
      <c r="F116" s="21"/>
      <c r="G116" s="22"/>
      <c r="H116" s="23">
        <f>SUM(H100:H115)</f>
        <v>10778.19</v>
      </c>
      <c r="I116" s="13"/>
      <c r="J116" s="14"/>
      <c r="K116" s="24"/>
      <c r="L116" s="23">
        <f>SUM(L100:L115)</f>
        <v>8357.3299999999981</v>
      </c>
      <c r="M116" s="13"/>
      <c r="N116" s="15">
        <f t="shared" si="11"/>
        <v>-2420.8600000000024</v>
      </c>
      <c r="O116" s="16">
        <f t="shared" si="12"/>
        <v>-0.22460728563886909</v>
      </c>
      <c r="P116" s="60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</row>
    <row r="117" spans="1:63" x14ac:dyDescent="0.3">
      <c r="B117" s="17" t="s">
        <v>35</v>
      </c>
      <c r="C117" s="73"/>
      <c r="D117" s="7" t="s">
        <v>68</v>
      </c>
      <c r="E117" s="73"/>
      <c r="F117" s="135">
        <v>0.1113</v>
      </c>
      <c r="G117" s="74">
        <f>$F95</f>
        <v>2200</v>
      </c>
      <c r="H117" s="136">
        <f t="shared" ref="H117:H123" si="13">G117*F117</f>
        <v>244.85999999999999</v>
      </c>
      <c r="I117" s="76"/>
      <c r="J117" s="135">
        <v>-0.73450000000000004</v>
      </c>
      <c r="K117" s="74">
        <f>$F95</f>
        <v>2200</v>
      </c>
      <c r="L117" s="136">
        <f t="shared" ref="L117:L123" si="14">K117*J117</f>
        <v>-1615.9</v>
      </c>
      <c r="M117" s="76"/>
      <c r="N117" s="137">
        <f t="shared" si="11"/>
        <v>-1860.76</v>
      </c>
      <c r="O117" s="79">
        <f t="shared" si="12"/>
        <v>-7.5992812219227321</v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>$F95</f>
        <v>2200</v>
      </c>
      <c r="H118" s="136">
        <f t="shared" si="13"/>
        <v>0</v>
      </c>
      <c r="I118" s="82"/>
      <c r="J118" s="8"/>
      <c r="K118" s="74">
        <f>$F95</f>
        <v>2200</v>
      </c>
      <c r="L118" s="136">
        <f t="shared" si="14"/>
        <v>0</v>
      </c>
      <c r="M118" s="83"/>
      <c r="N118" s="137">
        <f t="shared" si="11"/>
        <v>0</v>
      </c>
      <c r="O118" s="79" t="str">
        <f t="shared" si="12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17"/>
      <c r="C119" s="73"/>
      <c r="D119" s="7"/>
      <c r="E119" s="73"/>
      <c r="F119" s="8"/>
      <c r="G119" s="74">
        <f>$F95</f>
        <v>2200</v>
      </c>
      <c r="H119" s="136">
        <f t="shared" si="13"/>
        <v>0</v>
      </c>
      <c r="I119" s="82"/>
      <c r="J119" s="8"/>
      <c r="K119" s="74">
        <f>$F95</f>
        <v>2200</v>
      </c>
      <c r="L119" s="136">
        <f t="shared" si="14"/>
        <v>0</v>
      </c>
      <c r="M119" s="83"/>
      <c r="N119" s="137">
        <f t="shared" si="11"/>
        <v>0</v>
      </c>
      <c r="O119" s="79" t="str">
        <f t="shared" si="12"/>
        <v/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17"/>
      <c r="C120" s="73"/>
      <c r="D120" s="7"/>
      <c r="E120" s="73"/>
      <c r="F120" s="8"/>
      <c r="G120" s="74">
        <f>$F95</f>
        <v>2200</v>
      </c>
      <c r="H120" s="136">
        <f t="shared" si="13"/>
        <v>0</v>
      </c>
      <c r="I120" s="82"/>
      <c r="J120" s="8"/>
      <c r="K120" s="74">
        <f>$F95</f>
        <v>2200</v>
      </c>
      <c r="L120" s="136">
        <f t="shared" si="14"/>
        <v>0</v>
      </c>
      <c r="M120" s="83"/>
      <c r="N120" s="137">
        <f t="shared" si="11"/>
        <v>0</v>
      </c>
      <c r="O120" s="79" t="str">
        <f t="shared" si="12"/>
        <v/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36</v>
      </c>
      <c r="C121" s="73"/>
      <c r="D121" s="7" t="s">
        <v>68</v>
      </c>
      <c r="E121" s="73"/>
      <c r="F121" s="135">
        <v>6.3799999999999996E-2</v>
      </c>
      <c r="G121" s="74">
        <f>$F95</f>
        <v>2200</v>
      </c>
      <c r="H121" s="136">
        <f t="shared" si="13"/>
        <v>140.35999999999999</v>
      </c>
      <c r="I121" s="76"/>
      <c r="J121" s="135">
        <v>0.1313</v>
      </c>
      <c r="K121" s="74">
        <f>$F95</f>
        <v>2200</v>
      </c>
      <c r="L121" s="136">
        <f t="shared" si="14"/>
        <v>288.86</v>
      </c>
      <c r="M121" s="76"/>
      <c r="N121" s="137">
        <f t="shared" si="11"/>
        <v>148.50000000000003</v>
      </c>
      <c r="O121" s="79">
        <f t="shared" si="12"/>
        <v>1.0579937304075238</v>
      </c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x14ac:dyDescent="0.3">
      <c r="B122" s="80" t="s">
        <v>37</v>
      </c>
      <c r="C122" s="73"/>
      <c r="D122" s="7" t="s">
        <v>27</v>
      </c>
      <c r="E122" s="73"/>
      <c r="F122" s="138"/>
      <c r="G122" s="18">
        <f>$F96*(1+$F151)-$F96</f>
        <v>37700.000000000116</v>
      </c>
      <c r="H122" s="136">
        <f t="shared" si="13"/>
        <v>0</v>
      </c>
      <c r="I122" s="76"/>
      <c r="J122" s="138"/>
      <c r="K122" s="18">
        <f>$F96*(1+$J151)-$F96</f>
        <v>37600.000000000116</v>
      </c>
      <c r="L122" s="136">
        <f t="shared" si="14"/>
        <v>0</v>
      </c>
      <c r="M122" s="76"/>
      <c r="N122" s="137">
        <f t="shared" si="11"/>
        <v>0</v>
      </c>
      <c r="O122" s="79" t="str">
        <f t="shared" si="12"/>
        <v/>
      </c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</row>
    <row r="123" spans="1:63" x14ac:dyDescent="0.3">
      <c r="B123" s="80" t="s">
        <v>38</v>
      </c>
      <c r="C123" s="73"/>
      <c r="D123" s="7" t="s">
        <v>24</v>
      </c>
      <c r="E123" s="73"/>
      <c r="F123" s="138">
        <v>0</v>
      </c>
      <c r="G123" s="74">
        <v>1</v>
      </c>
      <c r="H123" s="136">
        <f t="shared" si="13"/>
        <v>0</v>
      </c>
      <c r="I123" s="76"/>
      <c r="J123" s="138"/>
      <c r="K123" s="81">
        <v>1</v>
      </c>
      <c r="L123" s="136">
        <f t="shared" si="14"/>
        <v>0</v>
      </c>
      <c r="M123" s="76"/>
      <c r="N123" s="137">
        <f t="shared" si="11"/>
        <v>0</v>
      </c>
      <c r="O123" s="79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s="4" customFormat="1" x14ac:dyDescent="0.3">
      <c r="A124" s="60"/>
      <c r="B124" s="19" t="s">
        <v>39</v>
      </c>
      <c r="C124" s="20"/>
      <c r="D124" s="20"/>
      <c r="E124" s="20"/>
      <c r="F124" s="21"/>
      <c r="G124" s="22"/>
      <c r="H124" s="23">
        <f>SUM(H117:H123)+H116</f>
        <v>11163.41</v>
      </c>
      <c r="I124" s="13"/>
      <c r="J124" s="22"/>
      <c r="K124" s="24"/>
      <c r="L124" s="23">
        <f>SUM(L117:L123)+L116</f>
        <v>7030.2899999999981</v>
      </c>
      <c r="M124" s="13"/>
      <c r="N124" s="15">
        <f t="shared" si="11"/>
        <v>-4133.1200000000017</v>
      </c>
      <c r="O124" s="16">
        <f t="shared" ref="O124:O136" si="15">IF((H124)=0,"",(N124/H124))</f>
        <v>-0.37023812616395901</v>
      </c>
      <c r="P124" s="60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</row>
    <row r="125" spans="1:63" x14ac:dyDescent="0.3">
      <c r="B125" s="76" t="s">
        <v>40</v>
      </c>
      <c r="C125" s="76"/>
      <c r="D125" s="25" t="s">
        <v>68</v>
      </c>
      <c r="E125" s="76"/>
      <c r="F125" s="135">
        <v>2.8561000000000001</v>
      </c>
      <c r="G125" s="18">
        <f>F95*(1+F151)</f>
        <v>2282.94</v>
      </c>
      <c r="H125" s="136">
        <f>G125*F125</f>
        <v>6520.3049340000007</v>
      </c>
      <c r="I125" s="76"/>
      <c r="J125" s="135">
        <v>2.6861000000000002</v>
      </c>
      <c r="K125" s="18">
        <f>F95*(1+J151)</f>
        <v>2282.7200000000003</v>
      </c>
      <c r="L125" s="136">
        <f>K125*J125</f>
        <v>6131.6141920000009</v>
      </c>
      <c r="M125" s="76"/>
      <c r="N125" s="136">
        <f t="shared" si="11"/>
        <v>-388.69074199999977</v>
      </c>
      <c r="O125" s="79">
        <f t="shared" si="15"/>
        <v>-5.9612356467130798E-2</v>
      </c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</row>
    <row r="126" spans="1:63" x14ac:dyDescent="0.3">
      <c r="B126" s="85" t="s">
        <v>41</v>
      </c>
      <c r="C126" s="76"/>
      <c r="D126" s="25" t="s">
        <v>68</v>
      </c>
      <c r="E126" s="76"/>
      <c r="F126" s="135">
        <v>1.9374</v>
      </c>
      <c r="G126" s="18">
        <f>G125</f>
        <v>2282.94</v>
      </c>
      <c r="H126" s="136">
        <f>G126*F126</f>
        <v>4422.9679560000004</v>
      </c>
      <c r="I126" s="76"/>
      <c r="J126" s="135">
        <v>1.36</v>
      </c>
      <c r="K126" s="18">
        <f>K125</f>
        <v>2282.7200000000003</v>
      </c>
      <c r="L126" s="136">
        <f>K126*J126</f>
        <v>3104.4992000000007</v>
      </c>
      <c r="M126" s="76"/>
      <c r="N126" s="136">
        <f t="shared" si="11"/>
        <v>-1318.4687559999998</v>
      </c>
      <c r="O126" s="79">
        <f t="shared" si="15"/>
        <v>-0.29809593221479802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s="4" customFormat="1" x14ac:dyDescent="0.3">
      <c r="A127" s="60"/>
      <c r="B127" s="19" t="s">
        <v>42</v>
      </c>
      <c r="C127" s="20"/>
      <c r="D127" s="20"/>
      <c r="E127" s="20"/>
      <c r="F127" s="21"/>
      <c r="G127" s="22"/>
      <c r="H127" s="23">
        <f>SUM(H124:H126)</f>
        <v>22106.68289</v>
      </c>
      <c r="I127" s="13"/>
      <c r="J127" s="26"/>
      <c r="K127" s="22"/>
      <c r="L127" s="23">
        <f>SUM(L124:L126)</f>
        <v>16266.403391999998</v>
      </c>
      <c r="M127" s="13"/>
      <c r="N127" s="15">
        <f t="shared" si="11"/>
        <v>-5840.2794980000017</v>
      </c>
      <c r="O127" s="16">
        <f t="shared" si="15"/>
        <v>-0.26418615253407662</v>
      </c>
      <c r="P127" s="60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</row>
    <row r="128" spans="1:63" x14ac:dyDescent="0.3">
      <c r="B128" s="86" t="s">
        <v>43</v>
      </c>
      <c r="C128" s="73"/>
      <c r="D128" s="7" t="s">
        <v>27</v>
      </c>
      <c r="E128" s="73"/>
      <c r="F128" s="135">
        <v>4.4000000000000003E-3</v>
      </c>
      <c r="G128" s="18">
        <f>F96*(1+F151)</f>
        <v>1037700.0000000001</v>
      </c>
      <c r="H128" s="139">
        <f t="shared" ref="H128:H136" si="16">G128*F128</f>
        <v>4565.880000000001</v>
      </c>
      <c r="I128" s="76"/>
      <c r="J128" s="135">
        <f>+F128</f>
        <v>4.4000000000000003E-3</v>
      </c>
      <c r="K128" s="18">
        <f>F96*(1+J151)</f>
        <v>1037600.0000000001</v>
      </c>
      <c r="L128" s="139">
        <f t="shared" ref="L128:L136" si="17">K128*J128</f>
        <v>4565.4400000000005</v>
      </c>
      <c r="M128" s="76"/>
      <c r="N128" s="137">
        <f t="shared" si="11"/>
        <v>-0.44000000000050932</v>
      </c>
      <c r="O128" s="87">
        <f t="shared" si="15"/>
        <v>-9.6366965404370952E-5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86" t="s">
        <v>44</v>
      </c>
      <c r="C129" s="73"/>
      <c r="D129" s="7" t="s">
        <v>27</v>
      </c>
      <c r="E129" s="73"/>
      <c r="F129" s="135">
        <v>1.1999999999999999E-3</v>
      </c>
      <c r="G129" s="18">
        <f>+G128</f>
        <v>1037700.0000000001</v>
      </c>
      <c r="H129" s="139">
        <f t="shared" si="16"/>
        <v>1245.24</v>
      </c>
      <c r="I129" s="76"/>
      <c r="J129" s="135">
        <f>+F129</f>
        <v>1.1999999999999999E-3</v>
      </c>
      <c r="K129" s="18">
        <f>+K128</f>
        <v>1037600.0000000001</v>
      </c>
      <c r="L129" s="139">
        <f t="shared" si="17"/>
        <v>1245.1200000000001</v>
      </c>
      <c r="M129" s="76"/>
      <c r="N129" s="137">
        <f t="shared" si="11"/>
        <v>-0.11999999999989086</v>
      </c>
      <c r="O129" s="87">
        <f t="shared" si="15"/>
        <v>-9.6366965404171771E-5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73" t="s">
        <v>45</v>
      </c>
      <c r="C130" s="73"/>
      <c r="D130" s="7" t="s">
        <v>24</v>
      </c>
      <c r="E130" s="73"/>
      <c r="F130" s="135">
        <v>0.25</v>
      </c>
      <c r="G130" s="81">
        <v>1</v>
      </c>
      <c r="H130" s="139">
        <f t="shared" si="16"/>
        <v>0.25</v>
      </c>
      <c r="I130" s="76"/>
      <c r="J130" s="135">
        <f>+F130</f>
        <v>0.25</v>
      </c>
      <c r="K130" s="77">
        <v>1</v>
      </c>
      <c r="L130" s="139">
        <f t="shared" si="17"/>
        <v>0.25</v>
      </c>
      <c r="M130" s="76"/>
      <c r="N130" s="137">
        <f t="shared" si="11"/>
        <v>0</v>
      </c>
      <c r="O130" s="87">
        <f t="shared" si="15"/>
        <v>0</v>
      </c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73" t="s">
        <v>46</v>
      </c>
      <c r="C131" s="73"/>
      <c r="D131" s="7" t="s">
        <v>27</v>
      </c>
      <c r="E131" s="73"/>
      <c r="F131" s="135">
        <v>7.0000000000000001E-3</v>
      </c>
      <c r="G131" s="84">
        <f>F96</f>
        <v>1000000</v>
      </c>
      <c r="H131" s="139">
        <f t="shared" si="16"/>
        <v>7000</v>
      </c>
      <c r="I131" s="76"/>
      <c r="J131" s="135">
        <f>+F131</f>
        <v>7.0000000000000001E-3</v>
      </c>
      <c r="K131" s="77">
        <f>F96</f>
        <v>1000000</v>
      </c>
      <c r="L131" s="139">
        <f t="shared" si="17"/>
        <v>7000</v>
      </c>
      <c r="M131" s="76"/>
      <c r="N131" s="137">
        <f t="shared" si="11"/>
        <v>0</v>
      </c>
      <c r="O131" s="87">
        <f t="shared" si="15"/>
        <v>0</v>
      </c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80" t="s">
        <v>47</v>
      </c>
      <c r="C132" s="73"/>
      <c r="D132" s="7" t="s">
        <v>27</v>
      </c>
      <c r="E132" s="73"/>
      <c r="F132" s="138">
        <v>6.7000000000000004E-2</v>
      </c>
      <c r="G132" s="27">
        <f>0.64*$F96*(1+F151)</f>
        <v>664128</v>
      </c>
      <c r="H132" s="139">
        <f t="shared" si="16"/>
        <v>44496.576000000001</v>
      </c>
      <c r="I132" s="76"/>
      <c r="J132" s="138">
        <v>6.7000000000000004E-2</v>
      </c>
      <c r="K132" s="27">
        <f>0.64*$F96*(1+J151)</f>
        <v>664064</v>
      </c>
      <c r="L132" s="139">
        <f t="shared" si="17"/>
        <v>44492.288</v>
      </c>
      <c r="M132" s="76"/>
      <c r="N132" s="137">
        <f t="shared" si="11"/>
        <v>-4.2880000000004657</v>
      </c>
      <c r="O132" s="87">
        <f t="shared" si="15"/>
        <v>-9.6366965404269878E-5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x14ac:dyDescent="0.3">
      <c r="B133" s="80" t="s">
        <v>48</v>
      </c>
      <c r="C133" s="73"/>
      <c r="D133" s="7" t="s">
        <v>27</v>
      </c>
      <c r="E133" s="73"/>
      <c r="F133" s="138">
        <v>0.104</v>
      </c>
      <c r="G133" s="27">
        <f>0.18*$F96*(1+F151)</f>
        <v>186786</v>
      </c>
      <c r="H133" s="139">
        <f t="shared" si="16"/>
        <v>19425.743999999999</v>
      </c>
      <c r="I133" s="76"/>
      <c r="J133" s="138">
        <v>0.104</v>
      </c>
      <c r="K133" s="27">
        <f>0.18*$F96*(1+J151)</f>
        <v>186768</v>
      </c>
      <c r="L133" s="139">
        <f t="shared" si="17"/>
        <v>19423.871999999999</v>
      </c>
      <c r="M133" s="76"/>
      <c r="N133" s="137">
        <f t="shared" si="11"/>
        <v>-1.8719999999993888</v>
      </c>
      <c r="O133" s="87">
        <f t="shared" si="15"/>
        <v>-9.636696540422796E-5</v>
      </c>
      <c r="Q133" s="126"/>
      <c r="R133" s="126"/>
      <c r="S133" s="127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</row>
    <row r="134" spans="1:63" x14ac:dyDescent="0.3">
      <c r="B134" s="64" t="s">
        <v>49</v>
      </c>
      <c r="C134" s="73"/>
      <c r="D134" s="7" t="s">
        <v>27</v>
      </c>
      <c r="E134" s="73"/>
      <c r="F134" s="138">
        <v>0.124</v>
      </c>
      <c r="G134" s="27">
        <f>0.18*$F96*(1+F151)</f>
        <v>186786</v>
      </c>
      <c r="H134" s="139">
        <f t="shared" si="16"/>
        <v>23161.464</v>
      </c>
      <c r="I134" s="76"/>
      <c r="J134" s="138">
        <v>0.124</v>
      </c>
      <c r="K134" s="27">
        <f>0.18*$F96*(1+J151)</f>
        <v>186768</v>
      </c>
      <c r="L134" s="139">
        <f t="shared" si="17"/>
        <v>23159.232</v>
      </c>
      <c r="M134" s="76"/>
      <c r="N134" s="137">
        <f t="shared" si="11"/>
        <v>-2.2319999999999709</v>
      </c>
      <c r="O134" s="87">
        <f t="shared" si="15"/>
        <v>-9.6366965404258168E-5</v>
      </c>
      <c r="Q134" s="126"/>
      <c r="R134" s="126"/>
      <c r="S134" s="127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</row>
    <row r="135" spans="1:63" s="92" customFormat="1" x14ac:dyDescent="0.25">
      <c r="B135" s="89" t="s">
        <v>50</v>
      </c>
      <c r="C135" s="90"/>
      <c r="D135" s="29" t="s">
        <v>27</v>
      </c>
      <c r="E135" s="90"/>
      <c r="F135" s="138">
        <v>7.4999999999999997E-2</v>
      </c>
      <c r="G135" s="30">
        <f>IF(AND($T$1=1, F96&gt;=750), 750, IF(AND($T$1=1, AND(F96&lt;750, F96&gt;=0)), F96, IF(AND($T$1=2, F96&gt;=750), 750, IF(AND($T$1=2, AND(F96&lt;750, F96&gt;=0)), F96))))*(1+F151)</f>
        <v>0</v>
      </c>
      <c r="H135" s="139">
        <f t="shared" si="16"/>
        <v>0</v>
      </c>
      <c r="I135" s="91"/>
      <c r="J135" s="138">
        <v>7.4999999999999997E-2</v>
      </c>
      <c r="K135" s="30">
        <f>IF(AND($T$1=1, J96&gt;=750), 750, IF(AND($T$1=1, AND(J96&lt;750, J96&gt;=0)), J96, IF(AND($T$1=2, J96&gt;=750), 750, IF(AND($T$1=2, AND(J96&lt;750, J96&gt;=0)), J96))))*(1+J151)</f>
        <v>0</v>
      </c>
      <c r="L135" s="139">
        <f t="shared" si="17"/>
        <v>0</v>
      </c>
      <c r="M135" s="91"/>
      <c r="N135" s="140">
        <f t="shared" si="11"/>
        <v>0</v>
      </c>
      <c r="O135" s="87" t="str">
        <f t="shared" si="15"/>
        <v/>
      </c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</row>
    <row r="136" spans="1:63" s="92" customFormat="1" ht="15" thickBot="1" x14ac:dyDescent="0.3">
      <c r="B136" s="89" t="s">
        <v>51</v>
      </c>
      <c r="C136" s="90"/>
      <c r="D136" s="29" t="s">
        <v>27</v>
      </c>
      <c r="E136" s="90"/>
      <c r="F136" s="138">
        <v>8.7999999999999995E-2</v>
      </c>
      <c r="G136" s="30">
        <f>+F96*(1+F151)-G135</f>
        <v>1037700.0000000001</v>
      </c>
      <c r="H136" s="139">
        <f t="shared" si="16"/>
        <v>91317.6</v>
      </c>
      <c r="I136" s="91"/>
      <c r="J136" s="138">
        <v>8.7999999999999995E-2</v>
      </c>
      <c r="K136" s="30">
        <f>+F96*(1+J151)-K135</f>
        <v>1037600.0000000001</v>
      </c>
      <c r="L136" s="139">
        <f t="shared" si="17"/>
        <v>91308.800000000003</v>
      </c>
      <c r="M136" s="91"/>
      <c r="N136" s="140">
        <f t="shared" si="11"/>
        <v>-8.8000000000029104</v>
      </c>
      <c r="O136" s="87">
        <f t="shared" si="15"/>
        <v>-9.6366965404291291E-5</v>
      </c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</row>
    <row r="137" spans="1:63" s="4" customFormat="1" ht="15" thickBot="1" x14ac:dyDescent="0.35">
      <c r="A137" s="60"/>
      <c r="B137" s="32"/>
      <c r="C137" s="33"/>
      <c r="D137" s="124"/>
      <c r="E137" s="33"/>
      <c r="F137" s="35"/>
      <c r="G137" s="36"/>
      <c r="H137" s="122"/>
      <c r="I137" s="123"/>
      <c r="J137" s="35"/>
      <c r="K137" s="39"/>
      <c r="L137" s="122"/>
      <c r="M137" s="123"/>
      <c r="N137" s="40"/>
      <c r="O137" s="41"/>
      <c r="P137" s="60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</row>
    <row r="138" spans="1:63" x14ac:dyDescent="0.3">
      <c r="B138" s="93" t="s">
        <v>52</v>
      </c>
      <c r="C138" s="73"/>
      <c r="D138" s="73"/>
      <c r="E138" s="73"/>
      <c r="F138" s="94"/>
      <c r="G138" s="95"/>
      <c r="H138" s="141">
        <f>SUM(H128:H134,H127)</f>
        <v>122001.83689000001</v>
      </c>
      <c r="I138" s="96"/>
      <c r="J138" s="97"/>
      <c r="K138" s="97"/>
      <c r="L138" s="144">
        <f>SUM(L128:L134,L127)</f>
        <v>116152.605392</v>
      </c>
      <c r="M138" s="145"/>
      <c r="N138" s="146">
        <f>L138-H138</f>
        <v>-5849.2314980000083</v>
      </c>
      <c r="O138" s="98">
        <f>IF((H138)=0,"",(N138/H138))</f>
        <v>-4.7943798610785064E-2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x14ac:dyDescent="0.3">
      <c r="B139" s="99" t="s">
        <v>53</v>
      </c>
      <c r="C139" s="73"/>
      <c r="D139" s="73"/>
      <c r="E139" s="73"/>
      <c r="F139" s="100">
        <v>0.13</v>
      </c>
      <c r="G139" s="101"/>
      <c r="H139" s="142">
        <f>H138*F139</f>
        <v>15860.238795700001</v>
      </c>
      <c r="I139" s="102"/>
      <c r="J139" s="103">
        <v>0.13</v>
      </c>
      <c r="K139" s="102"/>
      <c r="L139" s="147">
        <f>L138*J139</f>
        <v>15099.838700960001</v>
      </c>
      <c r="M139" s="148"/>
      <c r="N139" s="149">
        <f>L139-H139</f>
        <v>-760.40009473999999</v>
      </c>
      <c r="O139" s="104">
        <f>IF((H139)=0,"",(N139/H139))</f>
        <v>-4.7943798610784995E-2</v>
      </c>
      <c r="Q139" s="126"/>
      <c r="R139" s="126"/>
      <c r="S139" s="127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x14ac:dyDescent="0.3">
      <c r="B140" s="105" t="s">
        <v>54</v>
      </c>
      <c r="C140" s="73"/>
      <c r="D140" s="73"/>
      <c r="E140" s="73"/>
      <c r="F140" s="106"/>
      <c r="G140" s="101"/>
      <c r="H140" s="142">
        <f>H138+H139</f>
        <v>137862.07568569999</v>
      </c>
      <c r="I140" s="102"/>
      <c r="J140" s="102"/>
      <c r="K140" s="102"/>
      <c r="L140" s="147">
        <f>L138+L139</f>
        <v>131252.44409296001</v>
      </c>
      <c r="M140" s="148"/>
      <c r="N140" s="149">
        <f>L140-H140</f>
        <v>-6609.6315927399846</v>
      </c>
      <c r="O140" s="104">
        <f>IF((H140)=0,"",(N140/H140))</f>
        <v>-4.7943798610784891E-2</v>
      </c>
      <c r="Q140" s="126"/>
      <c r="R140" s="126"/>
      <c r="S140" s="127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</row>
    <row r="141" spans="1:63" ht="14.4" customHeight="1" x14ac:dyDescent="0.3">
      <c r="B141" s="172" t="s">
        <v>55</v>
      </c>
      <c r="C141" s="172"/>
      <c r="D141" s="172"/>
      <c r="E141" s="73"/>
      <c r="F141" s="106"/>
      <c r="G141" s="101"/>
      <c r="H141" s="143">
        <v>0</v>
      </c>
      <c r="I141" s="102"/>
      <c r="J141" s="102"/>
      <c r="K141" s="102"/>
      <c r="L141" s="150">
        <v>0</v>
      </c>
      <c r="M141" s="148"/>
      <c r="N141" s="151">
        <f>L141-H141</f>
        <v>0</v>
      </c>
      <c r="O141" s="107" t="str">
        <f>IF((H141)=0,"",(N141/H141))</f>
        <v/>
      </c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</row>
    <row r="142" spans="1:63" s="4" customFormat="1" ht="15" thickBot="1" x14ac:dyDescent="0.35">
      <c r="A142" s="60"/>
      <c r="B142" s="173" t="s">
        <v>56</v>
      </c>
      <c r="C142" s="173"/>
      <c r="D142" s="173"/>
      <c r="E142" s="42"/>
      <c r="F142" s="43"/>
      <c r="G142" s="44"/>
      <c r="H142" s="45">
        <f>H140+H141</f>
        <v>137862.07568569999</v>
      </c>
      <c r="I142" s="46"/>
      <c r="J142" s="46"/>
      <c r="K142" s="46"/>
      <c r="L142" s="47">
        <f>L140+L141</f>
        <v>131252.44409296001</v>
      </c>
      <c r="M142" s="48"/>
      <c r="N142" s="49">
        <f>L142-H142</f>
        <v>-6609.6315927399846</v>
      </c>
      <c r="O142" s="50">
        <f>IF((H142)=0,"",(N142/H142))</f>
        <v>-4.7943798610784891E-2</v>
      </c>
      <c r="P142" s="60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</row>
    <row r="143" spans="1:63" s="4" customFormat="1" ht="15" thickBot="1" x14ac:dyDescent="0.35">
      <c r="A143" s="60"/>
      <c r="B143" s="32"/>
      <c r="C143" s="33"/>
      <c r="D143" s="34"/>
      <c r="E143" s="33"/>
      <c r="F143" s="35"/>
      <c r="G143" s="36"/>
      <c r="H143" s="37"/>
      <c r="I143" s="38"/>
      <c r="J143" s="35"/>
      <c r="K143" s="39"/>
      <c r="L143" s="37"/>
      <c r="M143" s="123"/>
      <c r="N143" s="40"/>
      <c r="O143" s="41"/>
      <c r="P143" s="60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</row>
    <row r="144" spans="1:63" s="92" customFormat="1" ht="13.2" x14ac:dyDescent="0.25">
      <c r="B144" s="108" t="s">
        <v>57</v>
      </c>
      <c r="C144" s="90"/>
      <c r="D144" s="90"/>
      <c r="E144" s="90"/>
      <c r="F144" s="109"/>
      <c r="G144" s="110"/>
      <c r="H144" s="152">
        <f>SUM(H135:H136,H127,H128:H131)</f>
        <v>126235.65289000001</v>
      </c>
      <c r="I144" s="111"/>
      <c r="J144" s="112"/>
      <c r="K144" s="112"/>
      <c r="L144" s="155">
        <f>SUM(L135:L136,L127,L128:L131)</f>
        <v>120386.01339199999</v>
      </c>
      <c r="M144" s="156"/>
      <c r="N144" s="157">
        <f>L144-H144</f>
        <v>-5849.6394980000186</v>
      </c>
      <c r="O144" s="98">
        <f>IF((H144)=0,"",(N144/H144))</f>
        <v>-4.633904419298495E-2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x14ac:dyDescent="0.25">
      <c r="B145" s="113" t="s">
        <v>53</v>
      </c>
      <c r="C145" s="90"/>
      <c r="D145" s="90"/>
      <c r="E145" s="90"/>
      <c r="F145" s="114">
        <v>0.13</v>
      </c>
      <c r="G145" s="110"/>
      <c r="H145" s="153">
        <f>H144*F145</f>
        <v>16410.634875700001</v>
      </c>
      <c r="I145" s="115"/>
      <c r="J145" s="116">
        <v>0.13</v>
      </c>
      <c r="K145" s="117"/>
      <c r="L145" s="158">
        <f>L144*J145</f>
        <v>15650.181740959999</v>
      </c>
      <c r="M145" s="159"/>
      <c r="N145" s="160">
        <f>L145-H145</f>
        <v>-760.4531347400025</v>
      </c>
      <c r="O145" s="104">
        <f>IF((H145)=0,"",(N145/H145))</f>
        <v>-4.633904419298495E-2</v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92" customFormat="1" ht="13.2" x14ac:dyDescent="0.25">
      <c r="B146" s="118" t="s">
        <v>54</v>
      </c>
      <c r="C146" s="90"/>
      <c r="D146" s="90"/>
      <c r="E146" s="90"/>
      <c r="F146" s="119"/>
      <c r="G146" s="120"/>
      <c r="H146" s="153">
        <f>H144+H145</f>
        <v>142646.28776570002</v>
      </c>
      <c r="I146" s="115"/>
      <c r="J146" s="115"/>
      <c r="K146" s="115"/>
      <c r="L146" s="158">
        <f>L144+L145</f>
        <v>136036.19513295998</v>
      </c>
      <c r="M146" s="159"/>
      <c r="N146" s="160">
        <f>L146-H146</f>
        <v>-6610.0926327400375</v>
      </c>
      <c r="O146" s="104">
        <f>IF((H146)=0,"",(N146/H146))</f>
        <v>-4.6339044192985061E-2</v>
      </c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</row>
    <row r="147" spans="1:63" s="92" customFormat="1" ht="13.2" customHeight="1" x14ac:dyDescent="0.25">
      <c r="B147" s="174" t="s">
        <v>55</v>
      </c>
      <c r="C147" s="174"/>
      <c r="D147" s="174"/>
      <c r="E147" s="90"/>
      <c r="F147" s="119"/>
      <c r="G147" s="120"/>
      <c r="H147" s="154">
        <v>0</v>
      </c>
      <c r="I147" s="115"/>
      <c r="J147" s="115"/>
      <c r="K147" s="115"/>
      <c r="L147" s="161">
        <v>0</v>
      </c>
      <c r="M147" s="159"/>
      <c r="N147" s="162">
        <f>L147-H147</f>
        <v>0</v>
      </c>
      <c r="O147" s="107" t="str">
        <f>IF((H147)=0,"",(N147/H147))</f>
        <v/>
      </c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</row>
    <row r="148" spans="1:63" s="4" customFormat="1" ht="15" thickBot="1" x14ac:dyDescent="0.35">
      <c r="A148" s="60"/>
      <c r="B148" s="173" t="s">
        <v>58</v>
      </c>
      <c r="C148" s="173"/>
      <c r="D148" s="173"/>
      <c r="E148" s="42"/>
      <c r="F148" s="43"/>
      <c r="G148" s="44"/>
      <c r="H148" s="45">
        <f>SUM(H146:H147)</f>
        <v>142646.28776570002</v>
      </c>
      <c r="I148" s="46"/>
      <c r="J148" s="46"/>
      <c r="K148" s="46"/>
      <c r="L148" s="47">
        <f>SUM(L146:L147)</f>
        <v>136036.19513295998</v>
      </c>
      <c r="M148" s="48"/>
      <c r="N148" s="49">
        <f>L148-H148</f>
        <v>-6610.0926327400375</v>
      </c>
      <c r="O148" s="50">
        <f>IF((H148)=0,"",(N148/H148))</f>
        <v>-4.6339044192985061E-2</v>
      </c>
      <c r="P148" s="60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</row>
    <row r="149" spans="1:63" s="4" customFormat="1" ht="15" thickBot="1" x14ac:dyDescent="0.35">
      <c r="A149" s="60"/>
      <c r="B149" s="32"/>
      <c r="C149" s="33"/>
      <c r="D149" s="34"/>
      <c r="E149" s="33"/>
      <c r="F149" s="35"/>
      <c r="G149" s="36"/>
      <c r="H149" s="122"/>
      <c r="I149" s="123"/>
      <c r="J149" s="35"/>
      <c r="K149" s="39"/>
      <c r="L149" s="37"/>
      <c r="M149" s="123"/>
      <c r="N149" s="40"/>
      <c r="O149" s="41"/>
      <c r="P149" s="60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</row>
    <row r="150" spans="1:63" x14ac:dyDescent="0.3">
      <c r="L150" s="88"/>
    </row>
    <row r="151" spans="1:63" x14ac:dyDescent="0.3">
      <c r="B151" s="65" t="s">
        <v>59</v>
      </c>
      <c r="F151" s="51">
        <v>3.7699999999999997E-2</v>
      </c>
      <c r="J151" s="51">
        <f>+Residential!$J$74</f>
        <v>3.7600000000000001E-2</v>
      </c>
    </row>
    <row r="153" spans="1:63" x14ac:dyDescent="0.3">
      <c r="L153" s="56"/>
      <c r="M153" s="56"/>
      <c r="N153" s="56"/>
      <c r="O153" s="56"/>
      <c r="P153" s="56"/>
    </row>
    <row r="154" spans="1:63" ht="16.2" x14ac:dyDescent="0.3">
      <c r="A154" s="121" t="s">
        <v>60</v>
      </c>
    </row>
    <row r="156" spans="1:63" x14ac:dyDescent="0.3">
      <c r="A156" s="60" t="s">
        <v>61</v>
      </c>
    </row>
    <row r="157" spans="1:63" x14ac:dyDescent="0.3">
      <c r="A157" s="60" t="s">
        <v>62</v>
      </c>
    </row>
    <row r="158" spans="1:63" ht="11.4" customHeight="1" x14ac:dyDescent="0.3"/>
    <row r="159" spans="1:63" ht="15.6" customHeight="1" x14ac:dyDescent="0.3">
      <c r="B159" s="60" t="s">
        <v>63</v>
      </c>
    </row>
    <row r="160" spans="1:63" ht="15.6" customHeight="1" x14ac:dyDescent="0.3"/>
    <row r="161" spans="2:29" ht="15.6" customHeight="1" x14ac:dyDescent="0.3"/>
    <row r="162" spans="2:29" ht="15.6" customHeight="1" x14ac:dyDescent="0.3"/>
    <row r="163" spans="2:29" ht="18.75" customHeight="1" x14ac:dyDescent="0.3">
      <c r="B163" s="175" t="s">
        <v>6</v>
      </c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56"/>
    </row>
    <row r="164" spans="2:29" ht="18.75" customHeight="1" x14ac:dyDescent="0.3">
      <c r="B164" s="175" t="s">
        <v>7</v>
      </c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56"/>
    </row>
    <row r="165" spans="2:29" ht="7.5" customHeight="1" x14ac:dyDescent="0.3">
      <c r="L165" s="56"/>
      <c r="M165" s="56"/>
      <c r="N165" s="56"/>
      <c r="O165" s="56"/>
      <c r="P165" s="56"/>
    </row>
    <row r="166" spans="2:29" ht="7.5" customHeight="1" x14ac:dyDescent="0.3">
      <c r="L166" s="56"/>
      <c r="M166" s="56"/>
      <c r="N166" s="56"/>
      <c r="O166" s="56"/>
      <c r="P166" s="56"/>
    </row>
    <row r="167" spans="2:29" ht="15.6" x14ac:dyDescent="0.3">
      <c r="B167" s="61" t="s">
        <v>8</v>
      </c>
      <c r="D167" s="185" t="s">
        <v>70</v>
      </c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</row>
    <row r="168" spans="2:29" ht="7.5" customHeight="1" x14ac:dyDescent="0.3">
      <c r="B168" s="62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</row>
    <row r="169" spans="2:29" ht="15.6" x14ac:dyDescent="0.3">
      <c r="B169" s="61" t="s">
        <v>9</v>
      </c>
      <c r="D169" s="5" t="s">
        <v>64</v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</row>
    <row r="170" spans="2:29" ht="15.6" x14ac:dyDescent="0.3">
      <c r="B170" s="62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</row>
    <row r="171" spans="2:29" x14ac:dyDescent="0.3">
      <c r="B171" s="64"/>
      <c r="D171" s="65" t="s">
        <v>11</v>
      </c>
      <c r="E171" s="65"/>
      <c r="F171" s="6">
        <v>4000</v>
      </c>
      <c r="G171" s="65" t="s">
        <v>65</v>
      </c>
    </row>
    <row r="172" spans="2:29" x14ac:dyDescent="0.3">
      <c r="B172" s="64"/>
      <c r="F172" s="6">
        <v>1600000</v>
      </c>
      <c r="G172" s="65" t="s">
        <v>12</v>
      </c>
    </row>
    <row r="173" spans="2:29" x14ac:dyDescent="0.3">
      <c r="B173" s="64"/>
      <c r="D173" s="66"/>
      <c r="E173" s="66"/>
      <c r="F173" s="176" t="s">
        <v>13</v>
      </c>
      <c r="G173" s="177"/>
      <c r="H173" s="178"/>
      <c r="J173" s="176" t="s">
        <v>14</v>
      </c>
      <c r="K173" s="177"/>
      <c r="L173" s="178"/>
      <c r="N173" s="176" t="s">
        <v>15</v>
      </c>
      <c r="O173" s="178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</row>
    <row r="174" spans="2:29" x14ac:dyDescent="0.3">
      <c r="B174" s="64"/>
      <c r="D174" s="179" t="s">
        <v>16</v>
      </c>
      <c r="E174" s="67"/>
      <c r="F174" s="68" t="s">
        <v>17</v>
      </c>
      <c r="G174" s="68" t="s">
        <v>18</v>
      </c>
      <c r="H174" s="69" t="s">
        <v>19</v>
      </c>
      <c r="J174" s="68" t="s">
        <v>17</v>
      </c>
      <c r="K174" s="70" t="s">
        <v>18</v>
      </c>
      <c r="L174" s="69" t="s">
        <v>19</v>
      </c>
      <c r="N174" s="181" t="s">
        <v>20</v>
      </c>
      <c r="O174" s="183" t="s">
        <v>21</v>
      </c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</row>
    <row r="175" spans="2:29" x14ac:dyDescent="0.3">
      <c r="B175" s="64"/>
      <c r="D175" s="180"/>
      <c r="E175" s="67"/>
      <c r="F175" s="71" t="s">
        <v>22</v>
      </c>
      <c r="G175" s="71"/>
      <c r="H175" s="72" t="s">
        <v>22</v>
      </c>
      <c r="J175" s="71" t="s">
        <v>22</v>
      </c>
      <c r="K175" s="72"/>
      <c r="L175" s="72" t="s">
        <v>22</v>
      </c>
      <c r="N175" s="182"/>
      <c r="O175" s="184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</row>
    <row r="176" spans="2:29" x14ac:dyDescent="0.3">
      <c r="B176" s="73" t="s">
        <v>23</v>
      </c>
      <c r="C176" s="73"/>
      <c r="D176" s="7" t="s">
        <v>24</v>
      </c>
      <c r="E176" s="73"/>
      <c r="F176" s="129">
        <v>3399.83</v>
      </c>
      <c r="G176" s="163">
        <v>1</v>
      </c>
      <c r="H176" s="75">
        <f t="shared" ref="H176:H191" si="18">G176*F176</f>
        <v>3399.83</v>
      </c>
      <c r="I176" s="76"/>
      <c r="J176" s="129">
        <v>4482.03</v>
      </c>
      <c r="K176" s="77">
        <v>1</v>
      </c>
      <c r="L176" s="75">
        <f t="shared" ref="L176:L191" si="19">K176*J176</f>
        <v>4482.03</v>
      </c>
      <c r="M176" s="76"/>
      <c r="N176" s="78">
        <f t="shared" ref="N176:N212" si="20">L176-H176</f>
        <v>1082.1999999999998</v>
      </c>
      <c r="O176" s="79">
        <f t="shared" ref="O176:O198" si="21">IF((H176)=0,"",(N176/H176))</f>
        <v>0.3183100331487162</v>
      </c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</row>
    <row r="177" spans="1:63" x14ac:dyDescent="0.3">
      <c r="B177" s="73" t="s">
        <v>25</v>
      </c>
      <c r="C177" s="73"/>
      <c r="D177" s="7" t="s">
        <v>24</v>
      </c>
      <c r="E177" s="73"/>
      <c r="F177" s="133"/>
      <c r="G177" s="163">
        <v>1</v>
      </c>
      <c r="H177" s="136">
        <f t="shared" si="18"/>
        <v>0</v>
      </c>
      <c r="I177" s="76"/>
      <c r="J177" s="130"/>
      <c r="K177" s="77">
        <v>1</v>
      </c>
      <c r="L177" s="136">
        <f t="shared" si="19"/>
        <v>0</v>
      </c>
      <c r="M177" s="76"/>
      <c r="N177" s="137">
        <f t="shared" si="20"/>
        <v>0</v>
      </c>
      <c r="O177" s="79" t="str">
        <f t="shared" si="21"/>
        <v/>
      </c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</row>
    <row r="178" spans="1:63" x14ac:dyDescent="0.3">
      <c r="B178" s="9"/>
      <c r="C178" s="73"/>
      <c r="D178" s="7"/>
      <c r="E178" s="73"/>
      <c r="F178" s="134"/>
      <c r="G178" s="163">
        <v>1</v>
      </c>
      <c r="H178" s="136">
        <f t="shared" si="18"/>
        <v>0</v>
      </c>
      <c r="I178" s="76"/>
      <c r="J178" s="131"/>
      <c r="K178" s="77">
        <v>1</v>
      </c>
      <c r="L178" s="136">
        <f t="shared" si="19"/>
        <v>0</v>
      </c>
      <c r="M178" s="76"/>
      <c r="N178" s="137">
        <f t="shared" si="20"/>
        <v>0</v>
      </c>
      <c r="O178" s="79" t="str">
        <f t="shared" si="21"/>
        <v/>
      </c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</row>
    <row r="179" spans="1:63" x14ac:dyDescent="0.3">
      <c r="B179" s="9"/>
      <c r="C179" s="73"/>
      <c r="D179" s="7"/>
      <c r="E179" s="73"/>
      <c r="F179" s="134"/>
      <c r="G179" s="163">
        <v>1</v>
      </c>
      <c r="H179" s="136">
        <f t="shared" si="18"/>
        <v>0</v>
      </c>
      <c r="I179" s="76"/>
      <c r="J179" s="131"/>
      <c r="K179" s="77">
        <v>1</v>
      </c>
      <c r="L179" s="136">
        <f t="shared" si="19"/>
        <v>0</v>
      </c>
      <c r="M179" s="76"/>
      <c r="N179" s="137">
        <f t="shared" si="20"/>
        <v>0</v>
      </c>
      <c r="O179" s="79" t="str">
        <f t="shared" si="21"/>
        <v/>
      </c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</row>
    <row r="180" spans="1:63" x14ac:dyDescent="0.3">
      <c r="B180" s="10"/>
      <c r="C180" s="73"/>
      <c r="D180" s="7"/>
      <c r="E180" s="73"/>
      <c r="F180" s="134"/>
      <c r="G180" s="163">
        <v>1</v>
      </c>
      <c r="H180" s="136">
        <f t="shared" si="18"/>
        <v>0</v>
      </c>
      <c r="I180" s="76"/>
      <c r="J180" s="131"/>
      <c r="K180" s="77">
        <v>1</v>
      </c>
      <c r="L180" s="136">
        <f t="shared" si="19"/>
        <v>0</v>
      </c>
      <c r="M180" s="76"/>
      <c r="N180" s="137">
        <f t="shared" si="20"/>
        <v>0</v>
      </c>
      <c r="O180" s="79" t="str">
        <f t="shared" si="21"/>
        <v/>
      </c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</row>
    <row r="181" spans="1:63" x14ac:dyDescent="0.3">
      <c r="B181" s="10"/>
      <c r="C181" s="73"/>
      <c r="D181" s="7"/>
      <c r="E181" s="73"/>
      <c r="F181" s="134"/>
      <c r="G181" s="163">
        <v>1</v>
      </c>
      <c r="H181" s="136">
        <f t="shared" si="18"/>
        <v>0</v>
      </c>
      <c r="I181" s="76"/>
      <c r="J181" s="131"/>
      <c r="K181" s="77">
        <v>1</v>
      </c>
      <c r="L181" s="136">
        <f t="shared" si="19"/>
        <v>0</v>
      </c>
      <c r="M181" s="76"/>
      <c r="N181" s="137">
        <f t="shared" si="20"/>
        <v>0</v>
      </c>
      <c r="O181" s="79" t="str">
        <f t="shared" si="21"/>
        <v/>
      </c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</row>
    <row r="182" spans="1:63" x14ac:dyDescent="0.3">
      <c r="B182" s="73" t="s">
        <v>26</v>
      </c>
      <c r="C182" s="73"/>
      <c r="D182" s="7" t="s">
        <v>68</v>
      </c>
      <c r="E182" s="73"/>
      <c r="F182" s="135">
        <v>1.8569</v>
      </c>
      <c r="G182" s="163">
        <f>$F171</f>
        <v>4000</v>
      </c>
      <c r="H182" s="136">
        <f t="shared" si="18"/>
        <v>7427.6</v>
      </c>
      <c r="I182" s="76"/>
      <c r="J182" s="132">
        <v>2.448</v>
      </c>
      <c r="K182" s="163">
        <f>$F171</f>
        <v>4000</v>
      </c>
      <c r="L182" s="136">
        <f t="shared" si="19"/>
        <v>9792</v>
      </c>
      <c r="M182" s="76"/>
      <c r="N182" s="137">
        <f t="shared" si="20"/>
        <v>2364.3999999999996</v>
      </c>
      <c r="O182" s="79">
        <f t="shared" si="21"/>
        <v>0.31832624266250198</v>
      </c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</row>
    <row r="183" spans="1:63" x14ac:dyDescent="0.3">
      <c r="B183" s="73" t="s">
        <v>28</v>
      </c>
      <c r="C183" s="73"/>
      <c r="D183" s="7" t="s">
        <v>24</v>
      </c>
      <c r="E183" s="73"/>
      <c r="F183" s="135"/>
      <c r="G183" s="163">
        <v>1</v>
      </c>
      <c r="H183" s="136">
        <f t="shared" si="18"/>
        <v>0</v>
      </c>
      <c r="I183" s="76"/>
      <c r="J183" s="132"/>
      <c r="K183" s="163">
        <v>1</v>
      </c>
      <c r="L183" s="136">
        <f t="shared" si="19"/>
        <v>0</v>
      </c>
      <c r="M183" s="76"/>
      <c r="N183" s="137">
        <f t="shared" si="20"/>
        <v>0</v>
      </c>
      <c r="O183" s="79" t="str">
        <f t="shared" si="21"/>
        <v/>
      </c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</row>
    <row r="184" spans="1:63" x14ac:dyDescent="0.3">
      <c r="B184" s="73" t="s">
        <v>29</v>
      </c>
      <c r="C184" s="73"/>
      <c r="D184" s="7" t="s">
        <v>68</v>
      </c>
      <c r="E184" s="73"/>
      <c r="F184" s="135">
        <v>-1.4E-3</v>
      </c>
      <c r="G184" s="163">
        <f>$F171</f>
        <v>4000</v>
      </c>
      <c r="H184" s="136">
        <f t="shared" si="18"/>
        <v>-5.6</v>
      </c>
      <c r="I184" s="76"/>
      <c r="J184" s="132">
        <v>4.0000000000000002E-4</v>
      </c>
      <c r="K184" s="163">
        <f>$F171</f>
        <v>4000</v>
      </c>
      <c r="L184" s="136">
        <f t="shared" si="19"/>
        <v>1.6</v>
      </c>
      <c r="M184" s="76"/>
      <c r="N184" s="137">
        <f t="shared" si="20"/>
        <v>7.1999999999999993</v>
      </c>
      <c r="O184" s="79">
        <f t="shared" si="21"/>
        <v>-1.2857142857142856</v>
      </c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</row>
    <row r="185" spans="1:63" x14ac:dyDescent="0.3">
      <c r="B185" s="11" t="s">
        <v>30</v>
      </c>
      <c r="C185" s="73"/>
      <c r="D185" s="7" t="s">
        <v>68</v>
      </c>
      <c r="E185" s="73"/>
      <c r="F185" s="135">
        <v>0.22309999999999999</v>
      </c>
      <c r="G185" s="163">
        <f>$F171</f>
        <v>4000</v>
      </c>
      <c r="H185" s="136">
        <f t="shared" si="18"/>
        <v>892.4</v>
      </c>
      <c r="I185" s="76"/>
      <c r="J185" s="132"/>
      <c r="K185" s="163">
        <f>$F171</f>
        <v>4000</v>
      </c>
      <c r="L185" s="136">
        <f t="shared" si="19"/>
        <v>0</v>
      </c>
      <c r="M185" s="76"/>
      <c r="N185" s="137">
        <f t="shared" si="20"/>
        <v>-892.4</v>
      </c>
      <c r="O185" s="79">
        <f t="shared" si="21"/>
        <v>-1</v>
      </c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</row>
    <row r="186" spans="1:63" x14ac:dyDescent="0.3">
      <c r="B186" s="11" t="s">
        <v>31</v>
      </c>
      <c r="C186" s="73"/>
      <c r="D186" s="7" t="s">
        <v>68</v>
      </c>
      <c r="E186" s="73"/>
      <c r="F186" s="135">
        <v>-4.0500000000000001E-2</v>
      </c>
      <c r="G186" s="163">
        <f>$F171</f>
        <v>4000</v>
      </c>
      <c r="H186" s="136">
        <f t="shared" si="18"/>
        <v>-162</v>
      </c>
      <c r="I186" s="76"/>
      <c r="J186" s="132"/>
      <c r="K186" s="163">
        <f>$F171</f>
        <v>4000</v>
      </c>
      <c r="L186" s="136">
        <f t="shared" si="19"/>
        <v>0</v>
      </c>
      <c r="M186" s="76"/>
      <c r="N186" s="137">
        <f t="shared" si="20"/>
        <v>162</v>
      </c>
      <c r="O186" s="79">
        <f t="shared" si="21"/>
        <v>-1</v>
      </c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</row>
    <row r="187" spans="1:63" x14ac:dyDescent="0.3">
      <c r="B187" s="11" t="s">
        <v>71</v>
      </c>
      <c r="C187" s="73"/>
      <c r="D187" s="7" t="s">
        <v>68</v>
      </c>
      <c r="E187" s="73"/>
      <c r="F187" s="135">
        <v>1.3157000000000001</v>
      </c>
      <c r="G187" s="163">
        <f>$F171</f>
        <v>4000</v>
      </c>
      <c r="H187" s="136">
        <f t="shared" si="18"/>
        <v>5262.8</v>
      </c>
      <c r="I187" s="76"/>
      <c r="J187" s="132">
        <v>-0.71440000000000003</v>
      </c>
      <c r="K187" s="163">
        <f>$F171</f>
        <v>4000</v>
      </c>
      <c r="L187" s="136">
        <f t="shared" si="19"/>
        <v>-2857.6000000000004</v>
      </c>
      <c r="M187" s="76"/>
      <c r="N187" s="137">
        <f t="shared" si="20"/>
        <v>-8120.4000000000005</v>
      </c>
      <c r="O187" s="79">
        <f t="shared" si="21"/>
        <v>-1.5429809227027438</v>
      </c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</row>
    <row r="188" spans="1:63" x14ac:dyDescent="0.3">
      <c r="B188" s="12" t="s">
        <v>33</v>
      </c>
      <c r="C188" s="73"/>
      <c r="D188" s="7" t="s">
        <v>68</v>
      </c>
      <c r="E188" s="73"/>
      <c r="F188" s="134"/>
      <c r="G188" s="163">
        <f>$F171</f>
        <v>4000</v>
      </c>
      <c r="H188" s="136">
        <f t="shared" si="18"/>
        <v>0</v>
      </c>
      <c r="I188" s="76"/>
      <c r="J188" s="132">
        <v>-5.6099999999999997E-2</v>
      </c>
      <c r="K188" s="163">
        <f>$F171</f>
        <v>4000</v>
      </c>
      <c r="L188" s="136">
        <f t="shared" si="19"/>
        <v>-224.39999999999998</v>
      </c>
      <c r="M188" s="76"/>
      <c r="N188" s="137">
        <f t="shared" si="20"/>
        <v>-224.39999999999998</v>
      </c>
      <c r="O188" s="79" t="str">
        <f t="shared" si="21"/>
        <v/>
      </c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</row>
    <row r="189" spans="1:63" x14ac:dyDescent="0.3">
      <c r="B189" s="12" t="s">
        <v>77</v>
      </c>
      <c r="C189" s="73"/>
      <c r="D189" s="7" t="s">
        <v>68</v>
      </c>
      <c r="E189" s="73"/>
      <c r="F189" s="134"/>
      <c r="G189" s="163">
        <f>$F171</f>
        <v>4000</v>
      </c>
      <c r="H189" s="136">
        <f t="shared" si="18"/>
        <v>0</v>
      </c>
      <c r="I189" s="76"/>
      <c r="J189" s="132">
        <v>8.3599999999999994E-2</v>
      </c>
      <c r="K189" s="163">
        <f>$F171</f>
        <v>4000</v>
      </c>
      <c r="L189" s="136">
        <f t="shared" si="19"/>
        <v>334.4</v>
      </c>
      <c r="M189" s="76"/>
      <c r="N189" s="137">
        <f t="shared" si="20"/>
        <v>334.4</v>
      </c>
      <c r="O189" s="79" t="str">
        <f t="shared" si="21"/>
        <v/>
      </c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</row>
    <row r="190" spans="1:63" x14ac:dyDescent="0.3">
      <c r="B190" s="12"/>
      <c r="C190" s="73"/>
      <c r="D190" s="7"/>
      <c r="E190" s="73"/>
      <c r="F190" s="131"/>
      <c r="G190" s="163">
        <f>$F171</f>
        <v>4000</v>
      </c>
      <c r="H190" s="136">
        <f t="shared" si="18"/>
        <v>0</v>
      </c>
      <c r="I190" s="76"/>
      <c r="J190" s="131"/>
      <c r="K190" s="163">
        <f>$F171</f>
        <v>4000</v>
      </c>
      <c r="L190" s="136">
        <f t="shared" si="19"/>
        <v>0</v>
      </c>
      <c r="M190" s="76"/>
      <c r="N190" s="137">
        <f t="shared" si="20"/>
        <v>0</v>
      </c>
      <c r="O190" s="79" t="str">
        <f t="shared" si="21"/>
        <v/>
      </c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</row>
    <row r="191" spans="1:63" x14ac:dyDescent="0.3">
      <c r="B191" s="12"/>
      <c r="C191" s="73"/>
      <c r="D191" s="7"/>
      <c r="E191" s="73"/>
      <c r="F191" s="131"/>
      <c r="G191" s="163">
        <f>$F171</f>
        <v>4000</v>
      </c>
      <c r="H191" s="136">
        <f t="shared" si="18"/>
        <v>0</v>
      </c>
      <c r="I191" s="76"/>
      <c r="J191" s="131"/>
      <c r="K191" s="163">
        <f>$F171</f>
        <v>4000</v>
      </c>
      <c r="L191" s="136">
        <f t="shared" si="19"/>
        <v>0</v>
      </c>
      <c r="M191" s="76"/>
      <c r="N191" s="137">
        <f t="shared" si="20"/>
        <v>0</v>
      </c>
      <c r="O191" s="79" t="str">
        <f t="shared" si="21"/>
        <v/>
      </c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</row>
    <row r="192" spans="1:63" s="4" customFormat="1" x14ac:dyDescent="0.3">
      <c r="A192" s="60"/>
      <c r="B192" s="19" t="s">
        <v>34</v>
      </c>
      <c r="C192" s="20"/>
      <c r="D192" s="20"/>
      <c r="E192" s="20"/>
      <c r="F192" s="21"/>
      <c r="G192" s="164"/>
      <c r="H192" s="23">
        <f>SUM(H176:H191)</f>
        <v>16815.03</v>
      </c>
      <c r="I192" s="13"/>
      <c r="J192" s="14"/>
      <c r="K192" s="166"/>
      <c r="L192" s="23">
        <f>SUM(L176:L191)</f>
        <v>11528.029999999999</v>
      </c>
      <c r="M192" s="13"/>
      <c r="N192" s="15">
        <f t="shared" si="20"/>
        <v>-5287</v>
      </c>
      <c r="O192" s="16">
        <f t="shared" si="21"/>
        <v>-0.314421086373322</v>
      </c>
      <c r="P192" s="60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</row>
    <row r="193" spans="1:63" x14ac:dyDescent="0.3">
      <c r="B193" s="17" t="s">
        <v>35</v>
      </c>
      <c r="C193" s="73"/>
      <c r="D193" s="7" t="s">
        <v>68</v>
      </c>
      <c r="E193" s="73"/>
      <c r="F193" s="135">
        <v>0.1113</v>
      </c>
      <c r="G193" s="163">
        <f>$F171</f>
        <v>4000</v>
      </c>
      <c r="H193" s="136">
        <f t="shared" ref="H193:H199" si="22">G193*F193</f>
        <v>445.2</v>
      </c>
      <c r="I193" s="76"/>
      <c r="J193" s="135">
        <v>-0.73450000000000004</v>
      </c>
      <c r="K193" s="163">
        <f>$F171</f>
        <v>4000</v>
      </c>
      <c r="L193" s="136">
        <f t="shared" ref="L193:L199" si="23">K193*J193</f>
        <v>-2938</v>
      </c>
      <c r="M193" s="76"/>
      <c r="N193" s="137">
        <f t="shared" si="20"/>
        <v>-3383.2</v>
      </c>
      <c r="O193" s="79">
        <f t="shared" si="21"/>
        <v>-7.5992812219227313</v>
      </c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</row>
    <row r="194" spans="1:63" x14ac:dyDescent="0.3">
      <c r="B194" s="17"/>
      <c r="C194" s="73"/>
      <c r="D194" s="7"/>
      <c r="E194" s="73"/>
      <c r="F194" s="8"/>
      <c r="G194" s="163">
        <f>$F171</f>
        <v>4000</v>
      </c>
      <c r="H194" s="136">
        <f t="shared" si="22"/>
        <v>0</v>
      </c>
      <c r="I194" s="82"/>
      <c r="J194" s="8"/>
      <c r="K194" s="163">
        <f>$F171</f>
        <v>4000</v>
      </c>
      <c r="L194" s="136">
        <f t="shared" si="23"/>
        <v>0</v>
      </c>
      <c r="M194" s="83"/>
      <c r="N194" s="137">
        <f t="shared" si="20"/>
        <v>0</v>
      </c>
      <c r="O194" s="79" t="str">
        <f t="shared" si="21"/>
        <v/>
      </c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</row>
    <row r="195" spans="1:63" x14ac:dyDescent="0.3">
      <c r="B195" s="17"/>
      <c r="C195" s="73"/>
      <c r="D195" s="7"/>
      <c r="E195" s="73"/>
      <c r="F195" s="8"/>
      <c r="G195" s="163">
        <f>$F171</f>
        <v>4000</v>
      </c>
      <c r="H195" s="136">
        <f t="shared" si="22"/>
        <v>0</v>
      </c>
      <c r="I195" s="82"/>
      <c r="J195" s="8"/>
      <c r="K195" s="163">
        <f>$F171</f>
        <v>4000</v>
      </c>
      <c r="L195" s="136">
        <f t="shared" si="23"/>
        <v>0</v>
      </c>
      <c r="M195" s="83"/>
      <c r="N195" s="137">
        <f t="shared" si="20"/>
        <v>0</v>
      </c>
      <c r="O195" s="79" t="str">
        <f t="shared" si="21"/>
        <v/>
      </c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</row>
    <row r="196" spans="1:63" x14ac:dyDescent="0.3">
      <c r="B196" s="17"/>
      <c r="C196" s="73"/>
      <c r="D196" s="7"/>
      <c r="E196" s="73"/>
      <c r="F196" s="8"/>
      <c r="G196" s="163">
        <f>$F171</f>
        <v>4000</v>
      </c>
      <c r="H196" s="136">
        <f t="shared" si="22"/>
        <v>0</v>
      </c>
      <c r="I196" s="82"/>
      <c r="J196" s="8"/>
      <c r="K196" s="163">
        <f>$F171</f>
        <v>4000</v>
      </c>
      <c r="L196" s="136">
        <f t="shared" si="23"/>
        <v>0</v>
      </c>
      <c r="M196" s="83"/>
      <c r="N196" s="137">
        <f t="shared" si="20"/>
        <v>0</v>
      </c>
      <c r="O196" s="79" t="str">
        <f t="shared" si="21"/>
        <v/>
      </c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</row>
    <row r="197" spans="1:63" x14ac:dyDescent="0.3">
      <c r="B197" s="80" t="s">
        <v>36</v>
      </c>
      <c r="C197" s="73"/>
      <c r="D197" s="7" t="s">
        <v>68</v>
      </c>
      <c r="E197" s="73"/>
      <c r="F197" s="135">
        <v>6.3799999999999996E-2</v>
      </c>
      <c r="G197" s="163">
        <f>$F171</f>
        <v>4000</v>
      </c>
      <c r="H197" s="136">
        <f t="shared" si="22"/>
        <v>255.2</v>
      </c>
      <c r="I197" s="76"/>
      <c r="J197" s="135">
        <v>0.1313</v>
      </c>
      <c r="K197" s="163">
        <f>$F171</f>
        <v>4000</v>
      </c>
      <c r="L197" s="136">
        <f t="shared" si="23"/>
        <v>525.20000000000005</v>
      </c>
      <c r="M197" s="76"/>
      <c r="N197" s="137">
        <f t="shared" si="20"/>
        <v>270.00000000000006</v>
      </c>
      <c r="O197" s="79">
        <f t="shared" si="21"/>
        <v>1.0579937304075238</v>
      </c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</row>
    <row r="198" spans="1:63" x14ac:dyDescent="0.3">
      <c r="B198" s="80" t="s">
        <v>37</v>
      </c>
      <c r="C198" s="73"/>
      <c r="D198" s="7" t="s">
        <v>27</v>
      </c>
      <c r="E198" s="73"/>
      <c r="F198" s="138"/>
      <c r="G198" s="165">
        <f>$F172*(1+$F227)-$F172</f>
        <v>60320</v>
      </c>
      <c r="H198" s="136">
        <f t="shared" si="22"/>
        <v>0</v>
      </c>
      <c r="I198" s="76"/>
      <c r="J198" s="138"/>
      <c r="K198" s="165">
        <f>$F172*(1+$J227)-$F172</f>
        <v>60160.000000000233</v>
      </c>
      <c r="L198" s="136">
        <f t="shared" si="23"/>
        <v>0</v>
      </c>
      <c r="M198" s="76"/>
      <c r="N198" s="137">
        <f t="shared" si="20"/>
        <v>0</v>
      </c>
      <c r="O198" s="79" t="str">
        <f t="shared" si="21"/>
        <v/>
      </c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</row>
    <row r="199" spans="1:63" x14ac:dyDescent="0.3">
      <c r="B199" s="80" t="s">
        <v>38</v>
      </c>
      <c r="C199" s="73"/>
      <c r="D199" s="7" t="s">
        <v>24</v>
      </c>
      <c r="E199" s="73"/>
      <c r="F199" s="138">
        <v>0</v>
      </c>
      <c r="G199" s="163">
        <v>1</v>
      </c>
      <c r="H199" s="136">
        <f t="shared" si="22"/>
        <v>0</v>
      </c>
      <c r="I199" s="76"/>
      <c r="J199" s="138"/>
      <c r="K199" s="167">
        <v>1</v>
      </c>
      <c r="L199" s="136">
        <f t="shared" si="23"/>
        <v>0</v>
      </c>
      <c r="M199" s="76"/>
      <c r="N199" s="137">
        <f t="shared" si="20"/>
        <v>0</v>
      </c>
      <c r="O199" s="79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</row>
    <row r="200" spans="1:63" s="4" customFormat="1" x14ac:dyDescent="0.3">
      <c r="A200" s="60"/>
      <c r="B200" s="19" t="s">
        <v>39</v>
      </c>
      <c r="C200" s="20"/>
      <c r="D200" s="20"/>
      <c r="E200" s="20"/>
      <c r="F200" s="21"/>
      <c r="G200" s="164"/>
      <c r="H200" s="23">
        <f>SUM(H193:H199)+H192</f>
        <v>17515.43</v>
      </c>
      <c r="I200" s="13"/>
      <c r="J200" s="22"/>
      <c r="K200" s="166"/>
      <c r="L200" s="23">
        <f>SUM(L193:L199)+L192</f>
        <v>9115.23</v>
      </c>
      <c r="M200" s="13"/>
      <c r="N200" s="15">
        <f t="shared" si="20"/>
        <v>-8400.2000000000007</v>
      </c>
      <c r="O200" s="16">
        <f t="shared" ref="O200:O212" si="24">IF((H200)=0,"",(N200/H200))</f>
        <v>-0.47958856847933512</v>
      </c>
      <c r="P200" s="60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</row>
    <row r="201" spans="1:63" x14ac:dyDescent="0.3">
      <c r="B201" s="76" t="s">
        <v>40</v>
      </c>
      <c r="C201" s="76"/>
      <c r="D201" s="25" t="s">
        <v>68</v>
      </c>
      <c r="E201" s="76"/>
      <c r="F201" s="135">
        <v>2.8561000000000001</v>
      </c>
      <c r="G201" s="165">
        <f>F171*(1+F227)</f>
        <v>4150.8</v>
      </c>
      <c r="H201" s="136">
        <f>G201*F201</f>
        <v>11855.099880000002</v>
      </c>
      <c r="I201" s="76"/>
      <c r="J201" s="135">
        <v>2.6861000000000002</v>
      </c>
      <c r="K201" s="165">
        <f>F171*(1+J227)</f>
        <v>4150.4000000000005</v>
      </c>
      <c r="L201" s="136">
        <f>K201*J201</f>
        <v>11148.389440000003</v>
      </c>
      <c r="M201" s="76"/>
      <c r="N201" s="136">
        <f t="shared" si="20"/>
        <v>-706.71043999999893</v>
      </c>
      <c r="O201" s="79">
        <f t="shared" si="24"/>
        <v>-5.9612356467130735E-2</v>
      </c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</row>
    <row r="202" spans="1:63" x14ac:dyDescent="0.3">
      <c r="B202" s="85" t="s">
        <v>41</v>
      </c>
      <c r="C202" s="76"/>
      <c r="D202" s="25" t="s">
        <v>68</v>
      </c>
      <c r="E202" s="76"/>
      <c r="F202" s="135">
        <v>1.9374</v>
      </c>
      <c r="G202" s="165">
        <f>G201</f>
        <v>4150.8</v>
      </c>
      <c r="H202" s="136">
        <f>G202*F202</f>
        <v>8041.7599200000004</v>
      </c>
      <c r="I202" s="76"/>
      <c r="J202" s="135">
        <v>1.36</v>
      </c>
      <c r="K202" s="165">
        <f>K201</f>
        <v>4150.4000000000005</v>
      </c>
      <c r="L202" s="136">
        <f>K202*J202</f>
        <v>5644.5440000000008</v>
      </c>
      <c r="M202" s="76"/>
      <c r="N202" s="136">
        <f t="shared" si="20"/>
        <v>-2397.2159199999996</v>
      </c>
      <c r="O202" s="79">
        <f t="shared" si="24"/>
        <v>-0.29809593221479802</v>
      </c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</row>
    <row r="203" spans="1:63" s="4" customFormat="1" x14ac:dyDescent="0.3">
      <c r="A203" s="60"/>
      <c r="B203" s="19" t="s">
        <v>42</v>
      </c>
      <c r="C203" s="20"/>
      <c r="D203" s="20"/>
      <c r="E203" s="20"/>
      <c r="F203" s="21"/>
      <c r="G203" s="164"/>
      <c r="H203" s="23">
        <f>SUM(H200:H202)</f>
        <v>37412.289799999999</v>
      </c>
      <c r="I203" s="13"/>
      <c r="J203" s="26"/>
      <c r="K203" s="164"/>
      <c r="L203" s="23">
        <f>SUM(L200:L202)</f>
        <v>25908.163440000004</v>
      </c>
      <c r="M203" s="13"/>
      <c r="N203" s="15">
        <f t="shared" si="20"/>
        <v>-11504.126359999995</v>
      </c>
      <c r="O203" s="16">
        <f t="shared" si="24"/>
        <v>-0.3074959170235016</v>
      </c>
      <c r="P203" s="60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</row>
    <row r="204" spans="1:63" x14ac:dyDescent="0.3">
      <c r="B204" s="86" t="s">
        <v>43</v>
      </c>
      <c r="C204" s="73"/>
      <c r="D204" s="7" t="s">
        <v>27</v>
      </c>
      <c r="E204" s="73"/>
      <c r="F204" s="135">
        <v>4.4000000000000003E-3</v>
      </c>
      <c r="G204" s="165">
        <f>F172*(1+F227)</f>
        <v>1660320</v>
      </c>
      <c r="H204" s="139">
        <f t="shared" ref="H204:H212" si="25">G204*F204</f>
        <v>7305.4080000000004</v>
      </c>
      <c r="I204" s="76"/>
      <c r="J204" s="135">
        <f>+F204</f>
        <v>4.4000000000000003E-3</v>
      </c>
      <c r="K204" s="165">
        <f>F172*(1+J227)</f>
        <v>1660160.0000000002</v>
      </c>
      <c r="L204" s="139">
        <f t="shared" ref="L204:L212" si="26">K204*J204</f>
        <v>7304.7040000000015</v>
      </c>
      <c r="M204" s="76"/>
      <c r="N204" s="137">
        <f t="shared" si="20"/>
        <v>-0.70399999999881402</v>
      </c>
      <c r="O204" s="87">
        <f t="shared" si="24"/>
        <v>-9.6366965404097069E-5</v>
      </c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</row>
    <row r="205" spans="1:63" x14ac:dyDescent="0.3">
      <c r="B205" s="86" t="s">
        <v>44</v>
      </c>
      <c r="C205" s="73"/>
      <c r="D205" s="7" t="s">
        <v>27</v>
      </c>
      <c r="E205" s="73"/>
      <c r="F205" s="135">
        <v>1.1999999999999999E-3</v>
      </c>
      <c r="G205" s="165">
        <f>+G204</f>
        <v>1660320</v>
      </c>
      <c r="H205" s="139">
        <f t="shared" si="25"/>
        <v>1992.3839999999998</v>
      </c>
      <c r="I205" s="76"/>
      <c r="J205" s="135">
        <f>+F205</f>
        <v>1.1999999999999999E-3</v>
      </c>
      <c r="K205" s="165">
        <f>+K204</f>
        <v>1660160.0000000002</v>
      </c>
      <c r="L205" s="139">
        <f t="shared" si="26"/>
        <v>1992.192</v>
      </c>
      <c r="M205" s="76"/>
      <c r="N205" s="137">
        <f t="shared" si="20"/>
        <v>-0.1919999999997799</v>
      </c>
      <c r="O205" s="87">
        <f t="shared" si="24"/>
        <v>-9.6366965404148962E-5</v>
      </c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</row>
    <row r="206" spans="1:63" x14ac:dyDescent="0.3">
      <c r="B206" s="73" t="s">
        <v>45</v>
      </c>
      <c r="C206" s="73"/>
      <c r="D206" s="7" t="s">
        <v>24</v>
      </c>
      <c r="E206" s="73"/>
      <c r="F206" s="135">
        <v>0.25</v>
      </c>
      <c r="G206" s="81">
        <v>1</v>
      </c>
      <c r="H206" s="139">
        <f t="shared" si="25"/>
        <v>0.25</v>
      </c>
      <c r="I206" s="76"/>
      <c r="J206" s="135">
        <f>+F206</f>
        <v>0.25</v>
      </c>
      <c r="K206" s="77">
        <v>1</v>
      </c>
      <c r="L206" s="139">
        <f t="shared" si="26"/>
        <v>0.25</v>
      </c>
      <c r="M206" s="76"/>
      <c r="N206" s="137">
        <f t="shared" si="20"/>
        <v>0</v>
      </c>
      <c r="O206" s="87">
        <f t="shared" si="24"/>
        <v>0</v>
      </c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</row>
    <row r="207" spans="1:63" x14ac:dyDescent="0.3">
      <c r="B207" s="73" t="s">
        <v>46</v>
      </c>
      <c r="C207" s="73"/>
      <c r="D207" s="7" t="s">
        <v>27</v>
      </c>
      <c r="E207" s="73"/>
      <c r="F207" s="135">
        <v>7.0000000000000001E-3</v>
      </c>
      <c r="G207" s="84">
        <f>F172</f>
        <v>1600000</v>
      </c>
      <c r="H207" s="139">
        <f t="shared" si="25"/>
        <v>11200</v>
      </c>
      <c r="I207" s="76"/>
      <c r="J207" s="135">
        <f>+F207</f>
        <v>7.0000000000000001E-3</v>
      </c>
      <c r="K207" s="77">
        <f>F172</f>
        <v>1600000</v>
      </c>
      <c r="L207" s="139">
        <f t="shared" si="26"/>
        <v>11200</v>
      </c>
      <c r="M207" s="76"/>
      <c r="N207" s="137">
        <f t="shared" si="20"/>
        <v>0</v>
      </c>
      <c r="O207" s="87">
        <f t="shared" si="24"/>
        <v>0</v>
      </c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</row>
    <row r="208" spans="1:63" x14ac:dyDescent="0.3">
      <c r="B208" s="80" t="s">
        <v>47</v>
      </c>
      <c r="C208" s="73"/>
      <c r="D208" s="7" t="s">
        <v>27</v>
      </c>
      <c r="E208" s="73"/>
      <c r="F208" s="138">
        <v>6.7000000000000004E-2</v>
      </c>
      <c r="G208" s="27">
        <f>0.64*$F172*(1+F227)</f>
        <v>1062604.8</v>
      </c>
      <c r="H208" s="139">
        <f t="shared" si="25"/>
        <v>71194.521600000007</v>
      </c>
      <c r="I208" s="76"/>
      <c r="J208" s="138">
        <v>6.7000000000000004E-2</v>
      </c>
      <c r="K208" s="27">
        <f>0.64*$F172*(1+J227)</f>
        <v>1062502.4000000001</v>
      </c>
      <c r="L208" s="139">
        <f t="shared" si="26"/>
        <v>71187.660800000012</v>
      </c>
      <c r="M208" s="76"/>
      <c r="N208" s="137">
        <f t="shared" si="20"/>
        <v>-6.8607999999949243</v>
      </c>
      <c r="O208" s="87">
        <f t="shared" si="24"/>
        <v>-9.6366965404188115E-5</v>
      </c>
      <c r="Q208" s="126"/>
      <c r="R208" s="126"/>
      <c r="S208" s="127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</row>
    <row r="209" spans="1:63" x14ac:dyDescent="0.3">
      <c r="B209" s="80" t="s">
        <v>48</v>
      </c>
      <c r="C209" s="73"/>
      <c r="D209" s="7" t="s">
        <v>27</v>
      </c>
      <c r="E209" s="73"/>
      <c r="F209" s="138">
        <v>0.104</v>
      </c>
      <c r="G209" s="27">
        <f>0.18*$F172*(1+F227)</f>
        <v>298857.60000000003</v>
      </c>
      <c r="H209" s="139">
        <f t="shared" si="25"/>
        <v>31081.190400000003</v>
      </c>
      <c r="I209" s="76"/>
      <c r="J209" s="138">
        <v>0.104</v>
      </c>
      <c r="K209" s="27">
        <f>0.18*$F172*(1+J227)</f>
        <v>298828.80000000005</v>
      </c>
      <c r="L209" s="139">
        <f t="shared" si="26"/>
        <v>31078.195200000002</v>
      </c>
      <c r="M209" s="76"/>
      <c r="N209" s="137">
        <f t="shared" si="20"/>
        <v>-2.9952000000012049</v>
      </c>
      <c r="O209" s="87">
        <f t="shared" si="24"/>
        <v>-9.6366965404298175E-5</v>
      </c>
      <c r="Q209" s="126"/>
      <c r="R209" s="126"/>
      <c r="S209" s="127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</row>
    <row r="210" spans="1:63" x14ac:dyDescent="0.3">
      <c r="B210" s="64" t="s">
        <v>49</v>
      </c>
      <c r="C210" s="73"/>
      <c r="D210" s="7" t="s">
        <v>27</v>
      </c>
      <c r="E210" s="73"/>
      <c r="F210" s="138">
        <v>0.124</v>
      </c>
      <c r="G210" s="27">
        <f>0.18*$F172*(1+F227)</f>
        <v>298857.60000000003</v>
      </c>
      <c r="H210" s="139">
        <f t="shared" si="25"/>
        <v>37058.342400000001</v>
      </c>
      <c r="I210" s="76"/>
      <c r="J210" s="138">
        <v>0.124</v>
      </c>
      <c r="K210" s="27">
        <f>0.18*$F172*(1+J227)</f>
        <v>298828.80000000005</v>
      </c>
      <c r="L210" s="139">
        <f t="shared" si="26"/>
        <v>37054.771200000003</v>
      </c>
      <c r="M210" s="76"/>
      <c r="N210" s="137">
        <f t="shared" si="20"/>
        <v>-3.5711999999984982</v>
      </c>
      <c r="O210" s="87">
        <f t="shared" si="24"/>
        <v>-9.6366965404218893E-5</v>
      </c>
      <c r="Q210" s="126"/>
      <c r="R210" s="126"/>
      <c r="S210" s="127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</row>
    <row r="211" spans="1:63" s="92" customFormat="1" x14ac:dyDescent="0.25">
      <c r="B211" s="89" t="s">
        <v>50</v>
      </c>
      <c r="C211" s="90"/>
      <c r="D211" s="29" t="s">
        <v>27</v>
      </c>
      <c r="E211" s="90"/>
      <c r="F211" s="138">
        <v>7.4999999999999997E-2</v>
      </c>
      <c r="G211" s="30">
        <f>IF(AND($T$1=1, F172&gt;=750), 750, IF(AND($T$1=1, AND(F172&lt;750, F172&gt;=0)), F172, IF(AND($T$1=2, F172&gt;=750), 750, IF(AND($T$1=2, AND(F172&lt;750, F172&gt;=0)), F172))))*(1+F227)</f>
        <v>0</v>
      </c>
      <c r="H211" s="139">
        <f t="shared" si="25"/>
        <v>0</v>
      </c>
      <c r="I211" s="91"/>
      <c r="J211" s="138">
        <v>7.4999999999999997E-2</v>
      </c>
      <c r="K211" s="30">
        <f>IF(AND($T$1=1, J172&gt;=750), 750, IF(AND($T$1=1, AND(J172&lt;750, J172&gt;=0)), J172, IF(AND($T$1=2, J172&gt;=750), 750, IF(AND($T$1=2, AND(J172&lt;750, J172&gt;=0)), J172))))*(1+J227)</f>
        <v>0</v>
      </c>
      <c r="L211" s="139">
        <f t="shared" si="26"/>
        <v>0</v>
      </c>
      <c r="M211" s="91"/>
      <c r="N211" s="140">
        <f t="shared" si="20"/>
        <v>0</v>
      </c>
      <c r="O211" s="87" t="str">
        <f t="shared" si="24"/>
        <v/>
      </c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</row>
    <row r="212" spans="1:63" s="92" customFormat="1" ht="15" thickBot="1" x14ac:dyDescent="0.3">
      <c r="B212" s="89" t="s">
        <v>51</v>
      </c>
      <c r="C212" s="90"/>
      <c r="D212" s="29" t="s">
        <v>27</v>
      </c>
      <c r="E212" s="90"/>
      <c r="F212" s="138">
        <v>8.7999999999999995E-2</v>
      </c>
      <c r="G212" s="30">
        <f>+F172*(1+F227)-G211</f>
        <v>1660320</v>
      </c>
      <c r="H212" s="139">
        <f t="shared" si="25"/>
        <v>146108.16</v>
      </c>
      <c r="I212" s="91"/>
      <c r="J212" s="138">
        <v>8.7999999999999995E-2</v>
      </c>
      <c r="K212" s="30">
        <f>+F172*(1+J227)-K211</f>
        <v>1660160.0000000002</v>
      </c>
      <c r="L212" s="139">
        <f t="shared" si="26"/>
        <v>146094.08000000002</v>
      </c>
      <c r="M212" s="91"/>
      <c r="N212" s="140">
        <f t="shared" si="20"/>
        <v>-14.079999999987194</v>
      </c>
      <c r="O212" s="87">
        <f t="shared" si="24"/>
        <v>-9.6366965404171771E-5</v>
      </c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</row>
    <row r="213" spans="1:63" s="4" customFormat="1" ht="15" thickBot="1" x14ac:dyDescent="0.35">
      <c r="A213" s="60"/>
      <c r="B213" s="32"/>
      <c r="C213" s="33"/>
      <c r="D213" s="124"/>
      <c r="E213" s="33"/>
      <c r="F213" s="35"/>
      <c r="G213" s="36"/>
      <c r="H213" s="122"/>
      <c r="I213" s="123"/>
      <c r="J213" s="35"/>
      <c r="K213" s="39"/>
      <c r="L213" s="122"/>
      <c r="M213" s="123"/>
      <c r="N213" s="40"/>
      <c r="O213" s="41"/>
      <c r="P213" s="60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</row>
    <row r="214" spans="1:63" x14ac:dyDescent="0.3">
      <c r="B214" s="93" t="s">
        <v>52</v>
      </c>
      <c r="C214" s="73"/>
      <c r="D214" s="73"/>
      <c r="E214" s="73"/>
      <c r="F214" s="94"/>
      <c r="G214" s="95"/>
      <c r="H214" s="141">
        <f>SUM(H204:H210,H203)</f>
        <v>197244.38620000001</v>
      </c>
      <c r="I214" s="96"/>
      <c r="J214" s="97"/>
      <c r="K214" s="97"/>
      <c r="L214" s="144">
        <f>SUM(L204:L210,L203)</f>
        <v>185725.93664000003</v>
      </c>
      <c r="M214" s="145"/>
      <c r="N214" s="146">
        <f>L214-H214</f>
        <v>-11518.449559999979</v>
      </c>
      <c r="O214" s="98">
        <f>IF((H214)=0,"",(N214/H214))</f>
        <v>-5.8396843539671693E-2</v>
      </c>
      <c r="Q214" s="126"/>
      <c r="R214" s="126"/>
      <c r="S214" s="127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</row>
    <row r="215" spans="1:63" x14ac:dyDescent="0.3">
      <c r="B215" s="99" t="s">
        <v>53</v>
      </c>
      <c r="C215" s="73"/>
      <c r="D215" s="73"/>
      <c r="E215" s="73"/>
      <c r="F215" s="100">
        <v>0.13</v>
      </c>
      <c r="G215" s="101"/>
      <c r="H215" s="142">
        <f>H214*F215</f>
        <v>25641.770206000001</v>
      </c>
      <c r="I215" s="102"/>
      <c r="J215" s="103">
        <v>0.13</v>
      </c>
      <c r="K215" s="102"/>
      <c r="L215" s="147">
        <f>L214*J215</f>
        <v>24144.371763200004</v>
      </c>
      <c r="M215" s="148"/>
      <c r="N215" s="149">
        <f>L215-H215</f>
        <v>-1497.3984427999967</v>
      </c>
      <c r="O215" s="104">
        <f>IF((H215)=0,"",(N215/H215))</f>
        <v>-5.8396843539671672E-2</v>
      </c>
      <c r="Q215" s="126"/>
      <c r="R215" s="126"/>
      <c r="S215" s="127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</row>
    <row r="216" spans="1:63" x14ac:dyDescent="0.3">
      <c r="B216" s="105" t="s">
        <v>54</v>
      </c>
      <c r="C216" s="73"/>
      <c r="D216" s="73"/>
      <c r="E216" s="73"/>
      <c r="F216" s="106"/>
      <c r="G216" s="101"/>
      <c r="H216" s="142">
        <f>H214+H215</f>
        <v>222886.15640600002</v>
      </c>
      <c r="I216" s="102"/>
      <c r="J216" s="102"/>
      <c r="K216" s="102"/>
      <c r="L216" s="147">
        <f>L214+L215</f>
        <v>209870.30840320003</v>
      </c>
      <c r="M216" s="148"/>
      <c r="N216" s="149">
        <f>L216-H216</f>
        <v>-13015.84800279999</v>
      </c>
      <c r="O216" s="104">
        <f>IF((H216)=0,"",(N216/H216))</f>
        <v>-5.8396843539671756E-2</v>
      </c>
      <c r="Q216" s="126"/>
      <c r="R216" s="126"/>
      <c r="S216" s="127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</row>
    <row r="217" spans="1:63" ht="14.4" customHeight="1" x14ac:dyDescent="0.3">
      <c r="B217" s="172" t="s">
        <v>55</v>
      </c>
      <c r="C217" s="172"/>
      <c r="D217" s="172"/>
      <c r="E217" s="73"/>
      <c r="F217" s="106"/>
      <c r="G217" s="101"/>
      <c r="H217" s="143">
        <v>0</v>
      </c>
      <c r="I217" s="102"/>
      <c r="J217" s="102"/>
      <c r="K217" s="102"/>
      <c r="L217" s="150">
        <v>0</v>
      </c>
      <c r="M217" s="148"/>
      <c r="N217" s="151">
        <f>L217-H217</f>
        <v>0</v>
      </c>
      <c r="O217" s="107" t="str">
        <f>IF((H217)=0,"",(N217/H217))</f>
        <v/>
      </c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</row>
    <row r="218" spans="1:63" s="4" customFormat="1" ht="15" thickBot="1" x14ac:dyDescent="0.35">
      <c r="A218" s="60"/>
      <c r="B218" s="173" t="s">
        <v>56</v>
      </c>
      <c r="C218" s="173"/>
      <c r="D218" s="173"/>
      <c r="E218" s="42"/>
      <c r="F218" s="43"/>
      <c r="G218" s="44"/>
      <c r="H218" s="45">
        <f>H216+H217</f>
        <v>222886.15640600002</v>
      </c>
      <c r="I218" s="46"/>
      <c r="J218" s="46"/>
      <c r="K218" s="46"/>
      <c r="L218" s="47">
        <f>L216+L217</f>
        <v>209870.30840320003</v>
      </c>
      <c r="M218" s="48"/>
      <c r="N218" s="49">
        <f>L218-H218</f>
        <v>-13015.84800279999</v>
      </c>
      <c r="O218" s="50">
        <f>IF((H218)=0,"",(N218/H218))</f>
        <v>-5.8396843539671756E-2</v>
      </c>
      <c r="P218" s="60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</row>
    <row r="219" spans="1:63" s="4" customFormat="1" ht="15" thickBot="1" x14ac:dyDescent="0.35">
      <c r="A219" s="60"/>
      <c r="B219" s="32"/>
      <c r="C219" s="33"/>
      <c r="D219" s="34"/>
      <c r="E219" s="33"/>
      <c r="F219" s="35"/>
      <c r="G219" s="36"/>
      <c r="H219" s="37"/>
      <c r="I219" s="38"/>
      <c r="J219" s="35"/>
      <c r="K219" s="39"/>
      <c r="L219" s="37"/>
      <c r="M219" s="123"/>
      <c r="N219" s="40"/>
      <c r="O219" s="41"/>
      <c r="P219" s="60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</row>
    <row r="220" spans="1:63" s="92" customFormat="1" ht="13.2" x14ac:dyDescent="0.25">
      <c r="B220" s="108" t="s">
        <v>57</v>
      </c>
      <c r="C220" s="90"/>
      <c r="D220" s="90"/>
      <c r="E220" s="90"/>
      <c r="F220" s="109"/>
      <c r="G220" s="110"/>
      <c r="H220" s="152">
        <f>SUM(H211:H212,H203,H204:H207)</f>
        <v>204018.49179999999</v>
      </c>
      <c r="I220" s="111"/>
      <c r="J220" s="112"/>
      <c r="K220" s="112"/>
      <c r="L220" s="155">
        <f>SUM(L211:L212,L203,L204:L207)</f>
        <v>192499.38944000003</v>
      </c>
      <c r="M220" s="156"/>
      <c r="N220" s="157">
        <f>L220-H220</f>
        <v>-11519.102359999961</v>
      </c>
      <c r="O220" s="98">
        <f>IF((H220)=0,"",(N220/H220))</f>
        <v>-5.6461070064630102E-2</v>
      </c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</row>
    <row r="221" spans="1:63" s="92" customFormat="1" ht="13.2" x14ac:dyDescent="0.25">
      <c r="B221" s="113" t="s">
        <v>53</v>
      </c>
      <c r="C221" s="90"/>
      <c r="D221" s="90"/>
      <c r="E221" s="90"/>
      <c r="F221" s="114">
        <v>0.13</v>
      </c>
      <c r="G221" s="110"/>
      <c r="H221" s="153">
        <f>H220*F221</f>
        <v>26522.403933999998</v>
      </c>
      <c r="I221" s="115"/>
      <c r="J221" s="116">
        <v>0.13</v>
      </c>
      <c r="K221" s="117"/>
      <c r="L221" s="158">
        <f>L220*J221</f>
        <v>25024.920627200005</v>
      </c>
      <c r="M221" s="159"/>
      <c r="N221" s="160">
        <f>L221-H221</f>
        <v>-1497.4833067999934</v>
      </c>
      <c r="O221" s="104">
        <f>IF((H221)=0,"",(N221/H221))</f>
        <v>-5.6461070064630046E-2</v>
      </c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</row>
    <row r="222" spans="1:63" s="92" customFormat="1" ht="13.2" x14ac:dyDescent="0.25">
      <c r="B222" s="118" t="s">
        <v>54</v>
      </c>
      <c r="C222" s="90"/>
      <c r="D222" s="90"/>
      <c r="E222" s="90"/>
      <c r="F222" s="119"/>
      <c r="G222" s="120"/>
      <c r="H222" s="153">
        <f>H220+H221</f>
        <v>230540.89573399999</v>
      </c>
      <c r="I222" s="115"/>
      <c r="J222" s="115"/>
      <c r="K222" s="115"/>
      <c r="L222" s="158">
        <f>L220+L221</f>
        <v>217524.31006720004</v>
      </c>
      <c r="M222" s="159"/>
      <c r="N222" s="160">
        <f>L222-H222</f>
        <v>-13016.585666799947</v>
      </c>
      <c r="O222" s="104">
        <f>IF((H222)=0,"",(N222/H222))</f>
        <v>-5.646107006463006E-2</v>
      </c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</row>
    <row r="223" spans="1:63" s="92" customFormat="1" ht="13.2" customHeight="1" x14ac:dyDescent="0.25">
      <c r="B223" s="174" t="s">
        <v>55</v>
      </c>
      <c r="C223" s="174"/>
      <c r="D223" s="174"/>
      <c r="E223" s="90"/>
      <c r="F223" s="119"/>
      <c r="G223" s="120"/>
      <c r="H223" s="154">
        <v>0</v>
      </c>
      <c r="I223" s="115"/>
      <c r="J223" s="115"/>
      <c r="K223" s="115"/>
      <c r="L223" s="161">
        <v>0</v>
      </c>
      <c r="M223" s="159"/>
      <c r="N223" s="162">
        <f>L223-H223</f>
        <v>0</v>
      </c>
      <c r="O223" s="107" t="str">
        <f>IF((H223)=0,"",(N223/H223))</f>
        <v/>
      </c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</row>
    <row r="224" spans="1:63" s="4" customFormat="1" ht="15" thickBot="1" x14ac:dyDescent="0.35">
      <c r="A224" s="60"/>
      <c r="B224" s="173" t="s">
        <v>58</v>
      </c>
      <c r="C224" s="173"/>
      <c r="D224" s="173"/>
      <c r="E224" s="42"/>
      <c r="F224" s="43"/>
      <c r="G224" s="44"/>
      <c r="H224" s="45">
        <f>SUM(H222:H223)</f>
        <v>230540.89573399999</v>
      </c>
      <c r="I224" s="46"/>
      <c r="J224" s="46"/>
      <c r="K224" s="46"/>
      <c r="L224" s="47">
        <f>SUM(L222:L223)</f>
        <v>217524.31006720004</v>
      </c>
      <c r="M224" s="48"/>
      <c r="N224" s="49">
        <f>L224-H224</f>
        <v>-13016.585666799947</v>
      </c>
      <c r="O224" s="50">
        <f>IF((H224)=0,"",(N224/H224))</f>
        <v>-5.646107006463006E-2</v>
      </c>
      <c r="P224" s="60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</row>
    <row r="225" spans="1:63" s="4" customFormat="1" ht="15" thickBot="1" x14ac:dyDescent="0.35">
      <c r="A225" s="60"/>
      <c r="B225" s="32"/>
      <c r="C225" s="33"/>
      <c r="D225" s="34"/>
      <c r="E225" s="33"/>
      <c r="F225" s="35"/>
      <c r="G225" s="36"/>
      <c r="H225" s="122"/>
      <c r="I225" s="123"/>
      <c r="J225" s="35"/>
      <c r="K225" s="39"/>
      <c r="L225" s="37"/>
      <c r="M225" s="123"/>
      <c r="N225" s="40"/>
      <c r="O225" s="41"/>
      <c r="P225" s="60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</row>
    <row r="226" spans="1:63" x14ac:dyDescent="0.3">
      <c r="L226" s="88"/>
    </row>
    <row r="227" spans="1:63" x14ac:dyDescent="0.3">
      <c r="B227" s="65" t="s">
        <v>59</v>
      </c>
      <c r="F227" s="51">
        <v>3.7699999999999997E-2</v>
      </c>
      <c r="J227" s="51">
        <f>+Residential!$J$74</f>
        <v>3.7600000000000001E-2</v>
      </c>
    </row>
    <row r="229" spans="1:63" x14ac:dyDescent="0.3">
      <c r="L229" s="56"/>
      <c r="M229" s="56"/>
      <c r="N229" s="56"/>
      <c r="O229" s="56"/>
      <c r="P229" s="56"/>
    </row>
    <row r="230" spans="1:63" ht="16.2" x14ac:dyDescent="0.3">
      <c r="A230" s="121" t="s">
        <v>60</v>
      </c>
    </row>
    <row r="232" spans="1:63" x14ac:dyDescent="0.3">
      <c r="A232" s="60" t="s">
        <v>61</v>
      </c>
    </row>
    <row r="233" spans="1:63" x14ac:dyDescent="0.3">
      <c r="A233" s="60" t="s">
        <v>62</v>
      </c>
    </row>
    <row r="234" spans="1:63" ht="11.4" customHeight="1" x14ac:dyDescent="0.3"/>
    <row r="235" spans="1:63" ht="15.6" customHeight="1" x14ac:dyDescent="0.3">
      <c r="B235" s="60" t="s">
        <v>63</v>
      </c>
    </row>
  </sheetData>
  <mergeCells count="40">
    <mergeCell ref="B223:D223"/>
    <mergeCell ref="B224:D224"/>
    <mergeCell ref="D98:D99"/>
    <mergeCell ref="N98:N99"/>
    <mergeCell ref="O98:O99"/>
    <mergeCell ref="B142:D142"/>
    <mergeCell ref="B141:D141"/>
    <mergeCell ref="B147:D147"/>
    <mergeCell ref="B163:O163"/>
    <mergeCell ref="B164:O164"/>
    <mergeCell ref="D167:O167"/>
    <mergeCell ref="F173:H173"/>
    <mergeCell ref="J173:L173"/>
    <mergeCell ref="N173:O173"/>
    <mergeCell ref="B148:D148"/>
    <mergeCell ref="D174:D175"/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N174:N175"/>
    <mergeCell ref="O174:O175"/>
    <mergeCell ref="B217:D217"/>
    <mergeCell ref="B218:D218"/>
    <mergeCell ref="B87:O87"/>
    <mergeCell ref="D91:O91"/>
    <mergeCell ref="F97:H97"/>
    <mergeCell ref="J97:L97"/>
    <mergeCell ref="N97:O97"/>
    <mergeCell ref="B88:O88"/>
  </mergeCells>
  <dataValidations count="4">
    <dataValidation type="list" allowBlank="1" showInputMessage="1" showErrorMessage="1" sqref="E48:E49 E40:E46 E23:E38 E51:E57 E60 E125:E126 E117:E123 E100:E115 E128:E134 E137 E201:E202 E193:E199 E176:E191 E204:E210 E213">
      <formula1>#REF!</formula1>
    </dataValidation>
    <dataValidation type="list" allowBlank="1" showInputMessage="1" showErrorMessage="1" prompt="Select Charge Unit - monthly, per kWh, per kW" sqref="D48:D49 D40:D46 D66 D23:D38 D72 D51:D60 D125:D126 D117:D123 D143 D100:D115 D149 D128:D137 D201:D202 D193:D199 D219 D176:D191 D225 D204:D213">
      <formula1>"Monthly, per kWh, per kW"</formula1>
    </dataValidation>
    <dataValidation type="list" allowBlank="1" showInputMessage="1" showErrorMessage="1" sqref="E72 E66 E58:E59 E149 E143 E135:E136 E225 E219 E211:E212">
      <formula1>#REF!</formula1>
    </dataValidation>
    <dataValidation type="list" allowBlank="1" showInputMessage="1" showErrorMessage="1" sqref="D16 D93 D169">
      <formula1>"TOU, non-TOU"</formula1>
    </dataValidation>
  </dataValidations>
  <pageMargins left="0.7" right="0.7" top="0.75" bottom="0.75" header="0.3" footer="0.3"/>
  <pageSetup scale="51" fitToHeight="0" orientation="portrait" r:id="rId1"/>
  <rowBreaks count="2" manualBreakCount="2">
    <brk id="85" max="15" man="1"/>
    <brk id="162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87" r:id="rId4" name="Option Button 95">
              <controlPr defaultSize="0" autoFill="0" autoLine="0" autoPict="0">
                <anchor moveWithCells="1">
                  <from>
                    <xdr:col>5</xdr:col>
                    <xdr:colOff>701040</xdr:colOff>
                    <xdr:row>15</xdr:row>
                    <xdr:rowOff>7620</xdr:rowOff>
                  </from>
                  <to>
                    <xdr:col>7</xdr:col>
                    <xdr:colOff>358140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5" name="Option Button 96">
              <controlPr defaultSize="0" autoFill="0" autoLine="0" autoPict="0">
                <anchor moveWithCells="1">
                  <from>
                    <xdr:col>7</xdr:col>
                    <xdr:colOff>487680</xdr:colOff>
                    <xdr:row>15</xdr:row>
                    <xdr:rowOff>0</xdr:rowOff>
                  </from>
                  <to>
                    <xdr:col>14</xdr:col>
                    <xdr:colOff>914400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82"/>
  <sheetViews>
    <sheetView view="pageBreakPreview" topLeftCell="B72" zoomScale="80" zoomScaleNormal="80" zoomScaleSheetLayoutView="80" workbookViewId="0">
      <selection activeCell="K351" sqref="K351"/>
    </sheetView>
  </sheetViews>
  <sheetFormatPr defaultColWidth="9.109375" defaultRowHeight="14.4" x14ac:dyDescent="0.3"/>
  <cols>
    <col min="1" max="1" width="4.44140625" style="60" customWidth="1"/>
    <col min="2" max="2" width="45.3320312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6.33203125" style="60" customWidth="1"/>
    <col min="8" max="8" width="16.109375" style="60" customWidth="1"/>
    <col min="9" max="9" width="2.88671875" style="60" customWidth="1"/>
    <col min="10" max="10" width="12.109375" style="60" customWidth="1"/>
    <col min="11" max="11" width="15.109375" style="60" bestFit="1" customWidth="1"/>
    <col min="12" max="12" width="16.44140625" style="60" customWidth="1"/>
    <col min="13" max="13" width="2.88671875" style="60" customWidth="1"/>
    <col min="14" max="14" width="13.554687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78</v>
      </c>
      <c r="P1" s="56"/>
      <c r="T1" s="53">
        <v>1</v>
      </c>
    </row>
    <row r="2" spans="1:20" s="53" customFormat="1" ht="9.6" hidden="1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25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25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25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25">
      <c r="N6" s="54"/>
      <c r="O6" s="1"/>
      <c r="P6" s="56"/>
    </row>
    <row r="7" spans="1:20" s="53" customFormat="1" ht="15" hidden="1" x14ac:dyDescent="0.25">
      <c r="N7" s="54" t="s">
        <v>5</v>
      </c>
      <c r="O7" s="3"/>
      <c r="P7" s="56"/>
    </row>
    <row r="8" spans="1:20" s="53" customFormat="1" ht="15" hidden="1" customHeight="1" x14ac:dyDescent="0.25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25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25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25">
      <c r="L12" s="56"/>
      <c r="M12" s="56"/>
      <c r="N12" s="56"/>
      <c r="O12" s="56"/>
      <c r="P12" s="56"/>
    </row>
    <row r="13" spans="1:20" ht="7.5" customHeight="1" x14ac:dyDescent="0.25">
      <c r="L13" s="56"/>
      <c r="M13" s="56"/>
      <c r="N13" s="56"/>
      <c r="O13" s="56"/>
      <c r="P13" s="56"/>
    </row>
    <row r="14" spans="1:20" ht="15.75" x14ac:dyDescent="0.25">
      <c r="B14" s="61" t="s">
        <v>8</v>
      </c>
      <c r="D14" s="185" t="s">
        <v>72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25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75" x14ac:dyDescent="0.25">
      <c r="B16" s="61" t="s">
        <v>9</v>
      </c>
      <c r="D16" s="5" t="s">
        <v>64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75" x14ac:dyDescent="0.25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f>6000</f>
        <v>6000</v>
      </c>
      <c r="G18" s="65" t="s">
        <v>65</v>
      </c>
    </row>
    <row r="19" spans="2:29" x14ac:dyDescent="0.3">
      <c r="B19" s="64"/>
      <c r="F19" s="6">
        <f>33729600/12</f>
        <v>2810800</v>
      </c>
      <c r="G19" s="65" t="s">
        <v>12</v>
      </c>
    </row>
    <row r="20" spans="2:29" ht="15" x14ac:dyDescent="0.25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ht="15" x14ac:dyDescent="0.25">
      <c r="B23" s="73" t="s">
        <v>23</v>
      </c>
      <c r="C23" s="73"/>
      <c r="D23" s="7" t="s">
        <v>24</v>
      </c>
      <c r="E23" s="73"/>
      <c r="F23" s="129">
        <v>3399.83</v>
      </c>
      <c r="G23" s="74">
        <v>1</v>
      </c>
      <c r="H23" s="75">
        <f t="shared" ref="H23:H38" si="0">G23*F23</f>
        <v>3399.83</v>
      </c>
      <c r="I23" s="76"/>
      <c r="J23" s="129">
        <v>2984.12</v>
      </c>
      <c r="K23" s="77">
        <v>1</v>
      </c>
      <c r="L23" s="75">
        <f t="shared" ref="L23:L38" si="1">K23*J23</f>
        <v>2984.12</v>
      </c>
      <c r="M23" s="76"/>
      <c r="N23" s="78">
        <f t="shared" ref="N23:N59" si="2">L23-H23</f>
        <v>-415.71000000000004</v>
      </c>
      <c r="O23" s="79">
        <f t="shared" ref="O23:O45" si="3">IF((H23)=0,"",(N23/H23))</f>
        <v>-0.12227376074686089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ht="15" x14ac:dyDescent="0.25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ht="15" x14ac:dyDescent="0.25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ht="15" x14ac:dyDescent="0.25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ht="15" x14ac:dyDescent="0.25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ht="15" x14ac:dyDescent="0.25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68</v>
      </c>
      <c r="E29" s="73"/>
      <c r="F29" s="135">
        <v>1.8569</v>
      </c>
      <c r="G29" s="74">
        <f>$F$18</f>
        <v>6000</v>
      </c>
      <c r="H29" s="136">
        <f t="shared" si="0"/>
        <v>11141.4</v>
      </c>
      <c r="I29" s="76"/>
      <c r="J29" s="132">
        <v>1.6298999999999999</v>
      </c>
      <c r="K29" s="74">
        <f t="shared" ref="K29:K38" si="4">$F$18</f>
        <v>6000</v>
      </c>
      <c r="L29" s="136">
        <f t="shared" si="1"/>
        <v>9779.4</v>
      </c>
      <c r="M29" s="76"/>
      <c r="N29" s="137">
        <f t="shared" si="2"/>
        <v>-1362</v>
      </c>
      <c r="O29" s="79">
        <f t="shared" si="3"/>
        <v>-0.12224675534492972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f t="shared" si="4"/>
        <v>6000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68</v>
      </c>
      <c r="E31" s="73"/>
      <c r="F31" s="135">
        <v>-1.4E-3</v>
      </c>
      <c r="G31" s="74">
        <f t="shared" ref="G31:G38" si="5">$F$18</f>
        <v>6000</v>
      </c>
      <c r="H31" s="136">
        <f t="shared" si="0"/>
        <v>-8.4</v>
      </c>
      <c r="I31" s="76"/>
      <c r="J31" s="132">
        <v>0</v>
      </c>
      <c r="K31" s="74">
        <f t="shared" si="4"/>
        <v>6000</v>
      </c>
      <c r="L31" s="136">
        <f t="shared" si="1"/>
        <v>0</v>
      </c>
      <c r="M31" s="76"/>
      <c r="N31" s="137">
        <f t="shared" si="2"/>
        <v>8.4</v>
      </c>
      <c r="O31" s="79">
        <f t="shared" si="3"/>
        <v>-1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68</v>
      </c>
      <c r="E32" s="73"/>
      <c r="F32" s="135">
        <v>0.22309999999999999</v>
      </c>
      <c r="G32" s="74">
        <f t="shared" si="5"/>
        <v>6000</v>
      </c>
      <c r="H32" s="136">
        <f t="shared" si="0"/>
        <v>1338.6</v>
      </c>
      <c r="I32" s="76"/>
      <c r="J32" s="132"/>
      <c r="K32" s="74">
        <f t="shared" si="4"/>
        <v>6000</v>
      </c>
      <c r="L32" s="136">
        <f t="shared" si="1"/>
        <v>0</v>
      </c>
      <c r="M32" s="76"/>
      <c r="N32" s="137">
        <f t="shared" si="2"/>
        <v>-1338.6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68</v>
      </c>
      <c r="E33" s="73"/>
      <c r="F33" s="135">
        <v>-4.0500000000000001E-2</v>
      </c>
      <c r="G33" s="74">
        <f t="shared" si="5"/>
        <v>6000</v>
      </c>
      <c r="H33" s="136">
        <f t="shared" si="0"/>
        <v>-243</v>
      </c>
      <c r="I33" s="76"/>
      <c r="J33" s="132"/>
      <c r="K33" s="74">
        <f t="shared" si="4"/>
        <v>6000</v>
      </c>
      <c r="L33" s="136">
        <f t="shared" si="1"/>
        <v>0</v>
      </c>
      <c r="M33" s="76"/>
      <c r="N33" s="137">
        <f t="shared" si="2"/>
        <v>243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71</v>
      </c>
      <c r="C34" s="73"/>
      <c r="D34" s="7" t="s">
        <v>68</v>
      </c>
      <c r="E34" s="73"/>
      <c r="F34" s="135">
        <v>1.3157000000000001</v>
      </c>
      <c r="G34" s="74">
        <f t="shared" si="5"/>
        <v>6000</v>
      </c>
      <c r="H34" s="136">
        <f t="shared" si="0"/>
        <v>7894.2000000000007</v>
      </c>
      <c r="I34" s="76"/>
      <c r="J34" s="132"/>
      <c r="K34" s="74">
        <f t="shared" si="4"/>
        <v>6000</v>
      </c>
      <c r="L34" s="136">
        <f t="shared" si="1"/>
        <v>0</v>
      </c>
      <c r="M34" s="76"/>
      <c r="N34" s="137">
        <f t="shared" si="2"/>
        <v>-7894.2000000000007</v>
      </c>
      <c r="O34" s="79">
        <f t="shared" si="3"/>
        <v>-1</v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/>
      <c r="C35" s="73"/>
      <c r="D35" s="7"/>
      <c r="E35" s="73"/>
      <c r="F35" s="134"/>
      <c r="G35" s="74">
        <f t="shared" si="5"/>
        <v>6000</v>
      </c>
      <c r="H35" s="136">
        <f t="shared" si="0"/>
        <v>0</v>
      </c>
      <c r="I35" s="76"/>
      <c r="J35" s="132"/>
      <c r="K35" s="74">
        <f t="shared" si="4"/>
        <v>6000</v>
      </c>
      <c r="L35" s="136">
        <f t="shared" si="1"/>
        <v>0</v>
      </c>
      <c r="M35" s="76"/>
      <c r="N35" s="137">
        <f t="shared" si="2"/>
        <v>0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/>
      <c r="C36" s="73"/>
      <c r="D36" s="7"/>
      <c r="E36" s="73"/>
      <c r="F36" s="134"/>
      <c r="G36" s="74">
        <f t="shared" si="5"/>
        <v>6000</v>
      </c>
      <c r="H36" s="136">
        <f t="shared" si="0"/>
        <v>0</v>
      </c>
      <c r="I36" s="76"/>
      <c r="J36" s="132"/>
      <c r="K36" s="74">
        <f t="shared" si="4"/>
        <v>6000</v>
      </c>
      <c r="L36" s="136">
        <f t="shared" si="1"/>
        <v>0</v>
      </c>
      <c r="M36" s="76"/>
      <c r="N36" s="137">
        <f t="shared" si="2"/>
        <v>0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 t="shared" si="5"/>
        <v>6000</v>
      </c>
      <c r="H37" s="136">
        <f t="shared" si="0"/>
        <v>0</v>
      </c>
      <c r="I37" s="76"/>
      <c r="J37" s="131"/>
      <c r="K37" s="74">
        <f t="shared" si="4"/>
        <v>6000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 t="shared" si="5"/>
        <v>6000</v>
      </c>
      <c r="H38" s="136">
        <f t="shared" si="0"/>
        <v>0</v>
      </c>
      <c r="I38" s="76"/>
      <c r="J38" s="131"/>
      <c r="K38" s="74">
        <f t="shared" si="4"/>
        <v>6000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34</v>
      </c>
      <c r="C39" s="20"/>
      <c r="D39" s="20"/>
      <c r="E39" s="20"/>
      <c r="F39" s="21"/>
      <c r="G39" s="22"/>
      <c r="H39" s="23">
        <f>SUM(H23:H38)</f>
        <v>23522.63</v>
      </c>
      <c r="I39" s="13"/>
      <c r="J39" s="14"/>
      <c r="K39" s="24"/>
      <c r="L39" s="23">
        <f>SUM(L23:L38)</f>
        <v>12763.52</v>
      </c>
      <c r="M39" s="13"/>
      <c r="N39" s="15">
        <f t="shared" si="2"/>
        <v>-10759.11</v>
      </c>
      <c r="O39" s="16">
        <f t="shared" si="3"/>
        <v>-0.45739400738777936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35</v>
      </c>
      <c r="C40" s="73"/>
      <c r="D40" s="7" t="s">
        <v>68</v>
      </c>
      <c r="E40" s="73"/>
      <c r="F40" s="135">
        <v>0.1113</v>
      </c>
      <c r="G40" s="74">
        <f>$F$18</f>
        <v>6000</v>
      </c>
      <c r="H40" s="136">
        <f t="shared" ref="H40:H46" si="6">G40*F40</f>
        <v>667.8</v>
      </c>
      <c r="I40" s="76"/>
      <c r="J40" s="135"/>
      <c r="K40" s="74">
        <f>$F$18</f>
        <v>6000</v>
      </c>
      <c r="L40" s="136">
        <f t="shared" ref="L40:L46" si="7">K40*J40</f>
        <v>0</v>
      </c>
      <c r="M40" s="76"/>
      <c r="N40" s="137">
        <f t="shared" si="2"/>
        <v>-667.8</v>
      </c>
      <c r="O40" s="79">
        <f t="shared" si="3"/>
        <v>-1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$F$18</f>
        <v>6000</v>
      </c>
      <c r="H41" s="136">
        <f t="shared" si="6"/>
        <v>0</v>
      </c>
      <c r="I41" s="82"/>
      <c r="J41" s="8"/>
      <c r="K41" s="74">
        <f>$F$18</f>
        <v>6000</v>
      </c>
      <c r="L41" s="136">
        <f t="shared" si="7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$F$18</f>
        <v>6000</v>
      </c>
      <c r="H42" s="136">
        <f t="shared" si="6"/>
        <v>0</v>
      </c>
      <c r="I42" s="82"/>
      <c r="J42" s="8"/>
      <c r="K42" s="74">
        <f>$F$18</f>
        <v>6000</v>
      </c>
      <c r="L42" s="136">
        <f t="shared" si="7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$F$18</f>
        <v>6000</v>
      </c>
      <c r="H43" s="136">
        <f t="shared" si="6"/>
        <v>0</v>
      </c>
      <c r="I43" s="82"/>
      <c r="J43" s="8"/>
      <c r="K43" s="74">
        <f>$F$18</f>
        <v>6000</v>
      </c>
      <c r="L43" s="136">
        <f t="shared" si="7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36</v>
      </c>
      <c r="C44" s="73"/>
      <c r="D44" s="7" t="s">
        <v>68</v>
      </c>
      <c r="E44" s="73"/>
      <c r="F44" s="135">
        <v>6.3799999999999996E-2</v>
      </c>
      <c r="G44" s="74">
        <f>$F$18</f>
        <v>6000</v>
      </c>
      <c r="H44" s="136">
        <f t="shared" si="6"/>
        <v>382.79999999999995</v>
      </c>
      <c r="I44" s="76"/>
      <c r="J44" s="135">
        <v>0.1313</v>
      </c>
      <c r="K44" s="74">
        <f>$F$18</f>
        <v>6000</v>
      </c>
      <c r="L44" s="136">
        <f t="shared" si="7"/>
        <v>787.8</v>
      </c>
      <c r="M44" s="76"/>
      <c r="N44" s="137">
        <f t="shared" si="2"/>
        <v>405</v>
      </c>
      <c r="O44" s="79">
        <f t="shared" si="3"/>
        <v>1.0579937304075235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37</v>
      </c>
      <c r="C45" s="73"/>
      <c r="D45" s="7" t="s">
        <v>27</v>
      </c>
      <c r="E45" s="73"/>
      <c r="F45" s="138"/>
      <c r="G45" s="18">
        <f>$F$19*(1+$F$74)-$F$19</f>
        <v>13210.759999999776</v>
      </c>
      <c r="H45" s="136">
        <f t="shared" si="6"/>
        <v>0</v>
      </c>
      <c r="I45" s="76"/>
      <c r="J45" s="138"/>
      <c r="K45" s="18">
        <f>$F$19*(1+$J$74)-$F$19</f>
        <v>12648.599999999627</v>
      </c>
      <c r="L45" s="136">
        <f t="shared" si="7"/>
        <v>0</v>
      </c>
      <c r="M45" s="76"/>
      <c r="N45" s="137">
        <f t="shared" si="2"/>
        <v>0</v>
      </c>
      <c r="O45" s="79" t="str">
        <f t="shared" si="3"/>
        <v/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38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6"/>
        <v>0</v>
      </c>
      <c r="I46" s="76"/>
      <c r="J46" s="138"/>
      <c r="K46" s="81">
        <v>1</v>
      </c>
      <c r="L46" s="136">
        <f t="shared" si="7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39</v>
      </c>
      <c r="C47" s="20"/>
      <c r="D47" s="20"/>
      <c r="E47" s="20"/>
      <c r="F47" s="21"/>
      <c r="G47" s="22"/>
      <c r="H47" s="23">
        <f>SUM(H40:H46)+H39</f>
        <v>24573.23</v>
      </c>
      <c r="I47" s="13"/>
      <c r="J47" s="22"/>
      <c r="K47" s="24"/>
      <c r="L47" s="23">
        <f>SUM(L40:L46)+L39</f>
        <v>13551.32</v>
      </c>
      <c r="M47" s="13"/>
      <c r="N47" s="15">
        <f t="shared" si="2"/>
        <v>-11021.91</v>
      </c>
      <c r="O47" s="16">
        <f t="shared" ref="O47:O59" si="8">IF((H47)=0,"",(N47/H47))</f>
        <v>-0.44853322090746717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40</v>
      </c>
      <c r="C48" s="76"/>
      <c r="D48" s="25" t="s">
        <v>68</v>
      </c>
      <c r="E48" s="76"/>
      <c r="F48" s="135">
        <v>2.8561000000000001</v>
      </c>
      <c r="G48" s="18">
        <f>F18*(1+F74)</f>
        <v>6028.2</v>
      </c>
      <c r="H48" s="136">
        <f>G48*F48</f>
        <v>17217.142019999999</v>
      </c>
      <c r="I48" s="76"/>
      <c r="J48" s="135">
        <v>2.6861000000000002</v>
      </c>
      <c r="K48" s="18">
        <f>F18*(1+J74)</f>
        <v>6027</v>
      </c>
      <c r="L48" s="136">
        <f>K48*J48</f>
        <v>16189.1247</v>
      </c>
      <c r="M48" s="76"/>
      <c r="N48" s="136">
        <f t="shared" si="2"/>
        <v>-1028.017319999999</v>
      </c>
      <c r="O48" s="79">
        <f t="shared" si="8"/>
        <v>-5.970894117071348E-2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41</v>
      </c>
      <c r="C49" s="76"/>
      <c r="D49" s="25" t="s">
        <v>68</v>
      </c>
      <c r="E49" s="76"/>
      <c r="F49" s="135">
        <v>1.9374</v>
      </c>
      <c r="G49" s="18">
        <f>G48</f>
        <v>6028.2</v>
      </c>
      <c r="H49" s="136">
        <f>G49*F49</f>
        <v>11679.034679999999</v>
      </c>
      <c r="I49" s="76"/>
      <c r="J49" s="135">
        <v>1.36</v>
      </c>
      <c r="K49" s="18">
        <f>K48</f>
        <v>6027</v>
      </c>
      <c r="L49" s="136">
        <f>K49*J49</f>
        <v>8196.7200000000012</v>
      </c>
      <c r="M49" s="76"/>
      <c r="N49" s="136">
        <f t="shared" si="2"/>
        <v>-3482.3146799999977</v>
      </c>
      <c r="O49" s="79">
        <f t="shared" si="8"/>
        <v>-0.2981680229071807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42</v>
      </c>
      <c r="C50" s="20"/>
      <c r="D50" s="20"/>
      <c r="E50" s="20"/>
      <c r="F50" s="21"/>
      <c r="G50" s="22"/>
      <c r="H50" s="23">
        <f>SUM(H47:H49)</f>
        <v>53469.406699999992</v>
      </c>
      <c r="I50" s="13"/>
      <c r="J50" s="26"/>
      <c r="K50" s="22"/>
      <c r="L50" s="23">
        <f>SUM(L47:L49)</f>
        <v>37937.164700000001</v>
      </c>
      <c r="M50" s="13"/>
      <c r="N50" s="15">
        <f t="shared" si="2"/>
        <v>-15532.241999999991</v>
      </c>
      <c r="O50" s="16">
        <f t="shared" si="8"/>
        <v>-0.29048839249604003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43</v>
      </c>
      <c r="C51" s="73"/>
      <c r="D51" s="7" t="s">
        <v>27</v>
      </c>
      <c r="E51" s="73"/>
      <c r="F51" s="135">
        <v>4.4000000000000003E-3</v>
      </c>
      <c r="G51" s="18">
        <f>F19*(1+F74)</f>
        <v>2824010.76</v>
      </c>
      <c r="H51" s="139">
        <f t="shared" ref="H51:H59" si="9">G51*F51</f>
        <v>12425.647343999999</v>
      </c>
      <c r="I51" s="76"/>
      <c r="J51" s="135">
        <f>+F51</f>
        <v>4.4000000000000003E-3</v>
      </c>
      <c r="K51" s="18">
        <f>F19*(1+J74)</f>
        <v>2823448.5999999996</v>
      </c>
      <c r="L51" s="139">
        <f t="shared" ref="L51:L59" si="10">K51*J51</f>
        <v>12423.173839999999</v>
      </c>
      <c r="M51" s="76"/>
      <c r="N51" s="137">
        <f t="shared" si="2"/>
        <v>-2.4735039999995934</v>
      </c>
      <c r="O51" s="87">
        <f t="shared" si="8"/>
        <v>-1.9906439733250437E-4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44</v>
      </c>
      <c r="C52" s="73"/>
      <c r="D52" s="7" t="s">
        <v>27</v>
      </c>
      <c r="E52" s="73"/>
      <c r="F52" s="135">
        <v>1.1999999999999999E-3</v>
      </c>
      <c r="G52" s="18">
        <f>+G51</f>
        <v>2824010.76</v>
      </c>
      <c r="H52" s="139">
        <f t="shared" si="9"/>
        <v>3388.8129119999994</v>
      </c>
      <c r="I52" s="76"/>
      <c r="J52" s="135">
        <f>+F52</f>
        <v>1.1999999999999999E-3</v>
      </c>
      <c r="K52" s="18">
        <f>+K51</f>
        <v>2823448.5999999996</v>
      </c>
      <c r="L52" s="139">
        <f t="shared" si="10"/>
        <v>3388.1383199999991</v>
      </c>
      <c r="M52" s="76"/>
      <c r="N52" s="137">
        <f t="shared" si="2"/>
        <v>-0.67459200000030251</v>
      </c>
      <c r="O52" s="87">
        <f t="shared" si="8"/>
        <v>-1.9906439733262637E-4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45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9"/>
        <v>0.25</v>
      </c>
      <c r="I53" s="76"/>
      <c r="J53" s="135">
        <f>+F53</f>
        <v>0.25</v>
      </c>
      <c r="K53" s="77">
        <v>1</v>
      </c>
      <c r="L53" s="139">
        <f t="shared" si="10"/>
        <v>0.25</v>
      </c>
      <c r="M53" s="76"/>
      <c r="N53" s="137">
        <f t="shared" si="2"/>
        <v>0</v>
      </c>
      <c r="O53" s="87">
        <f t="shared" si="8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46</v>
      </c>
      <c r="C54" s="73"/>
      <c r="D54" s="7" t="s">
        <v>27</v>
      </c>
      <c r="E54" s="73"/>
      <c r="F54" s="135"/>
      <c r="G54" s="84">
        <f>F19</f>
        <v>2810800</v>
      </c>
      <c r="H54" s="139">
        <f t="shared" si="9"/>
        <v>0</v>
      </c>
      <c r="I54" s="76"/>
      <c r="J54" s="135"/>
      <c r="K54" s="77">
        <f>F19</f>
        <v>2810800</v>
      </c>
      <c r="L54" s="139">
        <f t="shared" si="10"/>
        <v>0</v>
      </c>
      <c r="M54" s="76"/>
      <c r="N54" s="137">
        <f t="shared" si="2"/>
        <v>0</v>
      </c>
      <c r="O54" s="87" t="str">
        <f t="shared" si="8"/>
        <v/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47</v>
      </c>
      <c r="C55" s="73"/>
      <c r="D55" s="7" t="s">
        <v>27</v>
      </c>
      <c r="E55" s="73"/>
      <c r="F55" s="138">
        <v>6.7000000000000004E-2</v>
      </c>
      <c r="G55" s="27">
        <f>0.64*$F19*(1+F74)</f>
        <v>1807366.8864</v>
      </c>
      <c r="H55" s="139">
        <f t="shared" si="9"/>
        <v>121093.5813888</v>
      </c>
      <c r="I55" s="76"/>
      <c r="J55" s="138">
        <v>6.7000000000000004E-2</v>
      </c>
      <c r="K55" s="27">
        <f>0.64*$F19*(1+J74)</f>
        <v>1807007.1039999998</v>
      </c>
      <c r="L55" s="139">
        <f t="shared" si="10"/>
        <v>121069.475968</v>
      </c>
      <c r="M55" s="76"/>
      <c r="N55" s="137">
        <f t="shared" si="2"/>
        <v>-24.105420799998683</v>
      </c>
      <c r="O55" s="87">
        <f t="shared" si="8"/>
        <v>-1.9906439733252619E-4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48</v>
      </c>
      <c r="C56" s="73"/>
      <c r="D56" s="7" t="s">
        <v>27</v>
      </c>
      <c r="E56" s="73"/>
      <c r="F56" s="138">
        <v>0.104</v>
      </c>
      <c r="G56" s="27">
        <f>0.18*$F19*(1+F74)</f>
        <v>508321.93679999997</v>
      </c>
      <c r="H56" s="139">
        <f t="shared" si="9"/>
        <v>52865.481427199993</v>
      </c>
      <c r="I56" s="76"/>
      <c r="J56" s="138">
        <v>0.104</v>
      </c>
      <c r="K56" s="27">
        <f>0.18*$F19*(1+J74)</f>
        <v>508220.74799999996</v>
      </c>
      <c r="L56" s="139">
        <f t="shared" si="10"/>
        <v>52854.957791999994</v>
      </c>
      <c r="M56" s="76"/>
      <c r="N56" s="137">
        <f t="shared" si="2"/>
        <v>-10.523635199999262</v>
      </c>
      <c r="O56" s="87">
        <f t="shared" si="8"/>
        <v>-1.9906439733252316E-4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49</v>
      </c>
      <c r="C57" s="73"/>
      <c r="D57" s="7" t="s">
        <v>27</v>
      </c>
      <c r="E57" s="73"/>
      <c r="F57" s="138">
        <v>0.124</v>
      </c>
      <c r="G57" s="27">
        <f>0.18*$F19*(1+F74)</f>
        <v>508321.93679999997</v>
      </c>
      <c r="H57" s="139">
        <f t="shared" si="9"/>
        <v>63031.920163199997</v>
      </c>
      <c r="I57" s="76"/>
      <c r="J57" s="138">
        <v>0.124</v>
      </c>
      <c r="K57" s="27">
        <f>0.18*$F19*(1+J74)</f>
        <v>508220.74799999996</v>
      </c>
      <c r="L57" s="139">
        <f t="shared" si="10"/>
        <v>63019.372751999996</v>
      </c>
      <c r="M57" s="76"/>
      <c r="N57" s="137">
        <f t="shared" si="2"/>
        <v>-12.547411200001079</v>
      </c>
      <c r="O57" s="87">
        <f t="shared" si="8"/>
        <v>-1.9906439733255422E-4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50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F19))))*(1+F74)</f>
        <v>753.52499999999998</v>
      </c>
      <c r="H58" s="139">
        <f t="shared" si="9"/>
        <v>56.514374999999994</v>
      </c>
      <c r="I58" s="91"/>
      <c r="J58" s="138">
        <v>7.4999999999999997E-2</v>
      </c>
      <c r="K58" s="30">
        <f>IF(AND($T$1=1, F19&gt;=750), 750, IF(AND($T$1=1, AND(F19&lt;750, F19&gt;=0)), F19, IF(AND($T$1=2,FJ19&gt;=750), 750, IF(AND($T$1=2, AND(F19&lt;750, F19&gt;=0)), F19))))*(1+J74)</f>
        <v>753.375</v>
      </c>
      <c r="L58" s="139">
        <f t="shared" si="10"/>
        <v>56.503124999999997</v>
      </c>
      <c r="M58" s="91"/>
      <c r="N58" s="140">
        <f t="shared" si="2"/>
        <v>-1.1249999999996874E-2</v>
      </c>
      <c r="O58" s="87">
        <f t="shared" si="8"/>
        <v>-1.9906439733248177E-4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51</v>
      </c>
      <c r="C59" s="90"/>
      <c r="D59" s="29" t="s">
        <v>27</v>
      </c>
      <c r="E59" s="90"/>
      <c r="F59" s="138">
        <v>8.7999999999999995E-2</v>
      </c>
      <c r="G59" s="30">
        <f>+F19*(1+F74)-G58</f>
        <v>2823257.2349999999</v>
      </c>
      <c r="H59" s="139">
        <f t="shared" si="9"/>
        <v>248446.63667999997</v>
      </c>
      <c r="I59" s="91"/>
      <c r="J59" s="138">
        <v>8.7999999999999995E-2</v>
      </c>
      <c r="K59" s="30">
        <f>+F19*(1+J74)-K58</f>
        <v>2822695.2249999996</v>
      </c>
      <c r="L59" s="139">
        <f t="shared" si="10"/>
        <v>248397.17979999995</v>
      </c>
      <c r="M59" s="91"/>
      <c r="N59" s="140">
        <f t="shared" si="2"/>
        <v>-49.456880000012461</v>
      </c>
      <c r="O59" s="87">
        <f t="shared" si="8"/>
        <v>-1.9906439733258726E-4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52</v>
      </c>
      <c r="C61" s="73"/>
      <c r="D61" s="73"/>
      <c r="E61" s="73"/>
      <c r="F61" s="94"/>
      <c r="G61" s="95"/>
      <c r="H61" s="141">
        <f>SUM(H51:H57,H50)</f>
        <v>306275.09993519995</v>
      </c>
      <c r="I61" s="96"/>
      <c r="J61" s="97"/>
      <c r="K61" s="97"/>
      <c r="L61" s="144">
        <f>SUM(L51:L57,L50)</f>
        <v>290692.53337199998</v>
      </c>
      <c r="M61" s="145"/>
      <c r="N61" s="146">
        <f>L61-H61</f>
        <v>-15582.566563199973</v>
      </c>
      <c r="O61" s="98">
        <f>IF((H61)=0,"",(N61/H61))</f>
        <v>-5.0877680119921109E-2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53</v>
      </c>
      <c r="C62" s="73"/>
      <c r="D62" s="73"/>
      <c r="E62" s="73"/>
      <c r="F62" s="100">
        <v>0.13</v>
      </c>
      <c r="G62" s="101"/>
      <c r="H62" s="142">
        <f>H61*F62</f>
        <v>39815.762991575997</v>
      </c>
      <c r="I62" s="102"/>
      <c r="J62" s="103">
        <v>0.13</v>
      </c>
      <c r="K62" s="102"/>
      <c r="L62" s="147">
        <f>L61*J62</f>
        <v>37790.02933836</v>
      </c>
      <c r="M62" s="148"/>
      <c r="N62" s="149">
        <f>L62-H62</f>
        <v>-2025.733653215997</v>
      </c>
      <c r="O62" s="104">
        <f>IF((H62)=0,"",(N62/H62))</f>
        <v>-5.0877680119921116E-2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54</v>
      </c>
      <c r="C63" s="73"/>
      <c r="D63" s="73"/>
      <c r="E63" s="73"/>
      <c r="F63" s="106"/>
      <c r="G63" s="101"/>
      <c r="H63" s="142">
        <f>H61+H62</f>
        <v>346090.86292677594</v>
      </c>
      <c r="I63" s="102"/>
      <c r="J63" s="102"/>
      <c r="K63" s="102"/>
      <c r="L63" s="147">
        <f>L61+L62</f>
        <v>328482.56271035998</v>
      </c>
      <c r="M63" s="148"/>
      <c r="N63" s="149">
        <f>L63-H63</f>
        <v>-17608.300216415955</v>
      </c>
      <c r="O63" s="104">
        <f>IF((H63)=0,"",(N63/H63))</f>
        <v>-5.0877680119921068E-2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55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56</v>
      </c>
      <c r="C65" s="173"/>
      <c r="D65" s="173"/>
      <c r="E65" s="42"/>
      <c r="F65" s="43"/>
      <c r="G65" s="44"/>
      <c r="H65" s="45">
        <f>H63+H64</f>
        <v>346090.86292677594</v>
      </c>
      <c r="I65" s="46"/>
      <c r="J65" s="46"/>
      <c r="K65" s="46"/>
      <c r="L65" s="47">
        <f>L63+L64</f>
        <v>328482.56271035998</v>
      </c>
      <c r="M65" s="48"/>
      <c r="N65" s="49">
        <f>L65-H65</f>
        <v>-17608.300216415955</v>
      </c>
      <c r="O65" s="50">
        <f>IF((H65)=0,"",(N65/H65))</f>
        <v>-5.0877680119921068E-2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57</v>
      </c>
      <c r="C67" s="90"/>
      <c r="D67" s="90"/>
      <c r="E67" s="90"/>
      <c r="F67" s="109"/>
      <c r="G67" s="110"/>
      <c r="H67" s="152">
        <f>SUM(H58:H59,H50,H51:H54)</f>
        <v>317787.26801099995</v>
      </c>
      <c r="I67" s="111"/>
      <c r="J67" s="112"/>
      <c r="K67" s="112"/>
      <c r="L67" s="155">
        <f>SUM(L58:L59,L50,L51:L54)</f>
        <v>302202.40978499997</v>
      </c>
      <c r="M67" s="156"/>
      <c r="N67" s="157">
        <f>L67-H67</f>
        <v>-15584.858225999982</v>
      </c>
      <c r="O67" s="98">
        <f>IF((H67)=0,"",(N67/H67))</f>
        <v>-4.9041795549406735E-2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53</v>
      </c>
      <c r="C68" s="90"/>
      <c r="D68" s="90"/>
      <c r="E68" s="90"/>
      <c r="F68" s="114">
        <v>0.13</v>
      </c>
      <c r="G68" s="110"/>
      <c r="H68" s="153">
        <f>H67*F68</f>
        <v>41312.344841429993</v>
      </c>
      <c r="I68" s="115"/>
      <c r="J68" s="116">
        <v>0.13</v>
      </c>
      <c r="K68" s="117"/>
      <c r="L68" s="158">
        <f>L67*J68</f>
        <v>39286.31327205</v>
      </c>
      <c r="M68" s="159"/>
      <c r="N68" s="160">
        <f>L68-H68</f>
        <v>-2026.031569379993</v>
      </c>
      <c r="O68" s="104">
        <f>IF((H68)=0,"",(N68/H68))</f>
        <v>-4.9041795549406624E-2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54</v>
      </c>
      <c r="C69" s="90"/>
      <c r="D69" s="90"/>
      <c r="E69" s="90"/>
      <c r="F69" s="119"/>
      <c r="G69" s="120"/>
      <c r="H69" s="153">
        <f>H67+H68</f>
        <v>359099.61285242997</v>
      </c>
      <c r="I69" s="115"/>
      <c r="J69" s="115"/>
      <c r="K69" s="115"/>
      <c r="L69" s="158">
        <f>L67+L68</f>
        <v>341488.72305704997</v>
      </c>
      <c r="M69" s="159"/>
      <c r="N69" s="160">
        <f>L69-H69</f>
        <v>-17610.889795380004</v>
      </c>
      <c r="O69" s="104">
        <f>IF((H69)=0,"",(N69/H69))</f>
        <v>-4.9041795549406797E-2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55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58</v>
      </c>
      <c r="C71" s="173"/>
      <c r="D71" s="173"/>
      <c r="E71" s="42"/>
      <c r="F71" s="43"/>
      <c r="G71" s="44"/>
      <c r="H71" s="45">
        <f>SUM(H69:H70)</f>
        <v>359099.61285242997</v>
      </c>
      <c r="I71" s="46"/>
      <c r="J71" s="46"/>
      <c r="K71" s="46"/>
      <c r="L71" s="47">
        <f>SUM(L69:L70)</f>
        <v>341488.72305704997</v>
      </c>
      <c r="M71" s="48"/>
      <c r="N71" s="49">
        <f>L71-H71</f>
        <v>-17610.889795380004</v>
      </c>
      <c r="O71" s="50">
        <f>IF((H71)=0,"",(N71/H71))</f>
        <v>-4.9041795549406797E-2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59</v>
      </c>
      <c r="F74" s="51">
        <v>4.7000000000000002E-3</v>
      </c>
      <c r="J74" s="51">
        <v>4.4999999999999485E-3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60</v>
      </c>
    </row>
    <row r="79" spans="1:63" x14ac:dyDescent="0.3">
      <c r="A79" s="60" t="s">
        <v>61</v>
      </c>
    </row>
    <row r="80" spans="1:63" x14ac:dyDescent="0.3">
      <c r="A80" s="60" t="s">
        <v>62</v>
      </c>
    </row>
    <row r="82" spans="2:2" x14ac:dyDescent="0.3">
      <c r="B82" s="60" t="s">
        <v>63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1:D71"/>
    <mergeCell ref="D21:D22"/>
    <mergeCell ref="N21:N22"/>
    <mergeCell ref="O21:O22"/>
    <mergeCell ref="B64:D64"/>
    <mergeCell ref="B65:D65"/>
    <mergeCell ref="B70:D7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72 E66 E48:E49 E40:E46 E23:E38 E51:E60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</dataValidations>
  <pageMargins left="0.7" right="0.7" top="0.75" bottom="0.75" header="0.3" footer="0.3"/>
  <pageSetup scale="48" orientation="portrait" r:id="rId1"/>
  <ignoredErrors>
    <ignoredError sqref="F18:F1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73" r:id="rId4" name="Option Button 17">
              <controlPr defaultSize="0" autoFill="0" autoLine="0" autoPict="0">
                <anchor moveWithCells="1">
                  <from>
                    <xdr:col>5</xdr:col>
                    <xdr:colOff>563880</xdr:colOff>
                    <xdr:row>15</xdr:row>
                    <xdr:rowOff>7620</xdr:rowOff>
                  </from>
                  <to>
                    <xdr:col>7</xdr:col>
                    <xdr:colOff>388620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5" name="Option Button 18">
              <controlPr defaultSize="0" autoFill="0" autoLine="0" autoPict="0">
                <anchor moveWithCells="1">
                  <from>
                    <xdr:col>7</xdr:col>
                    <xdr:colOff>144780</xdr:colOff>
                    <xdr:row>15</xdr:row>
                    <xdr:rowOff>0</xdr:rowOff>
                  </from>
                  <to>
                    <xdr:col>14</xdr:col>
                    <xdr:colOff>670560</xdr:colOff>
                    <xdr:row>16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157"/>
  <sheetViews>
    <sheetView view="pageBreakPreview" topLeftCell="A153" zoomScale="80" zoomScaleNormal="80" zoomScaleSheetLayoutView="80" workbookViewId="0">
      <selection activeCell="K351" sqref="K351"/>
    </sheetView>
  </sheetViews>
  <sheetFormatPr defaultColWidth="9.109375" defaultRowHeight="14.4" x14ac:dyDescent="0.3"/>
  <cols>
    <col min="1" max="1" width="4.44140625" style="60" customWidth="1"/>
    <col min="2" max="2" width="45.3320312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2.44140625" style="60" bestFit="1" customWidth="1"/>
    <col min="9" max="9" width="2.88671875" style="60" customWidth="1"/>
    <col min="10" max="10" width="12.109375" style="60" customWidth="1"/>
    <col min="11" max="11" width="12.88671875" style="60" bestFit="1" customWidth="1"/>
    <col min="12" max="12" width="13.4414062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78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73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64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">
        <v>1</v>
      </c>
      <c r="G17" s="65" t="s">
        <v>74</v>
      </c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1</v>
      </c>
      <c r="G18" s="65" t="s">
        <v>65</v>
      </c>
    </row>
    <row r="19" spans="2:29" x14ac:dyDescent="0.3">
      <c r="B19" s="64"/>
      <c r="F19" s="6">
        <v>150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3.1</v>
      </c>
      <c r="G23" s="74">
        <f>+F17</f>
        <v>1</v>
      </c>
      <c r="H23" s="75">
        <f t="shared" ref="H23:H38" si="0">G23*F23</f>
        <v>3.1</v>
      </c>
      <c r="I23" s="76"/>
      <c r="J23" s="129">
        <v>4.18</v>
      </c>
      <c r="K23" s="170">
        <f>+F17/1.7</f>
        <v>0.58823529411764708</v>
      </c>
      <c r="L23" s="75">
        <f t="shared" ref="L23:L38" si="1">K23*J23</f>
        <v>2.4588235294117644</v>
      </c>
      <c r="M23" s="76"/>
      <c r="N23" s="78">
        <f t="shared" ref="N23:N59" si="2">L23-H23</f>
        <v>-0.64117647058823568</v>
      </c>
      <c r="O23" s="79">
        <f t="shared" ref="O23:O45" si="3">IF((H23)=0,"",(N23/H23))</f>
        <v>-0.20683111954459216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68</v>
      </c>
      <c r="E29" s="73"/>
      <c r="F29" s="135">
        <v>19.033799999999999</v>
      </c>
      <c r="G29" s="74">
        <f>$F18</f>
        <v>1</v>
      </c>
      <c r="H29" s="136">
        <f>G29*F29</f>
        <v>19.033799999999999</v>
      </c>
      <c r="I29" s="76"/>
      <c r="J29" s="132">
        <v>25.6462</v>
      </c>
      <c r="K29" s="74">
        <f>$F18</f>
        <v>1</v>
      </c>
      <c r="L29" s="136">
        <f>K29*J29</f>
        <v>25.6462</v>
      </c>
      <c r="M29" s="76"/>
      <c r="N29" s="137">
        <f t="shared" si="2"/>
        <v>6.6124000000000009</v>
      </c>
      <c r="O29" s="79">
        <f t="shared" si="3"/>
        <v>0.34740304090617752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68</v>
      </c>
      <c r="E31" s="73"/>
      <c r="F31" s="135"/>
      <c r="G31" s="74">
        <f t="shared" ref="G31" si="4">$F$18</f>
        <v>1</v>
      </c>
      <c r="H31" s="136">
        <f t="shared" si="0"/>
        <v>0</v>
      </c>
      <c r="I31" s="76"/>
      <c r="J31" s="132">
        <v>0</v>
      </c>
      <c r="K31" s="74">
        <f t="shared" ref="K31" si="5">$F$18</f>
        <v>1</v>
      </c>
      <c r="L31" s="136">
        <f t="shared" si="1"/>
        <v>0</v>
      </c>
      <c r="M31" s="76"/>
      <c r="N31" s="137">
        <f t="shared" si="2"/>
        <v>0</v>
      </c>
      <c r="O31" s="79" t="str">
        <f t="shared" si="3"/>
        <v/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68</v>
      </c>
      <c r="E32" s="73"/>
      <c r="F32" s="135">
        <v>1.2014</v>
      </c>
      <c r="G32" s="74">
        <f>$F18</f>
        <v>1</v>
      </c>
      <c r="H32" s="136">
        <f>G32*F32</f>
        <v>1.2014</v>
      </c>
      <c r="I32" s="76"/>
      <c r="J32" s="132"/>
      <c r="K32" s="74">
        <f>$F18</f>
        <v>1</v>
      </c>
      <c r="L32" s="136">
        <f t="shared" si="1"/>
        <v>0</v>
      </c>
      <c r="M32" s="76"/>
      <c r="N32" s="137">
        <f t="shared" si="2"/>
        <v>-1.2014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68</v>
      </c>
      <c r="E33" s="73"/>
      <c r="F33" s="135">
        <v>-0.40060000000000001</v>
      </c>
      <c r="G33" s="74">
        <f>$F18</f>
        <v>1</v>
      </c>
      <c r="H33" s="136">
        <f t="shared" si="0"/>
        <v>-0.40060000000000001</v>
      </c>
      <c r="I33" s="76"/>
      <c r="J33" s="132"/>
      <c r="K33" s="74">
        <f>$F18</f>
        <v>1</v>
      </c>
      <c r="L33" s="136">
        <f t="shared" si="1"/>
        <v>0</v>
      </c>
      <c r="M33" s="76"/>
      <c r="N33" s="137">
        <f t="shared" si="2"/>
        <v>0.40060000000000001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33</v>
      </c>
      <c r="C34" s="73"/>
      <c r="D34" s="7" t="s">
        <v>68</v>
      </c>
      <c r="E34" s="73"/>
      <c r="F34" s="135"/>
      <c r="G34" s="74">
        <f>$F18</f>
        <v>1</v>
      </c>
      <c r="H34" s="136">
        <f t="shared" si="0"/>
        <v>0</v>
      </c>
      <c r="I34" s="76"/>
      <c r="J34" s="132">
        <v>-4.4600000000000001E-2</v>
      </c>
      <c r="K34" s="74">
        <f>$F18</f>
        <v>1</v>
      </c>
      <c r="L34" s="136">
        <f t="shared" si="1"/>
        <v>-4.4600000000000001E-2</v>
      </c>
      <c r="M34" s="76"/>
      <c r="N34" s="137">
        <f t="shared" si="2"/>
        <v>-4.4600000000000001E-2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">
        <v>77</v>
      </c>
      <c r="C35" s="73"/>
      <c r="D35" s="7" t="s">
        <v>68</v>
      </c>
      <c r="E35" s="73"/>
      <c r="F35" s="134"/>
      <c r="G35" s="74">
        <f>$F18</f>
        <v>1</v>
      </c>
      <c r="H35" s="136">
        <f t="shared" si="0"/>
        <v>0</v>
      </c>
      <c r="I35" s="76"/>
      <c r="J35" s="132">
        <v>6.6400000000000001E-2</v>
      </c>
      <c r="K35" s="74">
        <f>$F18</f>
        <v>1</v>
      </c>
      <c r="L35" s="136">
        <f t="shared" si="1"/>
        <v>6.6400000000000001E-2</v>
      </c>
      <c r="M35" s="76"/>
      <c r="N35" s="137">
        <f t="shared" si="2"/>
        <v>6.6400000000000001E-2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/>
      <c r="C36" s="73"/>
      <c r="D36" s="7"/>
      <c r="E36" s="73"/>
      <c r="F36" s="134"/>
      <c r="G36" s="74">
        <f>$F18</f>
        <v>1</v>
      </c>
      <c r="H36" s="136">
        <f t="shared" si="0"/>
        <v>0</v>
      </c>
      <c r="I36" s="76"/>
      <c r="J36" s="132"/>
      <c r="K36" s="74">
        <f>$F18</f>
        <v>1</v>
      </c>
      <c r="L36" s="136">
        <f t="shared" si="1"/>
        <v>0</v>
      </c>
      <c r="M36" s="76"/>
      <c r="N36" s="137">
        <f t="shared" si="2"/>
        <v>0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>$F18</f>
        <v>1</v>
      </c>
      <c r="H37" s="136">
        <f t="shared" si="0"/>
        <v>0</v>
      </c>
      <c r="I37" s="76"/>
      <c r="J37" s="131"/>
      <c r="K37" s="74">
        <f>$F18</f>
        <v>1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1</v>
      </c>
      <c r="H38" s="136">
        <f t="shared" si="0"/>
        <v>0</v>
      </c>
      <c r="I38" s="76"/>
      <c r="J38" s="131"/>
      <c r="K38" s="74">
        <f>$F18</f>
        <v>1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34</v>
      </c>
      <c r="C39" s="20"/>
      <c r="D39" s="20"/>
      <c r="E39" s="20"/>
      <c r="F39" s="21"/>
      <c r="G39" s="22"/>
      <c r="H39" s="23">
        <f>SUM(H23:H38)</f>
        <v>22.9346</v>
      </c>
      <c r="I39" s="13"/>
      <c r="J39" s="14"/>
      <c r="K39" s="24"/>
      <c r="L39" s="23">
        <f>SUM(L23:L38)</f>
        <v>28.126823529411766</v>
      </c>
      <c r="M39" s="13"/>
      <c r="N39" s="15">
        <f t="shared" si="2"/>
        <v>5.1922235294117662</v>
      </c>
      <c r="O39" s="16">
        <f t="shared" si="3"/>
        <v>0.22639259151726066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35</v>
      </c>
      <c r="C40" s="73"/>
      <c r="D40" s="7" t="s">
        <v>68</v>
      </c>
      <c r="E40" s="73"/>
      <c r="F40" s="135">
        <v>9.4100000000000003E-2</v>
      </c>
      <c r="G40" s="74">
        <f>$F18</f>
        <v>1</v>
      </c>
      <c r="H40" s="136">
        <f t="shared" ref="H40:H46" si="6">G40*F40</f>
        <v>9.4100000000000003E-2</v>
      </c>
      <c r="I40" s="76"/>
      <c r="J40" s="135">
        <v>-0.58640000000000003</v>
      </c>
      <c r="K40" s="74">
        <f>$F18</f>
        <v>1</v>
      </c>
      <c r="L40" s="136">
        <f t="shared" ref="L40:L46" si="7">K40*J40</f>
        <v>-0.58640000000000003</v>
      </c>
      <c r="M40" s="76"/>
      <c r="N40" s="137">
        <f t="shared" si="2"/>
        <v>-0.68049999999999999</v>
      </c>
      <c r="O40" s="79">
        <f t="shared" si="3"/>
        <v>-7.2316684378320932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1</v>
      </c>
      <c r="H41" s="136">
        <f t="shared" si="6"/>
        <v>0</v>
      </c>
      <c r="I41" s="82"/>
      <c r="J41" s="8"/>
      <c r="K41" s="74">
        <f>$F18</f>
        <v>1</v>
      </c>
      <c r="L41" s="136">
        <f t="shared" si="7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1</v>
      </c>
      <c r="H42" s="136">
        <f t="shared" si="6"/>
        <v>0</v>
      </c>
      <c r="I42" s="82"/>
      <c r="J42" s="8"/>
      <c r="K42" s="74">
        <f>$F18</f>
        <v>1</v>
      </c>
      <c r="L42" s="136">
        <f t="shared" si="7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1</v>
      </c>
      <c r="H43" s="136">
        <f t="shared" si="6"/>
        <v>0</v>
      </c>
      <c r="I43" s="82"/>
      <c r="J43" s="8"/>
      <c r="K43" s="74">
        <f>$F18</f>
        <v>1</v>
      </c>
      <c r="L43" s="136">
        <f t="shared" si="7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36</v>
      </c>
      <c r="C44" s="73"/>
      <c r="D44" s="7" t="s">
        <v>68</v>
      </c>
      <c r="E44" s="73"/>
      <c r="F44" s="135">
        <v>5.16E-2</v>
      </c>
      <c r="G44" s="74">
        <f>$F18</f>
        <v>1</v>
      </c>
      <c r="H44" s="136">
        <f t="shared" si="6"/>
        <v>5.16E-2</v>
      </c>
      <c r="I44" s="76"/>
      <c r="J44" s="135">
        <v>0.1061</v>
      </c>
      <c r="K44" s="74">
        <f>$F18</f>
        <v>1</v>
      </c>
      <c r="L44" s="136">
        <f t="shared" si="7"/>
        <v>0.1061</v>
      </c>
      <c r="M44" s="76"/>
      <c r="N44" s="137">
        <f t="shared" si="2"/>
        <v>5.45E-2</v>
      </c>
      <c r="O44" s="79">
        <f t="shared" si="3"/>
        <v>1.056201550387597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37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7.4999999999999997E-2</v>
      </c>
      <c r="G45" s="18">
        <f>$F19*(1+$F74)-$F19</f>
        <v>5.6550000000000011</v>
      </c>
      <c r="H45" s="136">
        <f t="shared" si="6"/>
        <v>0.42412500000000009</v>
      </c>
      <c r="I45" s="76"/>
      <c r="J45" s="138">
        <f>+F45</f>
        <v>7.4999999999999997E-2</v>
      </c>
      <c r="K45" s="18">
        <f>$F19*(1+$J74)-$F19</f>
        <v>5.6400000000000148</v>
      </c>
      <c r="L45" s="136">
        <f t="shared" si="7"/>
        <v>0.4230000000000011</v>
      </c>
      <c r="M45" s="76"/>
      <c r="N45" s="137">
        <f t="shared" si="2"/>
        <v>-1.1249999999989879E-3</v>
      </c>
      <c r="O45" s="79">
        <f t="shared" si="3"/>
        <v>-2.6525198938968176E-3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38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6"/>
        <v>0</v>
      </c>
      <c r="I46" s="76"/>
      <c r="J46" s="138"/>
      <c r="K46" s="81">
        <v>1</v>
      </c>
      <c r="L46" s="136">
        <f t="shared" si="7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39</v>
      </c>
      <c r="C47" s="20"/>
      <c r="D47" s="20"/>
      <c r="E47" s="20"/>
      <c r="F47" s="21"/>
      <c r="G47" s="22"/>
      <c r="H47" s="23">
        <f>SUM(H40:H46)+H39</f>
        <v>23.504425000000001</v>
      </c>
      <c r="I47" s="13"/>
      <c r="J47" s="22"/>
      <c r="K47" s="24"/>
      <c r="L47" s="23">
        <f>SUM(L40:L46)+L39</f>
        <v>28.069523529411768</v>
      </c>
      <c r="M47" s="13"/>
      <c r="N47" s="15">
        <f t="shared" si="2"/>
        <v>4.5650985294117667</v>
      </c>
      <c r="O47" s="16">
        <f t="shared" ref="O47:O59" si="8">IF((H47)=0,"",(N47/H47))</f>
        <v>0.19422294012347746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40</v>
      </c>
      <c r="C48" s="76"/>
      <c r="D48" s="25" t="s">
        <v>68</v>
      </c>
      <c r="E48" s="76"/>
      <c r="F48" s="135">
        <v>2.3081</v>
      </c>
      <c r="G48" s="18">
        <f>F18*(1+F74)</f>
        <v>1.0377000000000001</v>
      </c>
      <c r="H48" s="136">
        <f>G48*F48</f>
        <v>2.3951153700000001</v>
      </c>
      <c r="I48" s="76"/>
      <c r="J48" s="135">
        <v>2.1707000000000001</v>
      </c>
      <c r="K48" s="18">
        <f>F18*(1+J74)</f>
        <v>1.0376000000000001</v>
      </c>
      <c r="L48" s="136">
        <f>K48*J48</f>
        <v>2.2523183200000001</v>
      </c>
      <c r="M48" s="76"/>
      <c r="N48" s="136">
        <f>L48-H48</f>
        <v>-0.14279704999999998</v>
      </c>
      <c r="O48" s="79">
        <f>IF((H48)=0,"",(N48/H48))</f>
        <v>-5.9620113414411424E-2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41</v>
      </c>
      <c r="C49" s="76"/>
      <c r="D49" s="25" t="s">
        <v>68</v>
      </c>
      <c r="E49" s="76"/>
      <c r="F49" s="135">
        <v>1.5656000000000001</v>
      </c>
      <c r="G49" s="18">
        <f>G48</f>
        <v>1.0377000000000001</v>
      </c>
      <c r="H49" s="136">
        <f>G49*F49</f>
        <v>1.6246231200000003</v>
      </c>
      <c r="I49" s="76"/>
      <c r="J49" s="135">
        <v>1.099</v>
      </c>
      <c r="K49" s="18">
        <f>K48</f>
        <v>1.0376000000000001</v>
      </c>
      <c r="L49" s="136">
        <f>K49*J49</f>
        <v>1.1403224000000001</v>
      </c>
      <c r="M49" s="76"/>
      <c r="N49" s="136">
        <f t="shared" si="2"/>
        <v>-0.48430072000000024</v>
      </c>
      <c r="O49" s="79">
        <f t="shared" si="8"/>
        <v>-0.29810034957522957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42</v>
      </c>
      <c r="C50" s="20"/>
      <c r="D50" s="20"/>
      <c r="E50" s="20"/>
      <c r="F50" s="21"/>
      <c r="G50" s="22"/>
      <c r="H50" s="23">
        <f>SUM(H47:H49)</f>
        <v>27.524163489999999</v>
      </c>
      <c r="I50" s="13"/>
      <c r="J50" s="26"/>
      <c r="K50" s="22"/>
      <c r="L50" s="23">
        <f>SUM(L47:L49)</f>
        <v>31.462164249411767</v>
      </c>
      <c r="M50" s="13"/>
      <c r="N50" s="15">
        <f t="shared" si="2"/>
        <v>3.9380007594117679</v>
      </c>
      <c r="O50" s="16">
        <f t="shared" si="8"/>
        <v>0.14307431217092251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43</v>
      </c>
      <c r="C51" s="73"/>
      <c r="D51" s="7" t="s">
        <v>27</v>
      </c>
      <c r="E51" s="73"/>
      <c r="F51" s="135">
        <v>4.4000000000000003E-3</v>
      </c>
      <c r="G51" s="18">
        <f>F19*(1+F74)</f>
        <v>155.655</v>
      </c>
      <c r="H51" s="139">
        <f t="shared" ref="H51:H59" si="9">G51*F51</f>
        <v>0.68488199999999999</v>
      </c>
      <c r="I51" s="76"/>
      <c r="J51" s="135">
        <f>+F51</f>
        <v>4.4000000000000003E-3</v>
      </c>
      <c r="K51" s="18">
        <f>F19*(1+J74)</f>
        <v>155.64000000000001</v>
      </c>
      <c r="L51" s="139">
        <f t="shared" ref="L51:L59" si="10">K51*J51</f>
        <v>0.68481600000000009</v>
      </c>
      <c r="M51" s="76"/>
      <c r="N51" s="137">
        <f t="shared" si="2"/>
        <v>-6.5999999999899472E-5</v>
      </c>
      <c r="O51" s="87">
        <f t="shared" si="8"/>
        <v>-9.6366965404112641E-5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44</v>
      </c>
      <c r="C52" s="73"/>
      <c r="D52" s="7" t="s">
        <v>27</v>
      </c>
      <c r="E52" s="73"/>
      <c r="F52" s="135">
        <v>1.1999999999999999E-3</v>
      </c>
      <c r="G52" s="18">
        <f>+G51</f>
        <v>155.655</v>
      </c>
      <c r="H52" s="139">
        <f t="shared" si="9"/>
        <v>0.18678599999999998</v>
      </c>
      <c r="I52" s="76"/>
      <c r="J52" s="135">
        <f>+F52</f>
        <v>1.1999999999999999E-3</v>
      </c>
      <c r="K52" s="18">
        <f>+K51</f>
        <v>155.64000000000001</v>
      </c>
      <c r="L52" s="139">
        <f t="shared" si="10"/>
        <v>0.18676799999999999</v>
      </c>
      <c r="M52" s="76"/>
      <c r="N52" s="137">
        <f t="shared" si="2"/>
        <v>-1.7999999999990246E-5</v>
      </c>
      <c r="O52" s="87">
        <f t="shared" si="8"/>
        <v>-9.6366965404207211E-5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45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9"/>
        <v>0.25</v>
      </c>
      <c r="I53" s="76"/>
      <c r="J53" s="135">
        <f>+F53</f>
        <v>0.25</v>
      </c>
      <c r="K53" s="77">
        <v>1</v>
      </c>
      <c r="L53" s="139">
        <f t="shared" si="10"/>
        <v>0.25</v>
      </c>
      <c r="M53" s="76"/>
      <c r="N53" s="137">
        <f t="shared" si="2"/>
        <v>0</v>
      </c>
      <c r="O53" s="87">
        <f t="shared" si="8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46</v>
      </c>
      <c r="C54" s="73"/>
      <c r="D54" s="7" t="s">
        <v>27</v>
      </c>
      <c r="E54" s="73"/>
      <c r="F54" s="135">
        <v>7.0000000000000001E-3</v>
      </c>
      <c r="G54" s="84">
        <f>F19</f>
        <v>150</v>
      </c>
      <c r="H54" s="139">
        <f t="shared" si="9"/>
        <v>1.05</v>
      </c>
      <c r="I54" s="76"/>
      <c r="J54" s="135">
        <f>+F54</f>
        <v>7.0000000000000001E-3</v>
      </c>
      <c r="K54" s="77">
        <f>F19</f>
        <v>150</v>
      </c>
      <c r="L54" s="139">
        <f t="shared" si="10"/>
        <v>1.05</v>
      </c>
      <c r="M54" s="76"/>
      <c r="N54" s="137">
        <f t="shared" si="2"/>
        <v>0</v>
      </c>
      <c r="O54" s="87">
        <f t="shared" si="8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47</v>
      </c>
      <c r="C55" s="73"/>
      <c r="D55" s="7" t="s">
        <v>27</v>
      </c>
      <c r="E55" s="73"/>
      <c r="F55" s="138">
        <v>6.7000000000000004E-2</v>
      </c>
      <c r="G55" s="27">
        <f>0.64*$F19</f>
        <v>96</v>
      </c>
      <c r="H55" s="139">
        <f t="shared" si="9"/>
        <v>6.4320000000000004</v>
      </c>
      <c r="I55" s="76"/>
      <c r="J55" s="138">
        <v>6.7000000000000004E-2</v>
      </c>
      <c r="K55" s="28">
        <f>G55</f>
        <v>96</v>
      </c>
      <c r="L55" s="139">
        <f t="shared" si="10"/>
        <v>6.4320000000000004</v>
      </c>
      <c r="M55" s="76"/>
      <c r="N55" s="137">
        <f t="shared" si="2"/>
        <v>0</v>
      </c>
      <c r="O55" s="87">
        <f t="shared" si="8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48</v>
      </c>
      <c r="C56" s="73"/>
      <c r="D56" s="7" t="s">
        <v>27</v>
      </c>
      <c r="E56" s="73"/>
      <c r="F56" s="138">
        <v>0.104</v>
      </c>
      <c r="G56" s="27">
        <f>0.18*$F19</f>
        <v>27</v>
      </c>
      <c r="H56" s="139">
        <f t="shared" si="9"/>
        <v>2.8079999999999998</v>
      </c>
      <c r="I56" s="76"/>
      <c r="J56" s="138">
        <v>0.104</v>
      </c>
      <c r="K56" s="28">
        <f>G56</f>
        <v>27</v>
      </c>
      <c r="L56" s="139">
        <f t="shared" si="10"/>
        <v>2.8079999999999998</v>
      </c>
      <c r="M56" s="76"/>
      <c r="N56" s="137">
        <f t="shared" si="2"/>
        <v>0</v>
      </c>
      <c r="O56" s="87">
        <f t="shared" si="8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49</v>
      </c>
      <c r="C57" s="73"/>
      <c r="D57" s="7" t="s">
        <v>27</v>
      </c>
      <c r="E57" s="73"/>
      <c r="F57" s="138">
        <v>0.124</v>
      </c>
      <c r="G57" s="27">
        <f>0.18*$F19</f>
        <v>27</v>
      </c>
      <c r="H57" s="139">
        <f t="shared" si="9"/>
        <v>3.3479999999999999</v>
      </c>
      <c r="I57" s="76"/>
      <c r="J57" s="138">
        <v>0.124</v>
      </c>
      <c r="K57" s="28">
        <f>G57</f>
        <v>27</v>
      </c>
      <c r="L57" s="139">
        <f t="shared" si="10"/>
        <v>3.3479999999999999</v>
      </c>
      <c r="M57" s="76"/>
      <c r="N57" s="137">
        <f t="shared" si="2"/>
        <v>0</v>
      </c>
      <c r="O57" s="87">
        <f t="shared" si="8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50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</f>
        <v>150</v>
      </c>
      <c r="H58" s="139">
        <f t="shared" si="9"/>
        <v>11.25</v>
      </c>
      <c r="I58" s="91"/>
      <c r="J58" s="138">
        <v>7.4999999999999997E-2</v>
      </c>
      <c r="K58" s="31">
        <f>G58</f>
        <v>150</v>
      </c>
      <c r="L58" s="139">
        <f t="shared" si="10"/>
        <v>11.25</v>
      </c>
      <c r="M58" s="91"/>
      <c r="N58" s="140">
        <f t="shared" si="2"/>
        <v>0</v>
      </c>
      <c r="O58" s="87">
        <f t="shared" si="8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51</v>
      </c>
      <c r="C59" s="90"/>
      <c r="D59" s="29" t="s">
        <v>27</v>
      </c>
      <c r="E59" s="90"/>
      <c r="F59" s="138">
        <v>8.7999999999999995E-2</v>
      </c>
      <c r="G59" s="30">
        <f>IF(AND($T$1=1, F19&gt;=750), F19-750, IF(AND($T$1=1, AND(F19&lt;750, F19&gt;=0)), 0, IF(AND($T$1=2, F19&gt;=750), F19-750, IF(AND($T$1=2, AND(F19&lt;750, F19&gt;=0)), 0))))</f>
        <v>0</v>
      </c>
      <c r="H59" s="139">
        <f t="shared" si="9"/>
        <v>0</v>
      </c>
      <c r="I59" s="91"/>
      <c r="J59" s="138">
        <v>8.7999999999999995E-2</v>
      </c>
      <c r="K59" s="31">
        <f>G59</f>
        <v>0</v>
      </c>
      <c r="L59" s="139">
        <f t="shared" si="10"/>
        <v>0</v>
      </c>
      <c r="M59" s="91"/>
      <c r="N59" s="140">
        <f t="shared" si="2"/>
        <v>0</v>
      </c>
      <c r="O59" s="87" t="str">
        <f t="shared" si="8"/>
        <v/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52</v>
      </c>
      <c r="C61" s="73"/>
      <c r="D61" s="73"/>
      <c r="E61" s="73"/>
      <c r="F61" s="94"/>
      <c r="G61" s="95"/>
      <c r="H61" s="141">
        <f>SUM(H51:H57,H50)</f>
        <v>42.283831489999997</v>
      </c>
      <c r="I61" s="96"/>
      <c r="J61" s="97"/>
      <c r="K61" s="97"/>
      <c r="L61" s="144">
        <f>SUM(L51:L57,L50)</f>
        <v>46.221748249411768</v>
      </c>
      <c r="M61" s="145"/>
      <c r="N61" s="146">
        <f>L61-H61</f>
        <v>3.9379167594117703</v>
      </c>
      <c r="O61" s="98">
        <f>IF((H61)=0,"",(N61/H61))</f>
        <v>9.3130556542471238E-2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53</v>
      </c>
      <c r="C62" s="73"/>
      <c r="D62" s="73"/>
      <c r="E62" s="73"/>
      <c r="F62" s="100">
        <v>0.13</v>
      </c>
      <c r="G62" s="101"/>
      <c r="H62" s="142">
        <f>H61*F62</f>
        <v>5.4968980936999996</v>
      </c>
      <c r="I62" s="102"/>
      <c r="J62" s="103">
        <v>0.13</v>
      </c>
      <c r="K62" s="102"/>
      <c r="L62" s="147">
        <f>L61*J62</f>
        <v>6.0088272724235301</v>
      </c>
      <c r="M62" s="148"/>
      <c r="N62" s="149">
        <f>L62-H62</f>
        <v>0.5119291787235305</v>
      </c>
      <c r="O62" s="104">
        <f>IF((H62)=0,"",(N62/H62))</f>
        <v>9.3130556542471293E-2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54</v>
      </c>
      <c r="C63" s="73"/>
      <c r="D63" s="73"/>
      <c r="E63" s="73"/>
      <c r="F63" s="106"/>
      <c r="G63" s="101"/>
      <c r="H63" s="142">
        <f>H61+H62</f>
        <v>47.780729583699994</v>
      </c>
      <c r="I63" s="102"/>
      <c r="J63" s="102"/>
      <c r="K63" s="102"/>
      <c r="L63" s="147">
        <f>L61+L62</f>
        <v>52.230575521835299</v>
      </c>
      <c r="M63" s="148"/>
      <c r="N63" s="149">
        <f>L63-H63</f>
        <v>4.4498459381353044</v>
      </c>
      <c r="O63" s="104">
        <f>IF((H63)=0,"",(N63/H63))</f>
        <v>9.3130556542471321E-2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55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56</v>
      </c>
      <c r="C65" s="173"/>
      <c r="D65" s="173"/>
      <c r="E65" s="42"/>
      <c r="F65" s="43"/>
      <c r="G65" s="44"/>
      <c r="H65" s="45">
        <f>H63+H64</f>
        <v>47.780729583699994</v>
      </c>
      <c r="I65" s="46"/>
      <c r="J65" s="46"/>
      <c r="K65" s="46"/>
      <c r="L65" s="47">
        <f>L63+L64</f>
        <v>52.230575521835299</v>
      </c>
      <c r="M65" s="48"/>
      <c r="N65" s="49">
        <f>L65-H65</f>
        <v>4.4498459381353044</v>
      </c>
      <c r="O65" s="50">
        <f>IF((H65)=0,"",(N65/H65))</f>
        <v>9.3130556542471321E-2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57</v>
      </c>
      <c r="C67" s="90"/>
      <c r="D67" s="90"/>
      <c r="E67" s="90"/>
      <c r="F67" s="109"/>
      <c r="G67" s="110"/>
      <c r="H67" s="152">
        <f>SUM(H58:H59,H50,H51:H54)</f>
        <v>40.945831489999996</v>
      </c>
      <c r="I67" s="111"/>
      <c r="J67" s="112"/>
      <c r="K67" s="112"/>
      <c r="L67" s="155">
        <f>SUM(L58:L59,L50,L51:L54)</f>
        <v>44.883748249411767</v>
      </c>
      <c r="M67" s="156"/>
      <c r="N67" s="157">
        <f>L67-H67</f>
        <v>3.9379167594117703</v>
      </c>
      <c r="O67" s="98">
        <f>IF((H67)=0,"",(N67/H67))</f>
        <v>9.6173813453355045E-2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53</v>
      </c>
      <c r="C68" s="90"/>
      <c r="D68" s="90"/>
      <c r="E68" s="90"/>
      <c r="F68" s="114">
        <v>0.13</v>
      </c>
      <c r="G68" s="110"/>
      <c r="H68" s="153">
        <f>H67*F68</f>
        <v>5.3229580936999996</v>
      </c>
      <c r="I68" s="115"/>
      <c r="J68" s="116">
        <v>0.13</v>
      </c>
      <c r="K68" s="117"/>
      <c r="L68" s="158">
        <f>L67*J68</f>
        <v>5.8348872724235301</v>
      </c>
      <c r="M68" s="159"/>
      <c r="N68" s="160">
        <f>L68-H68</f>
        <v>0.5119291787235305</v>
      </c>
      <c r="O68" s="104">
        <f>IF((H68)=0,"",(N68/H68))</f>
        <v>9.6173813453355114E-2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54</v>
      </c>
      <c r="C69" s="90"/>
      <c r="D69" s="90"/>
      <c r="E69" s="90"/>
      <c r="F69" s="119"/>
      <c r="G69" s="120"/>
      <c r="H69" s="153">
        <f>H67+H68</f>
        <v>46.268789583699999</v>
      </c>
      <c r="I69" s="115"/>
      <c r="J69" s="115"/>
      <c r="K69" s="115"/>
      <c r="L69" s="158">
        <f>L67+L68</f>
        <v>50.718635521835296</v>
      </c>
      <c r="M69" s="159"/>
      <c r="N69" s="160">
        <f>L69-H69</f>
        <v>4.4498459381352973</v>
      </c>
      <c r="O69" s="104">
        <f>IF((H69)=0,"",(N69/H69))</f>
        <v>9.6173813453354975E-2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55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58</v>
      </c>
      <c r="C71" s="173"/>
      <c r="D71" s="173"/>
      <c r="E71" s="42"/>
      <c r="F71" s="43"/>
      <c r="G71" s="44"/>
      <c r="H71" s="45">
        <f>SUM(H69:H70)</f>
        <v>46.268789583699999</v>
      </c>
      <c r="I71" s="46"/>
      <c r="J71" s="46"/>
      <c r="K71" s="46"/>
      <c r="L71" s="47">
        <f>SUM(L69:L70)</f>
        <v>50.718635521835296</v>
      </c>
      <c r="M71" s="48"/>
      <c r="N71" s="49">
        <f>L71-H71</f>
        <v>4.4498459381352973</v>
      </c>
      <c r="O71" s="50">
        <f>IF((H71)=0,"",(N71/H71))</f>
        <v>9.6173813453354975E-2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59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60</v>
      </c>
    </row>
    <row r="79" spans="1:63" x14ac:dyDescent="0.3">
      <c r="A79" s="60" t="s">
        <v>61</v>
      </c>
    </row>
    <row r="80" spans="1:63" x14ac:dyDescent="0.3">
      <c r="A80" s="60" t="s">
        <v>62</v>
      </c>
    </row>
    <row r="82" spans="2:29" x14ac:dyDescent="0.3">
      <c r="B82" s="60" t="s">
        <v>63</v>
      </c>
    </row>
    <row r="85" spans="2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2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2:29" ht="7.5" customHeight="1" x14ac:dyDescent="0.3">
      <c r="L87" s="56"/>
      <c r="M87" s="56"/>
      <c r="N87" s="56"/>
      <c r="O87" s="56"/>
      <c r="P87" s="56"/>
    </row>
    <row r="88" spans="2:29" ht="7.5" customHeight="1" x14ac:dyDescent="0.3">
      <c r="L88" s="56"/>
      <c r="M88" s="56"/>
      <c r="N88" s="56"/>
      <c r="O88" s="56"/>
      <c r="P88" s="56"/>
    </row>
    <row r="89" spans="2:29" ht="15.6" x14ac:dyDescent="0.3">
      <c r="B89" s="61" t="s">
        <v>8</v>
      </c>
      <c r="D89" s="185" t="s">
        <v>73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2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2:29" ht="15.6" x14ac:dyDescent="0.3">
      <c r="B91" s="61" t="s">
        <v>9</v>
      </c>
      <c r="D91" s="5" t="s">
        <v>64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2:29" ht="15.6" x14ac:dyDescent="0.3">
      <c r="B92" s="62"/>
      <c r="D92" s="63"/>
      <c r="E92" s="63"/>
      <c r="F92" s="6">
        <v>15600</v>
      </c>
      <c r="G92" s="65" t="s">
        <v>74</v>
      </c>
      <c r="H92" s="63"/>
      <c r="I92" s="63"/>
      <c r="J92" s="63"/>
      <c r="K92" s="63"/>
      <c r="L92" s="63"/>
      <c r="M92" s="63"/>
      <c r="N92" s="63"/>
      <c r="O92" s="63"/>
    </row>
    <row r="93" spans="2:29" x14ac:dyDescent="0.3">
      <c r="B93" s="64"/>
      <c r="D93" s="65" t="s">
        <v>11</v>
      </c>
      <c r="E93" s="65"/>
      <c r="F93" s="6">
        <v>2000</v>
      </c>
      <c r="G93" s="65" t="s">
        <v>65</v>
      </c>
    </row>
    <row r="94" spans="2:29" x14ac:dyDescent="0.3">
      <c r="B94" s="64"/>
      <c r="F94" s="6">
        <v>700000</v>
      </c>
      <c r="G94" s="65" t="s">
        <v>12</v>
      </c>
    </row>
    <row r="95" spans="2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2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23</v>
      </c>
      <c r="C98" s="73"/>
      <c r="D98" s="7" t="s">
        <v>24</v>
      </c>
      <c r="E98" s="73"/>
      <c r="F98" s="129">
        <v>3.1</v>
      </c>
      <c r="G98" s="74">
        <f>+F92</f>
        <v>15600</v>
      </c>
      <c r="H98" s="75">
        <f t="shared" ref="H98:H113" si="11">G98*F98</f>
        <v>48360</v>
      </c>
      <c r="I98" s="76"/>
      <c r="J98" s="129">
        <v>4.18</v>
      </c>
      <c r="K98" s="77">
        <f>+F92/1.7</f>
        <v>9176.4705882352937</v>
      </c>
      <c r="L98" s="75">
        <f t="shared" ref="L98:L113" si="12">K98*J98</f>
        <v>38357.647058823524</v>
      </c>
      <c r="M98" s="76"/>
      <c r="N98" s="78">
        <f t="shared" ref="N98:N134" si="13">L98-H98</f>
        <v>-10002.352941176476</v>
      </c>
      <c r="O98" s="79">
        <f t="shared" ref="O98:O120" si="14">IF((H98)=0,"",(N98/H98))</f>
        <v>-0.20683111954459213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73" t="s">
        <v>25</v>
      </c>
      <c r="C99" s="73"/>
      <c r="D99" s="7" t="s">
        <v>24</v>
      </c>
      <c r="E99" s="73"/>
      <c r="F99" s="133"/>
      <c r="G99" s="74">
        <v>1</v>
      </c>
      <c r="H99" s="136">
        <f t="shared" si="11"/>
        <v>0</v>
      </c>
      <c r="I99" s="76"/>
      <c r="J99" s="130"/>
      <c r="K99" s="77">
        <v>1</v>
      </c>
      <c r="L99" s="136">
        <f t="shared" si="12"/>
        <v>0</v>
      </c>
      <c r="M99" s="76"/>
      <c r="N99" s="137">
        <f t="shared" si="13"/>
        <v>0</v>
      </c>
      <c r="O99" s="79" t="str">
        <f t="shared" si="14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11"/>
        <v>0</v>
      </c>
      <c r="I100" s="76"/>
      <c r="J100" s="131"/>
      <c r="K100" s="77">
        <v>1</v>
      </c>
      <c r="L100" s="136">
        <f t="shared" si="12"/>
        <v>0</v>
      </c>
      <c r="M100" s="76"/>
      <c r="N100" s="137">
        <f t="shared" si="13"/>
        <v>0</v>
      </c>
      <c r="O100" s="79" t="str">
        <f t="shared" si="14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9"/>
      <c r="C101" s="73"/>
      <c r="D101" s="7"/>
      <c r="E101" s="73"/>
      <c r="F101" s="134"/>
      <c r="G101" s="74">
        <v>1</v>
      </c>
      <c r="H101" s="136">
        <f t="shared" si="11"/>
        <v>0</v>
      </c>
      <c r="I101" s="76"/>
      <c r="J101" s="131"/>
      <c r="K101" s="77">
        <v>1</v>
      </c>
      <c r="L101" s="136">
        <f t="shared" si="12"/>
        <v>0</v>
      </c>
      <c r="M101" s="76"/>
      <c r="N101" s="137">
        <f t="shared" si="13"/>
        <v>0</v>
      </c>
      <c r="O101" s="79" t="str">
        <f t="shared" si="14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11"/>
        <v>0</v>
      </c>
      <c r="I102" s="76"/>
      <c r="J102" s="131"/>
      <c r="K102" s="77">
        <v>1</v>
      </c>
      <c r="L102" s="136">
        <f t="shared" si="12"/>
        <v>0</v>
      </c>
      <c r="M102" s="76"/>
      <c r="N102" s="137">
        <f t="shared" si="13"/>
        <v>0</v>
      </c>
      <c r="O102" s="79" t="str">
        <f t="shared" si="14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10"/>
      <c r="C103" s="73"/>
      <c r="D103" s="7"/>
      <c r="E103" s="73"/>
      <c r="F103" s="134"/>
      <c r="G103" s="74">
        <v>1</v>
      </c>
      <c r="H103" s="136">
        <f t="shared" si="11"/>
        <v>0</v>
      </c>
      <c r="I103" s="76"/>
      <c r="J103" s="131"/>
      <c r="K103" s="77">
        <v>1</v>
      </c>
      <c r="L103" s="136">
        <f t="shared" si="12"/>
        <v>0</v>
      </c>
      <c r="M103" s="76"/>
      <c r="N103" s="137">
        <f t="shared" si="13"/>
        <v>0</v>
      </c>
      <c r="O103" s="79" t="str">
        <f t="shared" si="14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26</v>
      </c>
      <c r="C104" s="73"/>
      <c r="D104" s="7" t="s">
        <v>68</v>
      </c>
      <c r="E104" s="73"/>
      <c r="F104" s="135">
        <v>19.033799999999999</v>
      </c>
      <c r="G104" s="74">
        <f>$F93</f>
        <v>2000</v>
      </c>
      <c r="H104" s="136">
        <f t="shared" si="11"/>
        <v>38067.599999999999</v>
      </c>
      <c r="I104" s="76"/>
      <c r="J104" s="132">
        <v>25.6462</v>
      </c>
      <c r="K104" s="74">
        <f>$F93</f>
        <v>2000</v>
      </c>
      <c r="L104" s="136">
        <f t="shared" si="12"/>
        <v>51292.4</v>
      </c>
      <c r="M104" s="76"/>
      <c r="N104" s="137">
        <f t="shared" si="13"/>
        <v>13224.800000000003</v>
      </c>
      <c r="O104" s="79">
        <f t="shared" si="14"/>
        <v>0.34740304090617752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28</v>
      </c>
      <c r="C105" s="73"/>
      <c r="D105" s="7" t="s">
        <v>24</v>
      </c>
      <c r="E105" s="73"/>
      <c r="F105" s="135"/>
      <c r="G105" s="74">
        <v>1</v>
      </c>
      <c r="H105" s="136">
        <f t="shared" si="11"/>
        <v>0</v>
      </c>
      <c r="I105" s="76"/>
      <c r="J105" s="132"/>
      <c r="K105" s="74">
        <v>1</v>
      </c>
      <c r="L105" s="136">
        <f t="shared" si="12"/>
        <v>0</v>
      </c>
      <c r="M105" s="76"/>
      <c r="N105" s="137">
        <f t="shared" si="13"/>
        <v>0</v>
      </c>
      <c r="O105" s="79" t="str">
        <f t="shared" si="14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29</v>
      </c>
      <c r="C106" s="73"/>
      <c r="D106" s="7" t="s">
        <v>68</v>
      </c>
      <c r="E106" s="73"/>
      <c r="F106" s="135"/>
      <c r="G106" s="74">
        <f t="shared" ref="G106" si="15">$F$18</f>
        <v>1</v>
      </c>
      <c r="H106" s="136">
        <f t="shared" si="11"/>
        <v>0</v>
      </c>
      <c r="I106" s="76"/>
      <c r="J106" s="132">
        <v>0</v>
      </c>
      <c r="K106" s="74">
        <f t="shared" ref="K106" si="16">$F$18</f>
        <v>1</v>
      </c>
      <c r="L106" s="136">
        <f t="shared" si="12"/>
        <v>0</v>
      </c>
      <c r="M106" s="76"/>
      <c r="N106" s="137">
        <f t="shared" si="13"/>
        <v>0</v>
      </c>
      <c r="O106" s="79" t="str">
        <f t="shared" si="14"/>
        <v/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30</v>
      </c>
      <c r="C107" s="73"/>
      <c r="D107" s="7" t="s">
        <v>68</v>
      </c>
      <c r="E107" s="73"/>
      <c r="F107" s="135">
        <v>1.2014</v>
      </c>
      <c r="G107" s="74">
        <f>$F93</f>
        <v>2000</v>
      </c>
      <c r="H107" s="136">
        <f t="shared" si="11"/>
        <v>2402.8000000000002</v>
      </c>
      <c r="I107" s="76"/>
      <c r="J107" s="132"/>
      <c r="K107" s="74">
        <f>$F93</f>
        <v>2000</v>
      </c>
      <c r="L107" s="136">
        <f t="shared" si="12"/>
        <v>0</v>
      </c>
      <c r="M107" s="76"/>
      <c r="N107" s="137">
        <f t="shared" si="13"/>
        <v>-2402.8000000000002</v>
      </c>
      <c r="O107" s="79">
        <f t="shared" si="14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31</v>
      </c>
      <c r="C108" s="73"/>
      <c r="D108" s="7" t="s">
        <v>68</v>
      </c>
      <c r="E108" s="73"/>
      <c r="F108" s="135">
        <v>-0.40060000000000001</v>
      </c>
      <c r="G108" s="74">
        <f>$F93</f>
        <v>2000</v>
      </c>
      <c r="H108" s="136">
        <f t="shared" si="11"/>
        <v>-801.2</v>
      </c>
      <c r="I108" s="76"/>
      <c r="J108" s="132"/>
      <c r="K108" s="74">
        <f>$F93</f>
        <v>2000</v>
      </c>
      <c r="L108" s="136">
        <f t="shared" si="12"/>
        <v>0</v>
      </c>
      <c r="M108" s="76"/>
      <c r="N108" s="137">
        <f t="shared" si="13"/>
        <v>801.2</v>
      </c>
      <c r="O108" s="79">
        <f t="shared" si="14"/>
        <v>-1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1" t="s">
        <v>33</v>
      </c>
      <c r="C109" s="73"/>
      <c r="D109" s="7" t="s">
        <v>68</v>
      </c>
      <c r="E109" s="73"/>
      <c r="F109" s="135"/>
      <c r="G109" s="74">
        <f>$F93</f>
        <v>2000</v>
      </c>
      <c r="H109" s="136">
        <f t="shared" si="11"/>
        <v>0</v>
      </c>
      <c r="I109" s="76"/>
      <c r="J109" s="132">
        <v>-4.4600000000000001E-2</v>
      </c>
      <c r="K109" s="74">
        <f>$F93</f>
        <v>2000</v>
      </c>
      <c r="L109" s="136">
        <f t="shared" si="12"/>
        <v>-89.2</v>
      </c>
      <c r="M109" s="76"/>
      <c r="N109" s="137">
        <f t="shared" si="13"/>
        <v>-89.2</v>
      </c>
      <c r="O109" s="79" t="str">
        <f t="shared" si="14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">
        <v>77</v>
      </c>
      <c r="C110" s="73"/>
      <c r="D110" s="7" t="s">
        <v>68</v>
      </c>
      <c r="E110" s="73"/>
      <c r="F110" s="134"/>
      <c r="G110" s="74">
        <f>$F93</f>
        <v>2000</v>
      </c>
      <c r="H110" s="136">
        <f t="shared" si="11"/>
        <v>0</v>
      </c>
      <c r="I110" s="76"/>
      <c r="J110" s="132">
        <v>6.6400000000000001E-2</v>
      </c>
      <c r="K110" s="74">
        <f>$F93</f>
        <v>2000</v>
      </c>
      <c r="L110" s="136">
        <f t="shared" si="12"/>
        <v>132.80000000000001</v>
      </c>
      <c r="M110" s="76"/>
      <c r="N110" s="137">
        <f t="shared" si="13"/>
        <v>132.80000000000001</v>
      </c>
      <c r="O110" s="79" t="str">
        <f t="shared" si="14"/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/>
      <c r="C111" s="73"/>
      <c r="D111" s="7"/>
      <c r="E111" s="73"/>
      <c r="F111" s="134"/>
      <c r="G111" s="74">
        <f>$F93</f>
        <v>2000</v>
      </c>
      <c r="H111" s="136">
        <f t="shared" si="11"/>
        <v>0</v>
      </c>
      <c r="I111" s="76"/>
      <c r="J111" s="132"/>
      <c r="K111" s="74">
        <f>$F93</f>
        <v>2000</v>
      </c>
      <c r="L111" s="136">
        <f t="shared" si="12"/>
        <v>0</v>
      </c>
      <c r="M111" s="76"/>
      <c r="N111" s="137">
        <f t="shared" si="13"/>
        <v>0</v>
      </c>
      <c r="O111" s="79" t="str">
        <f t="shared" si="14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/>
      <c r="C112" s="73"/>
      <c r="D112" s="7"/>
      <c r="E112" s="73"/>
      <c r="F112" s="131"/>
      <c r="G112" s="74">
        <f>$F93</f>
        <v>2000</v>
      </c>
      <c r="H112" s="136">
        <f t="shared" si="11"/>
        <v>0</v>
      </c>
      <c r="I112" s="76"/>
      <c r="J112" s="131"/>
      <c r="K112" s="74">
        <f>$F93</f>
        <v>2000</v>
      </c>
      <c r="L112" s="136">
        <f t="shared" si="12"/>
        <v>0</v>
      </c>
      <c r="M112" s="76"/>
      <c r="N112" s="137">
        <f t="shared" si="13"/>
        <v>0</v>
      </c>
      <c r="O112" s="79" t="str">
        <f t="shared" si="14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/>
      <c r="C113" s="73"/>
      <c r="D113" s="7"/>
      <c r="E113" s="73"/>
      <c r="F113" s="131"/>
      <c r="G113" s="74">
        <f>$F93</f>
        <v>2000</v>
      </c>
      <c r="H113" s="136">
        <f t="shared" si="11"/>
        <v>0</v>
      </c>
      <c r="I113" s="76"/>
      <c r="J113" s="131"/>
      <c r="K113" s="74">
        <f>$F93</f>
        <v>2000</v>
      </c>
      <c r="L113" s="136">
        <f t="shared" si="12"/>
        <v>0</v>
      </c>
      <c r="M113" s="76"/>
      <c r="N113" s="137">
        <f t="shared" si="13"/>
        <v>0</v>
      </c>
      <c r="O113" s="79" t="str">
        <f t="shared" si="14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s="4" customFormat="1" x14ac:dyDescent="0.3">
      <c r="A114" s="60"/>
      <c r="B114" s="19" t="s">
        <v>34</v>
      </c>
      <c r="C114" s="20"/>
      <c r="D114" s="20"/>
      <c r="E114" s="20"/>
      <c r="F114" s="21"/>
      <c r="G114" s="22"/>
      <c r="H114" s="23">
        <f>SUM(H98:H113)</f>
        <v>88029.200000000012</v>
      </c>
      <c r="I114" s="13"/>
      <c r="J114" s="14"/>
      <c r="K114" s="24"/>
      <c r="L114" s="23">
        <f>SUM(L98:L113)</f>
        <v>89693.647058823524</v>
      </c>
      <c r="M114" s="13"/>
      <c r="N114" s="15">
        <f t="shared" si="13"/>
        <v>1664.4470588235126</v>
      </c>
      <c r="O114" s="16">
        <f t="shared" si="14"/>
        <v>1.8907897138943811E-2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35</v>
      </c>
      <c r="C115" s="73"/>
      <c r="D115" s="7" t="s">
        <v>68</v>
      </c>
      <c r="E115" s="73"/>
      <c r="F115" s="135">
        <v>9.4100000000000003E-2</v>
      </c>
      <c r="G115" s="74">
        <f>$F93</f>
        <v>2000</v>
      </c>
      <c r="H115" s="136">
        <f t="shared" ref="H115:H121" si="17">G115*F115</f>
        <v>188.20000000000002</v>
      </c>
      <c r="I115" s="76"/>
      <c r="J115" s="135">
        <v>-0.58640000000000003</v>
      </c>
      <c r="K115" s="74">
        <f>$F93</f>
        <v>2000</v>
      </c>
      <c r="L115" s="136">
        <f t="shared" ref="L115:L121" si="18">K115*J115</f>
        <v>-1172.8</v>
      </c>
      <c r="M115" s="76"/>
      <c r="N115" s="137">
        <f t="shared" si="13"/>
        <v>-1361</v>
      </c>
      <c r="O115" s="79">
        <f t="shared" si="14"/>
        <v>-7.2316684378320932</v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>$F93</f>
        <v>2000</v>
      </c>
      <c r="H116" s="136">
        <f t="shared" si="17"/>
        <v>0</v>
      </c>
      <c r="I116" s="82"/>
      <c r="J116" s="8"/>
      <c r="K116" s="74">
        <f>$F93</f>
        <v>2000</v>
      </c>
      <c r="L116" s="136">
        <f t="shared" si="18"/>
        <v>0</v>
      </c>
      <c r="M116" s="83"/>
      <c r="N116" s="137">
        <f t="shared" si="13"/>
        <v>0</v>
      </c>
      <c r="O116" s="79" t="str">
        <f t="shared" si="14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>$F93</f>
        <v>2000</v>
      </c>
      <c r="H117" s="136">
        <f t="shared" si="17"/>
        <v>0</v>
      </c>
      <c r="I117" s="82"/>
      <c r="J117" s="8"/>
      <c r="K117" s="74">
        <f>$F93</f>
        <v>2000</v>
      </c>
      <c r="L117" s="136">
        <f t="shared" si="18"/>
        <v>0</v>
      </c>
      <c r="M117" s="83"/>
      <c r="N117" s="137">
        <f t="shared" si="13"/>
        <v>0</v>
      </c>
      <c r="O117" s="79" t="str">
        <f t="shared" si="14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>$F93</f>
        <v>2000</v>
      </c>
      <c r="H118" s="136">
        <f t="shared" si="17"/>
        <v>0</v>
      </c>
      <c r="I118" s="82"/>
      <c r="J118" s="8"/>
      <c r="K118" s="74">
        <f>$F93</f>
        <v>2000</v>
      </c>
      <c r="L118" s="136">
        <f t="shared" si="18"/>
        <v>0</v>
      </c>
      <c r="M118" s="83"/>
      <c r="N118" s="137">
        <f t="shared" si="13"/>
        <v>0</v>
      </c>
      <c r="O118" s="79" t="str">
        <f t="shared" si="14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36</v>
      </c>
      <c r="C119" s="73"/>
      <c r="D119" s="7" t="s">
        <v>68</v>
      </c>
      <c r="E119" s="73"/>
      <c r="F119" s="135">
        <v>5.16E-2</v>
      </c>
      <c r="G119" s="74">
        <f>$F93</f>
        <v>2000</v>
      </c>
      <c r="H119" s="136">
        <f t="shared" si="17"/>
        <v>103.2</v>
      </c>
      <c r="I119" s="76"/>
      <c r="J119" s="135">
        <v>0.1061</v>
      </c>
      <c r="K119" s="74">
        <f>$F93</f>
        <v>2000</v>
      </c>
      <c r="L119" s="136">
        <f t="shared" si="18"/>
        <v>212.2</v>
      </c>
      <c r="M119" s="76"/>
      <c r="N119" s="137">
        <f t="shared" si="13"/>
        <v>108.99999999999999</v>
      </c>
      <c r="O119" s="79">
        <f t="shared" si="14"/>
        <v>1.0562015503875968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37</v>
      </c>
      <c r="C120" s="73"/>
      <c r="D120" s="7" t="s">
        <v>27</v>
      </c>
      <c r="E120" s="73"/>
      <c r="F120" s="138"/>
      <c r="G120" s="18">
        <f>$F94*(1+$F149)-$F94</f>
        <v>26390</v>
      </c>
      <c r="H120" s="136">
        <f t="shared" si="17"/>
        <v>0</v>
      </c>
      <c r="I120" s="76"/>
      <c r="J120" s="138"/>
      <c r="K120" s="18">
        <f>$F94*(1+$J149)-$F94</f>
        <v>26320</v>
      </c>
      <c r="L120" s="136">
        <f t="shared" si="18"/>
        <v>0</v>
      </c>
      <c r="M120" s="76"/>
      <c r="N120" s="137">
        <f t="shared" si="13"/>
        <v>0</v>
      </c>
      <c r="O120" s="79" t="str">
        <f t="shared" si="14"/>
        <v/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38</v>
      </c>
      <c r="C121" s="73"/>
      <c r="D121" s="7" t="s">
        <v>24</v>
      </c>
      <c r="E121" s="73"/>
      <c r="F121" s="138">
        <v>0</v>
      </c>
      <c r="G121" s="74">
        <v>1</v>
      </c>
      <c r="H121" s="136">
        <f t="shared" si="17"/>
        <v>0</v>
      </c>
      <c r="I121" s="76"/>
      <c r="J121" s="138"/>
      <c r="K121" s="81">
        <v>1</v>
      </c>
      <c r="L121" s="136">
        <f t="shared" si="18"/>
        <v>0</v>
      </c>
      <c r="M121" s="76"/>
      <c r="N121" s="137">
        <f t="shared" si="13"/>
        <v>0</v>
      </c>
      <c r="O121" s="79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s="4" customFormat="1" x14ac:dyDescent="0.3">
      <c r="A122" s="60"/>
      <c r="B122" s="19" t="s">
        <v>39</v>
      </c>
      <c r="C122" s="20"/>
      <c r="D122" s="20"/>
      <c r="E122" s="20"/>
      <c r="F122" s="21"/>
      <c r="G122" s="22"/>
      <c r="H122" s="23">
        <f>SUM(H115:H121)+H114</f>
        <v>88320.6</v>
      </c>
      <c r="I122" s="13"/>
      <c r="J122" s="22"/>
      <c r="K122" s="24"/>
      <c r="L122" s="23">
        <f>SUM(L115:L121)+L114</f>
        <v>88733.047058823518</v>
      </c>
      <c r="M122" s="13"/>
      <c r="N122" s="15">
        <f t="shared" si="13"/>
        <v>412.44705882351263</v>
      </c>
      <c r="O122" s="16">
        <f t="shared" ref="O122:O134" si="19">IF((H122)=0,"",(N122/H122))</f>
        <v>4.6698851550319243E-3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40</v>
      </c>
      <c r="C123" s="76"/>
      <c r="D123" s="25" t="s">
        <v>68</v>
      </c>
      <c r="E123" s="76"/>
      <c r="F123" s="135">
        <v>2.3081</v>
      </c>
      <c r="G123" s="18">
        <f>F93*(1+F149)</f>
        <v>2075.4</v>
      </c>
      <c r="H123" s="136">
        <f>G123*F123</f>
        <v>4790.23074</v>
      </c>
      <c r="I123" s="76"/>
      <c r="J123" s="135">
        <v>2.1707000000000001</v>
      </c>
      <c r="K123" s="18">
        <f>F93*(1+J149)</f>
        <v>2075.2000000000003</v>
      </c>
      <c r="L123" s="136">
        <f>K123*J123</f>
        <v>4504.6366400000006</v>
      </c>
      <c r="M123" s="76"/>
      <c r="N123" s="168">
        <f t="shared" si="13"/>
        <v>-285.59409999999934</v>
      </c>
      <c r="O123" s="79">
        <f t="shared" si="19"/>
        <v>-5.9620113414411292E-2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x14ac:dyDescent="0.3">
      <c r="B124" s="85" t="s">
        <v>41</v>
      </c>
      <c r="C124" s="76"/>
      <c r="D124" s="25" t="s">
        <v>68</v>
      </c>
      <c r="E124" s="76"/>
      <c r="F124" s="135">
        <v>1.5656000000000001</v>
      </c>
      <c r="G124" s="18">
        <f>G123</f>
        <v>2075.4</v>
      </c>
      <c r="H124" s="136">
        <f>G124*F124</f>
        <v>3249.2462400000004</v>
      </c>
      <c r="I124" s="76"/>
      <c r="J124" s="135">
        <v>1.099</v>
      </c>
      <c r="K124" s="18">
        <f>K123</f>
        <v>2075.2000000000003</v>
      </c>
      <c r="L124" s="136">
        <f>K124*J124</f>
        <v>2280.6448</v>
      </c>
      <c r="M124" s="76"/>
      <c r="N124" s="169">
        <f t="shared" si="13"/>
        <v>-968.60144000000037</v>
      </c>
      <c r="O124" s="79">
        <f t="shared" si="19"/>
        <v>-0.29810034957522957</v>
      </c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</row>
    <row r="125" spans="1:63" s="4" customFormat="1" x14ac:dyDescent="0.3">
      <c r="A125" s="60"/>
      <c r="B125" s="19" t="s">
        <v>42</v>
      </c>
      <c r="C125" s="20"/>
      <c r="D125" s="20"/>
      <c r="E125" s="20"/>
      <c r="F125" s="21"/>
      <c r="G125" s="22"/>
      <c r="H125" s="23">
        <f>SUM(H122:H124)</f>
        <v>96360.076980000013</v>
      </c>
      <c r="I125" s="13"/>
      <c r="J125" s="26"/>
      <c r="K125" s="22"/>
      <c r="L125" s="23">
        <f>SUM(L122:L124)</f>
        <v>95518.32849882351</v>
      </c>
      <c r="M125" s="13"/>
      <c r="N125" s="15">
        <f t="shared" si="13"/>
        <v>-841.74848117650254</v>
      </c>
      <c r="O125" s="16">
        <f t="shared" si="19"/>
        <v>-8.7354484093159386E-3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43</v>
      </c>
      <c r="C126" s="73"/>
      <c r="D126" s="7" t="s">
        <v>27</v>
      </c>
      <c r="E126" s="73"/>
      <c r="F126" s="135">
        <v>4.4000000000000003E-3</v>
      </c>
      <c r="G126" s="18">
        <f>F94*(1+F149)</f>
        <v>726390</v>
      </c>
      <c r="H126" s="139">
        <f t="shared" ref="H126:H134" si="20">G126*F126</f>
        <v>3196.116</v>
      </c>
      <c r="I126" s="76"/>
      <c r="J126" s="135">
        <f>+F126</f>
        <v>4.4000000000000003E-3</v>
      </c>
      <c r="K126" s="18">
        <f>F94*(1+J149)</f>
        <v>726320</v>
      </c>
      <c r="L126" s="139">
        <f t="shared" ref="L126:L134" si="21">K126*J126</f>
        <v>3195.808</v>
      </c>
      <c r="M126" s="76"/>
      <c r="N126" s="137">
        <f t="shared" si="13"/>
        <v>-0.30799999999999272</v>
      </c>
      <c r="O126" s="87">
        <f t="shared" si="19"/>
        <v>-9.6366965404257138E-5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86" t="s">
        <v>44</v>
      </c>
      <c r="C127" s="73"/>
      <c r="D127" s="7" t="s">
        <v>27</v>
      </c>
      <c r="E127" s="73"/>
      <c r="F127" s="135">
        <v>1.1999999999999999E-3</v>
      </c>
      <c r="G127" s="18">
        <f>+G126</f>
        <v>726390</v>
      </c>
      <c r="H127" s="139">
        <f t="shared" si="20"/>
        <v>871.66799999999989</v>
      </c>
      <c r="I127" s="76"/>
      <c r="J127" s="135">
        <f>+F127</f>
        <v>1.1999999999999999E-3</v>
      </c>
      <c r="K127" s="18">
        <f>+K126</f>
        <v>726320</v>
      </c>
      <c r="L127" s="139">
        <f t="shared" si="21"/>
        <v>871.58399999999995</v>
      </c>
      <c r="M127" s="76"/>
      <c r="N127" s="137">
        <f t="shared" si="13"/>
        <v>-8.399999999994634E-2</v>
      </c>
      <c r="O127" s="87">
        <f t="shared" si="19"/>
        <v>-9.6366965404197873E-5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45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20"/>
        <v>0.25</v>
      </c>
      <c r="I128" s="76"/>
      <c r="J128" s="135">
        <f>+F128</f>
        <v>0.25</v>
      </c>
      <c r="K128" s="77">
        <v>1</v>
      </c>
      <c r="L128" s="139">
        <f t="shared" si="21"/>
        <v>0.25</v>
      </c>
      <c r="M128" s="76"/>
      <c r="N128" s="137">
        <f t="shared" si="13"/>
        <v>0</v>
      </c>
      <c r="O128" s="87">
        <f t="shared" si="19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73" t="s">
        <v>46</v>
      </c>
      <c r="C129" s="73"/>
      <c r="D129" s="7" t="s">
        <v>27</v>
      </c>
      <c r="E129" s="73"/>
      <c r="F129" s="135">
        <v>7.0000000000000001E-3</v>
      </c>
      <c r="G129" s="84">
        <f>F94</f>
        <v>700000</v>
      </c>
      <c r="H129" s="139">
        <f t="shared" si="20"/>
        <v>4900</v>
      </c>
      <c r="I129" s="76"/>
      <c r="J129" s="135">
        <f>+F129</f>
        <v>7.0000000000000001E-3</v>
      </c>
      <c r="K129" s="77">
        <f>F94</f>
        <v>700000</v>
      </c>
      <c r="L129" s="139">
        <f t="shared" si="21"/>
        <v>4900</v>
      </c>
      <c r="M129" s="76"/>
      <c r="N129" s="137">
        <f t="shared" si="13"/>
        <v>0</v>
      </c>
      <c r="O129" s="87">
        <f t="shared" si="19"/>
        <v>0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47</v>
      </c>
      <c r="C130" s="73"/>
      <c r="D130" s="7" t="s">
        <v>27</v>
      </c>
      <c r="E130" s="73"/>
      <c r="F130" s="138">
        <v>6.7000000000000004E-2</v>
      </c>
      <c r="G130" s="27">
        <f>0.64*$F94*(1+F149)</f>
        <v>464889.60000000003</v>
      </c>
      <c r="H130" s="139">
        <f t="shared" si="20"/>
        <v>31147.603200000005</v>
      </c>
      <c r="I130" s="76"/>
      <c r="J130" s="138">
        <v>6.7000000000000004E-2</v>
      </c>
      <c r="K130" s="27">
        <f>0.64*$F94*(1+J149)</f>
        <v>464844.80000000005</v>
      </c>
      <c r="L130" s="139">
        <f>K130*J130</f>
        <v>31144.601600000005</v>
      </c>
      <c r="M130" s="76"/>
      <c r="N130" s="137">
        <f t="shared" si="13"/>
        <v>-3.0015999999995984</v>
      </c>
      <c r="O130" s="87">
        <f t="shared" si="19"/>
        <v>-9.6366965404246513E-5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80" t="s">
        <v>48</v>
      </c>
      <c r="C131" s="73"/>
      <c r="D131" s="7" t="s">
        <v>27</v>
      </c>
      <c r="E131" s="73"/>
      <c r="F131" s="138">
        <v>0.104</v>
      </c>
      <c r="G131" s="27">
        <f>0.18*$F94*(1+F149)</f>
        <v>130750.20000000001</v>
      </c>
      <c r="H131" s="139">
        <f t="shared" si="20"/>
        <v>13598.0208</v>
      </c>
      <c r="I131" s="76"/>
      <c r="J131" s="138">
        <v>0.104</v>
      </c>
      <c r="K131" s="27">
        <f>0.18*$F94*(1+J149)</f>
        <v>130737.60000000001</v>
      </c>
      <c r="L131" s="139">
        <f t="shared" si="21"/>
        <v>13596.7104</v>
      </c>
      <c r="M131" s="76"/>
      <c r="N131" s="137">
        <f t="shared" si="13"/>
        <v>-1.3104000000002998</v>
      </c>
      <c r="O131" s="87">
        <f t="shared" si="19"/>
        <v>-9.6366965404281465E-5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64" t="s">
        <v>49</v>
      </c>
      <c r="C132" s="73"/>
      <c r="D132" s="7" t="s">
        <v>27</v>
      </c>
      <c r="E132" s="73"/>
      <c r="F132" s="138">
        <v>0.124</v>
      </c>
      <c r="G132" s="27">
        <f>0.18*$F94*(1+F149)</f>
        <v>130750.20000000001</v>
      </c>
      <c r="H132" s="139">
        <f t="shared" si="20"/>
        <v>16213.024800000001</v>
      </c>
      <c r="I132" s="76"/>
      <c r="J132" s="138">
        <v>0.124</v>
      </c>
      <c r="K132" s="27">
        <f>0.18*$F94*(1+J149)</f>
        <v>130737.60000000001</v>
      </c>
      <c r="L132" s="139">
        <f t="shared" si="21"/>
        <v>16211.4624</v>
      </c>
      <c r="M132" s="76"/>
      <c r="N132" s="137">
        <f t="shared" si="13"/>
        <v>-1.5624000000007072</v>
      </c>
      <c r="O132" s="87">
        <f t="shared" si="19"/>
        <v>-9.6366965404303041E-5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s="92" customFormat="1" x14ac:dyDescent="0.25">
      <c r="B133" s="89" t="s">
        <v>50</v>
      </c>
      <c r="C133" s="90"/>
      <c r="D133" s="29" t="s">
        <v>27</v>
      </c>
      <c r="E133" s="90"/>
      <c r="F133" s="138">
        <v>7.4999999999999997E-2</v>
      </c>
      <c r="G133" s="30">
        <f>IF(AND($T$1=1, F94&gt;=750), 750, IF(AND($T$1=1, AND(F94&lt;750, F94&gt;=0)), F94, IF(AND($T$1=2, F94&gt;=750), 750, IF(AND($T$1=2, AND(F94&lt;750, F94&gt;=0)), F94))))*(1+F149)</f>
        <v>778.27500000000009</v>
      </c>
      <c r="H133" s="139">
        <f t="shared" si="20"/>
        <v>58.370625000000004</v>
      </c>
      <c r="I133" s="91"/>
      <c r="J133" s="138">
        <v>7.4999999999999997E-2</v>
      </c>
      <c r="K133" s="30">
        <f>IF(AND($T$1=1, F94&gt;=750), 750, IF(AND($T$1=1, AND(F94&lt;750, J94&gt;=0)), F94, IF(AND($T$1=2, F94&gt;=750), 750, IF(AND($T$1=2, AND(F94&lt;750, F94&gt;=0)), F94))))*(1+F149)</f>
        <v>778.27500000000009</v>
      </c>
      <c r="L133" s="139">
        <f t="shared" si="21"/>
        <v>58.370625000000004</v>
      </c>
      <c r="M133" s="91"/>
      <c r="N133" s="140">
        <f t="shared" si="13"/>
        <v>0</v>
      </c>
      <c r="O133" s="87">
        <f t="shared" si="19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51</v>
      </c>
      <c r="C134" s="90"/>
      <c r="D134" s="29" t="s">
        <v>27</v>
      </c>
      <c r="E134" s="90"/>
      <c r="F134" s="138">
        <v>8.7999999999999995E-2</v>
      </c>
      <c r="G134" s="30">
        <f>+F94*(1+F149)-G133</f>
        <v>725611.72499999998</v>
      </c>
      <c r="H134" s="139">
        <f t="shared" si="20"/>
        <v>63853.831799999993</v>
      </c>
      <c r="I134" s="91"/>
      <c r="J134" s="138">
        <v>8.7999999999999995E-2</v>
      </c>
      <c r="K134" s="30">
        <f>+F94*(1+J149)-K133</f>
        <v>725541.72499999998</v>
      </c>
      <c r="L134" s="139">
        <f t="shared" si="21"/>
        <v>63847.671799999996</v>
      </c>
      <c r="M134" s="91"/>
      <c r="N134" s="140">
        <f t="shared" si="13"/>
        <v>-6.1599999999962165</v>
      </c>
      <c r="O134" s="87">
        <f t="shared" si="19"/>
        <v>-9.6470326468273398E-5</v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52</v>
      </c>
      <c r="C136" s="73"/>
      <c r="D136" s="73"/>
      <c r="E136" s="73"/>
      <c r="F136" s="94"/>
      <c r="G136" s="95"/>
      <c r="H136" s="141">
        <f>SUM(H126:H132,H125)</f>
        <v>166286.75978000002</v>
      </c>
      <c r="I136" s="96"/>
      <c r="J136" s="97"/>
      <c r="K136" s="97"/>
      <c r="L136" s="144">
        <f>SUM(L126:L132,L125)</f>
        <v>165438.7448988235</v>
      </c>
      <c r="M136" s="145"/>
      <c r="N136" s="146">
        <f>L136-H136</f>
        <v>-848.0148811765248</v>
      </c>
      <c r="O136" s="98">
        <f>IF((H136)=0,"",(N136/H136))</f>
        <v>-5.0997137853817211E-3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99" t="s">
        <v>53</v>
      </c>
      <c r="C137" s="73"/>
      <c r="D137" s="73"/>
      <c r="E137" s="73"/>
      <c r="F137" s="100">
        <v>0.13</v>
      </c>
      <c r="G137" s="101"/>
      <c r="H137" s="142">
        <f>H136*F137</f>
        <v>21617.278771400004</v>
      </c>
      <c r="I137" s="102"/>
      <c r="J137" s="103">
        <v>0.13</v>
      </c>
      <c r="K137" s="102"/>
      <c r="L137" s="147">
        <f>L136*J137</f>
        <v>21507.036836847055</v>
      </c>
      <c r="M137" s="148"/>
      <c r="N137" s="149">
        <f>L137-H137</f>
        <v>-110.24193455294881</v>
      </c>
      <c r="O137" s="104">
        <f>IF((H137)=0,"",(N137/H137))</f>
        <v>-5.0997137853817471E-3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x14ac:dyDescent="0.3">
      <c r="B138" s="105" t="s">
        <v>54</v>
      </c>
      <c r="C138" s="73"/>
      <c r="D138" s="73"/>
      <c r="E138" s="73"/>
      <c r="F138" s="106"/>
      <c r="G138" s="101"/>
      <c r="H138" s="142">
        <f>H136+H137</f>
        <v>187904.03855140004</v>
      </c>
      <c r="I138" s="102"/>
      <c r="J138" s="102"/>
      <c r="K138" s="102"/>
      <c r="L138" s="147">
        <f>L136+L137</f>
        <v>186945.78173567055</v>
      </c>
      <c r="M138" s="148"/>
      <c r="N138" s="149">
        <f>L138-H138</f>
        <v>-958.25681572948815</v>
      </c>
      <c r="O138" s="104">
        <f>IF((H138)=0,"",(N138/H138))</f>
        <v>-5.0997137853818009E-3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ht="14.4" customHeight="1" x14ac:dyDescent="0.3">
      <c r="B139" s="172" t="s">
        <v>55</v>
      </c>
      <c r="C139" s="172"/>
      <c r="D139" s="172"/>
      <c r="E139" s="73"/>
      <c r="F139" s="106"/>
      <c r="G139" s="101"/>
      <c r="H139" s="143">
        <v>0</v>
      </c>
      <c r="I139" s="102"/>
      <c r="J139" s="102"/>
      <c r="K139" s="102"/>
      <c r="L139" s="150">
        <v>0</v>
      </c>
      <c r="M139" s="148"/>
      <c r="N139" s="151">
        <f>L139-H139</f>
        <v>0</v>
      </c>
      <c r="O139" s="107" t="str">
        <f>IF((H139)=0,"",(N139/H139))</f>
        <v/>
      </c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s="4" customFormat="1" ht="15" thickBot="1" x14ac:dyDescent="0.35">
      <c r="A140" s="60"/>
      <c r="B140" s="173" t="s">
        <v>56</v>
      </c>
      <c r="C140" s="173"/>
      <c r="D140" s="173"/>
      <c r="E140" s="42"/>
      <c r="F140" s="43"/>
      <c r="G140" s="44"/>
      <c r="H140" s="45">
        <f>H138+H139</f>
        <v>187904.03855140004</v>
      </c>
      <c r="I140" s="46"/>
      <c r="J140" s="46"/>
      <c r="K140" s="46"/>
      <c r="L140" s="47">
        <f>L138+L139</f>
        <v>186945.78173567055</v>
      </c>
      <c r="M140" s="48"/>
      <c r="N140" s="49">
        <f>L140-H140</f>
        <v>-958.25681572948815</v>
      </c>
      <c r="O140" s="50">
        <f>IF((H140)=0,"",(N140/H140))</f>
        <v>-5.0997137853818009E-3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57</v>
      </c>
      <c r="C142" s="90"/>
      <c r="D142" s="90"/>
      <c r="E142" s="90"/>
      <c r="F142" s="109"/>
      <c r="G142" s="110"/>
      <c r="H142" s="152">
        <f>SUM(H133:H134,H125,H126:H129)</f>
        <v>169240.31340500002</v>
      </c>
      <c r="I142" s="111"/>
      <c r="J142" s="112"/>
      <c r="K142" s="112"/>
      <c r="L142" s="155">
        <f>SUM(L133:L134,L125,L126:L129)</f>
        <v>168392.01292382349</v>
      </c>
      <c r="M142" s="156"/>
      <c r="N142" s="157">
        <f>L142-H142</f>
        <v>-848.30048117652768</v>
      </c>
      <c r="O142" s="98">
        <f>IF((H142)=0,"",(N142/H142))</f>
        <v>-5.0124019750926885E-3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53</v>
      </c>
      <c r="C143" s="90"/>
      <c r="D143" s="90"/>
      <c r="E143" s="90"/>
      <c r="F143" s="114">
        <v>0.13</v>
      </c>
      <c r="G143" s="110"/>
      <c r="H143" s="153">
        <f>H142*F143</f>
        <v>22001.240742650003</v>
      </c>
      <c r="I143" s="115"/>
      <c r="J143" s="116">
        <v>0.13</v>
      </c>
      <c r="K143" s="117"/>
      <c r="L143" s="158">
        <f>L142*J143</f>
        <v>21890.961680097054</v>
      </c>
      <c r="M143" s="159"/>
      <c r="N143" s="160">
        <f>L143-H143</f>
        <v>-110.27906255294874</v>
      </c>
      <c r="O143" s="104">
        <f>IF((H143)=0,"",(N143/H143))</f>
        <v>-5.0124019750926946E-3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54</v>
      </c>
      <c r="C144" s="90"/>
      <c r="D144" s="90"/>
      <c r="E144" s="90"/>
      <c r="F144" s="119"/>
      <c r="G144" s="120"/>
      <c r="H144" s="153">
        <f>H142+H143</f>
        <v>191241.55414765002</v>
      </c>
      <c r="I144" s="115"/>
      <c r="J144" s="115"/>
      <c r="K144" s="115"/>
      <c r="L144" s="158">
        <f>L142+L143</f>
        <v>190282.97460392053</v>
      </c>
      <c r="M144" s="159"/>
      <c r="N144" s="160">
        <f>L144-H144</f>
        <v>-958.57954372948734</v>
      </c>
      <c r="O144" s="104">
        <f>IF((H144)=0,"",(N144/H144))</f>
        <v>-5.0124019750927458E-3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55</v>
      </c>
      <c r="C145" s="174"/>
      <c r="D145" s="174"/>
      <c r="E145" s="90"/>
      <c r="F145" s="119"/>
      <c r="G145" s="120"/>
      <c r="H145" s="154">
        <v>0</v>
      </c>
      <c r="I145" s="115"/>
      <c r="J145" s="115"/>
      <c r="K145" s="115"/>
      <c r="L145" s="161">
        <v>0</v>
      </c>
      <c r="M145" s="159"/>
      <c r="N145" s="162">
        <f>L145-H145</f>
        <v>0</v>
      </c>
      <c r="O145" s="107" t="str">
        <f>IF((H145)=0,"",(N145/H145))</f>
        <v/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58</v>
      </c>
      <c r="C146" s="173"/>
      <c r="D146" s="173"/>
      <c r="E146" s="42"/>
      <c r="F146" s="43"/>
      <c r="G146" s="44"/>
      <c r="H146" s="45">
        <f>SUM(H144:H145)</f>
        <v>191241.55414765002</v>
      </c>
      <c r="I146" s="46"/>
      <c r="J146" s="46"/>
      <c r="K146" s="46"/>
      <c r="L146" s="47">
        <f>SUM(L144:L145)</f>
        <v>190282.97460392053</v>
      </c>
      <c r="M146" s="48"/>
      <c r="N146" s="49">
        <f>L146-H146</f>
        <v>-958.57954372948734</v>
      </c>
      <c r="O146" s="50">
        <f>IF((H146)=0,"",(N146/H146))</f>
        <v>-5.0124019750927458E-3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59</v>
      </c>
      <c r="F149" s="51">
        <v>3.7699999999999997E-2</v>
      </c>
      <c r="J149" s="51">
        <f>+Residential!$J$74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60</v>
      </c>
    </row>
    <row r="154" spans="1:63" x14ac:dyDescent="0.3">
      <c r="A154" s="60" t="s">
        <v>61</v>
      </c>
    </row>
    <row r="155" spans="1:63" x14ac:dyDescent="0.3">
      <c r="A155" s="60" t="s">
        <v>62</v>
      </c>
    </row>
    <row r="157" spans="1:63" x14ac:dyDescent="0.3">
      <c r="B157" s="60" t="s">
        <v>63</v>
      </c>
    </row>
  </sheetData>
  <mergeCells count="27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B85:O85"/>
    <mergeCell ref="B86:O86"/>
    <mergeCell ref="D89:O89"/>
    <mergeCell ref="F95:H95"/>
    <mergeCell ref="J95:L95"/>
    <mergeCell ref="N95:O95"/>
    <mergeCell ref="B145:D145"/>
    <mergeCell ref="B146:D146"/>
    <mergeCell ref="D96:D97"/>
    <mergeCell ref="N96:N97"/>
    <mergeCell ref="O96:O97"/>
    <mergeCell ref="B139:D139"/>
    <mergeCell ref="B140:D140"/>
  </mergeCells>
  <dataValidations count="3">
    <dataValidation type="list" allowBlank="1" showInputMessage="1" showErrorMessage="1" sqref="D16 D91">
      <formula1>"TOU, non-TOU"</formula1>
    </dataValidation>
    <dataValidation type="list" allowBlank="1" showInputMessage="1" showErrorMessage="1" sqref="E72 E66 E48:E49 E40:E46 E23:E38 E51:E60 E147 E141 E123:E124 E115:E121 E98:E113 E126:E135">
      <formula1>#REF!</formula1>
    </dataValidation>
    <dataValidation type="list" allowBlank="1" showInputMessage="1" showErrorMessage="1" prompt="Select Charge Unit - monthly, per kWh, per kW" sqref="D48:D49 D40:D46 D66 D23:D38 D72 D51:D60 D123:D124 D115:D121 D141 D98:D113 D147 D126:D135">
      <formula1>"Monthly, per kWh, per kW"</formula1>
    </dataValidation>
  </dataValidations>
  <pageMargins left="0.7" right="0.7" top="0.75" bottom="0.75" header="0.3" footer="0.3"/>
  <pageSetup scale="50" fitToHeight="0" orientation="portrait" r:id="rId1"/>
  <rowBreaks count="1" manualBreakCount="1">
    <brk id="8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4" name="Option Button 23">
              <controlPr defaultSize="0" autoFill="0" autoLine="0" autoPict="0">
                <anchor moveWithCells="1">
                  <from>
                    <xdr:col>1</xdr:col>
                    <xdr:colOff>1287780</xdr:colOff>
                    <xdr:row>24</xdr:row>
                    <xdr:rowOff>137160</xdr:rowOff>
                  </from>
                  <to>
                    <xdr:col>1</xdr:col>
                    <xdr:colOff>1470660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5" name="Option Button 43">
              <controlPr defaultSize="0" autoFill="0" autoLine="0" autoPict="0">
                <anchor moveWithCells="1">
                  <from>
                    <xdr:col>3</xdr:col>
                    <xdr:colOff>365760</xdr:colOff>
                    <xdr:row>46</xdr:row>
                    <xdr:rowOff>99060</xdr:rowOff>
                  </from>
                  <to>
                    <xdr:col>6</xdr:col>
                    <xdr:colOff>807720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6" name="Option Button 44">
              <controlPr defaultSize="0" autoFill="0" autoLine="0" autoPict="0">
                <anchor moveWithCells="1">
                  <from>
                    <xdr:col>1</xdr:col>
                    <xdr:colOff>2461260</xdr:colOff>
                    <xdr:row>46</xdr:row>
                    <xdr:rowOff>76200</xdr:rowOff>
                  </from>
                  <to>
                    <xdr:col>3</xdr:col>
                    <xdr:colOff>7620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7" name="Option Button 45">
              <controlPr defaultSize="0" autoFill="0" autoLine="0" autoPict="0">
                <anchor moveWithCells="1">
                  <from>
                    <xdr:col>5</xdr:col>
                    <xdr:colOff>411480</xdr:colOff>
                    <xdr:row>14</xdr:row>
                    <xdr:rowOff>38100</xdr:rowOff>
                  </from>
                  <to>
                    <xdr:col>7</xdr:col>
                    <xdr:colOff>594360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8" name="Option Button 46">
              <controlPr defaultSize="0" autoFill="0" autoLine="0" autoPict="0">
                <anchor moveWithCells="1">
                  <from>
                    <xdr:col>7</xdr:col>
                    <xdr:colOff>228600</xdr:colOff>
                    <xdr:row>14</xdr:row>
                    <xdr:rowOff>22860</xdr:rowOff>
                  </from>
                  <to>
                    <xdr:col>14</xdr:col>
                    <xdr:colOff>457200</xdr:colOff>
                    <xdr:row>15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82"/>
  <sheetViews>
    <sheetView view="pageBreakPreview" topLeftCell="A27" zoomScaleNormal="80" zoomScaleSheetLayoutView="100" workbookViewId="0">
      <selection activeCell="K351" sqref="K351"/>
    </sheetView>
  </sheetViews>
  <sheetFormatPr defaultColWidth="9.109375" defaultRowHeight="14.4" x14ac:dyDescent="0.3"/>
  <cols>
    <col min="1" max="1" width="4.44140625" style="60" customWidth="1"/>
    <col min="2" max="2" width="45.3320312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4.88671875" style="60" customWidth="1"/>
    <col min="9" max="9" width="2.88671875" style="60" customWidth="1"/>
    <col min="10" max="10" width="12.109375" style="60" customWidth="1"/>
    <col min="11" max="11" width="12" style="60" customWidth="1"/>
    <col min="12" max="12" width="15.3320312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78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75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64</v>
      </c>
      <c r="E16" s="63"/>
      <c r="F16" s="63"/>
      <c r="G16" s="5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">
        <v>160</v>
      </c>
      <c r="G17" s="65" t="s">
        <v>74</v>
      </c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f>300/12</f>
        <v>25</v>
      </c>
      <c r="G18" s="65" t="s">
        <v>65</v>
      </c>
    </row>
    <row r="19" spans="2:29" x14ac:dyDescent="0.3">
      <c r="B19" s="64"/>
      <c r="F19" s="6">
        <f>120000/12</f>
        <v>10000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2.95</v>
      </c>
      <c r="G23" s="74">
        <f>+F17</f>
        <v>160</v>
      </c>
      <c r="H23" s="75">
        <f t="shared" ref="H23:H38" si="0">G23*F23</f>
        <v>472</v>
      </c>
      <c r="I23" s="76"/>
      <c r="J23" s="129">
        <v>2.95</v>
      </c>
      <c r="K23" s="77">
        <f>+F17</f>
        <v>160</v>
      </c>
      <c r="L23" s="75">
        <f t="shared" ref="L23:L38" si="1">K23*J23</f>
        <v>472</v>
      </c>
      <c r="M23" s="76"/>
      <c r="N23" s="78">
        <f t="shared" ref="N23:N59" si="2">L23-H23</f>
        <v>0</v>
      </c>
      <c r="O23" s="79">
        <f t="shared" ref="O23:O45" si="3">IF((H23)=0,"",(N23/H23))</f>
        <v>0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68</v>
      </c>
      <c r="E29" s="73"/>
      <c r="F29" s="135">
        <v>50.058900000000001</v>
      </c>
      <c r="G29" s="74">
        <f>$F$18</f>
        <v>25</v>
      </c>
      <c r="H29" s="136">
        <f t="shared" si="0"/>
        <v>1251.4725000000001</v>
      </c>
      <c r="I29" s="76"/>
      <c r="J29" s="132">
        <v>50.068300000000001</v>
      </c>
      <c r="K29" s="74">
        <f>$F$18</f>
        <v>25</v>
      </c>
      <c r="L29" s="136">
        <f t="shared" si="1"/>
        <v>1251.7075</v>
      </c>
      <c r="M29" s="76"/>
      <c r="N29" s="137">
        <f t="shared" si="2"/>
        <v>0.23499999999989996</v>
      </c>
      <c r="O29" s="79">
        <f t="shared" si="3"/>
        <v>1.877787965775516E-4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68</v>
      </c>
      <c r="E31" s="73"/>
      <c r="F31" s="135"/>
      <c r="G31" s="74">
        <f t="shared" ref="G31:G38" si="4">$F$18</f>
        <v>25</v>
      </c>
      <c r="H31" s="136">
        <f t="shared" si="0"/>
        <v>0</v>
      </c>
      <c r="I31" s="76"/>
      <c r="J31" s="132">
        <v>0</v>
      </c>
      <c r="K31" s="74">
        <f t="shared" ref="K31:K38" si="5">$F$18</f>
        <v>25</v>
      </c>
      <c r="L31" s="136">
        <f t="shared" si="1"/>
        <v>0</v>
      </c>
      <c r="M31" s="76"/>
      <c r="N31" s="137">
        <f t="shared" si="2"/>
        <v>0</v>
      </c>
      <c r="O31" s="79" t="str">
        <f t="shared" si="3"/>
        <v/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68</v>
      </c>
      <c r="E32" s="73"/>
      <c r="F32" s="135">
        <v>2.0569000000000002</v>
      </c>
      <c r="G32" s="74">
        <f t="shared" si="4"/>
        <v>25</v>
      </c>
      <c r="H32" s="136">
        <f t="shared" si="0"/>
        <v>51.422500000000007</v>
      </c>
      <c r="I32" s="76"/>
      <c r="J32" s="132"/>
      <c r="K32" s="74">
        <f t="shared" si="5"/>
        <v>25</v>
      </c>
      <c r="L32" s="136">
        <f t="shared" si="1"/>
        <v>0</v>
      </c>
      <c r="M32" s="76"/>
      <c r="N32" s="137">
        <f t="shared" si="2"/>
        <v>-51.422500000000007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68</v>
      </c>
      <c r="E33" s="73"/>
      <c r="F33" s="135">
        <v>-0.74970000000000003</v>
      </c>
      <c r="G33" s="74">
        <f t="shared" si="4"/>
        <v>25</v>
      </c>
      <c r="H33" s="136">
        <f t="shared" si="0"/>
        <v>-18.7425</v>
      </c>
      <c r="I33" s="76"/>
      <c r="J33" s="132"/>
      <c r="K33" s="74">
        <f t="shared" si="5"/>
        <v>25</v>
      </c>
      <c r="L33" s="136">
        <f t="shared" si="1"/>
        <v>0</v>
      </c>
      <c r="M33" s="76"/>
      <c r="N33" s="137">
        <f t="shared" si="2"/>
        <v>18.7425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33</v>
      </c>
      <c r="C34" s="73"/>
      <c r="D34" s="7" t="s">
        <v>68</v>
      </c>
      <c r="E34" s="73"/>
      <c r="F34" s="135"/>
      <c r="G34" s="74">
        <f t="shared" si="4"/>
        <v>25</v>
      </c>
      <c r="H34" s="136">
        <f t="shared" si="0"/>
        <v>0</v>
      </c>
      <c r="I34" s="76"/>
      <c r="J34" s="132">
        <v>-4.4699999999999997E-2</v>
      </c>
      <c r="K34" s="74">
        <f t="shared" si="5"/>
        <v>25</v>
      </c>
      <c r="L34" s="136">
        <f t="shared" si="1"/>
        <v>-1.1174999999999999</v>
      </c>
      <c r="M34" s="76"/>
      <c r="N34" s="137">
        <f t="shared" si="2"/>
        <v>-1.1174999999999999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">
        <v>71</v>
      </c>
      <c r="C35" s="73"/>
      <c r="D35" s="7" t="s">
        <v>68</v>
      </c>
      <c r="E35" s="73"/>
      <c r="F35" s="134">
        <v>1.1017999999999999</v>
      </c>
      <c r="G35" s="74">
        <f t="shared" si="4"/>
        <v>25</v>
      </c>
      <c r="H35" s="136">
        <f t="shared" si="0"/>
        <v>27.544999999999998</v>
      </c>
      <c r="I35" s="76"/>
      <c r="J35" s="132"/>
      <c r="K35" s="74">
        <f t="shared" si="5"/>
        <v>25</v>
      </c>
      <c r="L35" s="136">
        <f t="shared" si="1"/>
        <v>0</v>
      </c>
      <c r="M35" s="76"/>
      <c r="N35" s="137">
        <f t="shared" si="2"/>
        <v>-27.544999999999998</v>
      </c>
      <c r="O35" s="79">
        <f t="shared" si="3"/>
        <v>-1</v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">
        <v>77</v>
      </c>
      <c r="C36" s="73"/>
      <c r="D36" s="7" t="s">
        <v>68</v>
      </c>
      <c r="E36" s="73"/>
      <c r="F36" s="134"/>
      <c r="G36" s="74">
        <f t="shared" si="4"/>
        <v>25</v>
      </c>
      <c r="H36" s="136">
        <f t="shared" si="0"/>
        <v>0</v>
      </c>
      <c r="I36" s="76"/>
      <c r="J36" s="132">
        <v>6.6600000000000006E-2</v>
      </c>
      <c r="K36" s="74">
        <f t="shared" si="5"/>
        <v>25</v>
      </c>
      <c r="L36" s="136">
        <f t="shared" si="1"/>
        <v>1.6650000000000003</v>
      </c>
      <c r="M36" s="76"/>
      <c r="N36" s="137">
        <f t="shared" si="2"/>
        <v>1.6650000000000003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 t="shared" si="4"/>
        <v>25</v>
      </c>
      <c r="H37" s="136">
        <f t="shared" si="0"/>
        <v>0</v>
      </c>
      <c r="I37" s="76"/>
      <c r="J37" s="131"/>
      <c r="K37" s="74">
        <f t="shared" si="5"/>
        <v>25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 t="shared" si="4"/>
        <v>25</v>
      </c>
      <c r="H38" s="136">
        <f t="shared" si="0"/>
        <v>0</v>
      </c>
      <c r="I38" s="76"/>
      <c r="J38" s="131"/>
      <c r="K38" s="74">
        <f t="shared" si="5"/>
        <v>25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34</v>
      </c>
      <c r="C39" s="20"/>
      <c r="D39" s="20"/>
      <c r="E39" s="20"/>
      <c r="F39" s="21"/>
      <c r="G39" s="22"/>
      <c r="H39" s="23">
        <f>SUM(H23:H38)</f>
        <v>1783.6975</v>
      </c>
      <c r="I39" s="13"/>
      <c r="J39" s="14"/>
      <c r="K39" s="24"/>
      <c r="L39" s="23">
        <f>SUM(L23:L38)</f>
        <v>1724.2549999999999</v>
      </c>
      <c r="M39" s="13"/>
      <c r="N39" s="15">
        <f t="shared" si="2"/>
        <v>-59.442500000000109</v>
      </c>
      <c r="O39" s="16">
        <f t="shared" si="3"/>
        <v>-3.3325437749394227E-2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35</v>
      </c>
      <c r="C40" s="73"/>
      <c r="D40" s="7" t="s">
        <v>68</v>
      </c>
      <c r="E40" s="73"/>
      <c r="F40" s="135">
        <v>9.3200000000000005E-2</v>
      </c>
      <c r="G40" s="74">
        <f>$F$18</f>
        <v>25</v>
      </c>
      <c r="H40" s="136">
        <f t="shared" ref="H40:H46" si="6">G40*F40</f>
        <v>2.33</v>
      </c>
      <c r="I40" s="76"/>
      <c r="J40" s="135">
        <v>-1.0448</v>
      </c>
      <c r="K40" s="74">
        <f>$F$18</f>
        <v>25</v>
      </c>
      <c r="L40" s="136">
        <f t="shared" ref="L40:L46" si="7">K40*J40</f>
        <v>-26.119999999999997</v>
      </c>
      <c r="M40" s="76"/>
      <c r="N40" s="137">
        <f t="shared" si="2"/>
        <v>-28.449999999999996</v>
      </c>
      <c r="O40" s="79">
        <f t="shared" si="3"/>
        <v>-12.210300429184548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$F$18</f>
        <v>25</v>
      </c>
      <c r="H41" s="136">
        <f t="shared" si="6"/>
        <v>0</v>
      </c>
      <c r="I41" s="82"/>
      <c r="J41" s="8"/>
      <c r="K41" s="74">
        <f>$F$18</f>
        <v>25</v>
      </c>
      <c r="L41" s="136">
        <f t="shared" si="7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$F$18</f>
        <v>25</v>
      </c>
      <c r="H42" s="136">
        <f t="shared" si="6"/>
        <v>0</v>
      </c>
      <c r="I42" s="82"/>
      <c r="J42" s="8"/>
      <c r="K42" s="74">
        <f>$F$18</f>
        <v>25</v>
      </c>
      <c r="L42" s="136">
        <f t="shared" si="7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$F$18</f>
        <v>25</v>
      </c>
      <c r="H43" s="136">
        <f t="shared" si="6"/>
        <v>0</v>
      </c>
      <c r="I43" s="82"/>
      <c r="J43" s="8"/>
      <c r="K43" s="74">
        <f>$F$18</f>
        <v>25</v>
      </c>
      <c r="L43" s="136">
        <f t="shared" si="7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36</v>
      </c>
      <c r="C44" s="73"/>
      <c r="D44" s="7" t="s">
        <v>68</v>
      </c>
      <c r="E44" s="73"/>
      <c r="F44" s="135">
        <v>1.24E-2</v>
      </c>
      <c r="G44" s="74">
        <f>$F$18</f>
        <v>25</v>
      </c>
      <c r="H44" s="136">
        <f t="shared" si="6"/>
        <v>0.31</v>
      </c>
      <c r="I44" s="76"/>
      <c r="J44" s="135">
        <v>2.5499999999999998E-2</v>
      </c>
      <c r="K44" s="74">
        <f>$F$18</f>
        <v>25</v>
      </c>
      <c r="L44" s="136">
        <f t="shared" si="7"/>
        <v>0.63749999999999996</v>
      </c>
      <c r="M44" s="76"/>
      <c r="N44" s="137">
        <f t="shared" si="2"/>
        <v>0.32749999999999996</v>
      </c>
      <c r="O44" s="79">
        <f t="shared" si="3"/>
        <v>1.0564516129032258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37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8.7999999999999995E-2</v>
      </c>
      <c r="G45" s="18">
        <f>$F$19*(1+$F$74)-$F$19</f>
        <v>377</v>
      </c>
      <c r="H45" s="136">
        <f t="shared" si="6"/>
        <v>33.175999999999995</v>
      </c>
      <c r="I45" s="76"/>
      <c r="J45" s="138">
        <f>+F45</f>
        <v>8.7999999999999995E-2</v>
      </c>
      <c r="K45" s="18">
        <f>$F$19*(1+$J$74)-$F$19</f>
        <v>376</v>
      </c>
      <c r="L45" s="136">
        <f t="shared" si="7"/>
        <v>33.088000000000001</v>
      </c>
      <c r="M45" s="76"/>
      <c r="N45" s="137">
        <f t="shared" si="2"/>
        <v>-8.7999999999993861E-2</v>
      </c>
      <c r="O45" s="79">
        <f t="shared" si="3"/>
        <v>-2.6525198938990198E-3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38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6"/>
        <v>0</v>
      </c>
      <c r="I46" s="76"/>
      <c r="J46" s="138"/>
      <c r="K46" s="81">
        <v>1</v>
      </c>
      <c r="L46" s="136">
        <f t="shared" si="7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39</v>
      </c>
      <c r="C47" s="20"/>
      <c r="D47" s="20"/>
      <c r="E47" s="20"/>
      <c r="F47" s="21"/>
      <c r="G47" s="22"/>
      <c r="H47" s="23">
        <f>SUM(H40:H46)+H39</f>
        <v>1819.5135</v>
      </c>
      <c r="I47" s="13"/>
      <c r="J47" s="22"/>
      <c r="K47" s="24"/>
      <c r="L47" s="23">
        <f>SUM(L40:L46)+L39</f>
        <v>1731.8604999999998</v>
      </c>
      <c r="M47" s="13"/>
      <c r="N47" s="15">
        <f t="shared" si="2"/>
        <v>-87.653000000000247</v>
      </c>
      <c r="O47" s="16">
        <f t="shared" ref="O47:O59" si="8">IF((H47)=0,"",(N47/H47))</f>
        <v>-4.8173866256007579E-2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40</v>
      </c>
      <c r="C48" s="76"/>
      <c r="D48" s="25" t="s">
        <v>68</v>
      </c>
      <c r="E48" s="76"/>
      <c r="F48" s="135">
        <v>0.55459999999999998</v>
      </c>
      <c r="G48" s="18">
        <f>F18*(1+F74)</f>
        <v>25.942500000000003</v>
      </c>
      <c r="H48" s="136">
        <f>G48*F48</f>
        <v>14.387710500000001</v>
      </c>
      <c r="I48" s="76"/>
      <c r="J48" s="135">
        <v>0.52159999999999995</v>
      </c>
      <c r="K48" s="18">
        <f>F18*(1+J74)</f>
        <v>25.94</v>
      </c>
      <c r="L48" s="136">
        <f>K48*J48</f>
        <v>13.530303999999999</v>
      </c>
      <c r="M48" s="76"/>
      <c r="N48" s="136">
        <f t="shared" si="2"/>
        <v>-0.85740650000000151</v>
      </c>
      <c r="O48" s="79">
        <f t="shared" si="8"/>
        <v>-5.959297693681017E-2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41</v>
      </c>
      <c r="C49" s="76"/>
      <c r="D49" s="25" t="s">
        <v>68</v>
      </c>
      <c r="E49" s="76"/>
      <c r="F49" s="135">
        <v>0.37609999999999999</v>
      </c>
      <c r="G49" s="18">
        <f>G48</f>
        <v>25.942500000000003</v>
      </c>
      <c r="H49" s="136">
        <f>G49*F49</f>
        <v>9.7569742500000007</v>
      </c>
      <c r="I49" s="76"/>
      <c r="J49" s="135">
        <v>0.26400000000000001</v>
      </c>
      <c r="K49" s="18">
        <f>K48</f>
        <v>25.94</v>
      </c>
      <c r="L49" s="136">
        <f>K49*J49</f>
        <v>6.8481600000000009</v>
      </c>
      <c r="M49" s="76"/>
      <c r="N49" s="136">
        <f t="shared" si="2"/>
        <v>-2.9088142499999998</v>
      </c>
      <c r="O49" s="79">
        <f t="shared" si="8"/>
        <v>-0.29812667077603483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42</v>
      </c>
      <c r="C50" s="20"/>
      <c r="D50" s="20"/>
      <c r="E50" s="20"/>
      <c r="F50" s="21"/>
      <c r="G50" s="22"/>
      <c r="H50" s="23">
        <f>SUM(H47:H49)</f>
        <v>1843.6581847499999</v>
      </c>
      <c r="I50" s="13"/>
      <c r="J50" s="26"/>
      <c r="K50" s="22"/>
      <c r="L50" s="23">
        <f>SUM(L47:L49)</f>
        <v>1752.2389639999997</v>
      </c>
      <c r="M50" s="13"/>
      <c r="N50" s="15">
        <f t="shared" si="2"/>
        <v>-91.41922075000025</v>
      </c>
      <c r="O50" s="16">
        <f t="shared" si="8"/>
        <v>-4.9585775446979993E-2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43</v>
      </c>
      <c r="C51" s="73"/>
      <c r="D51" s="7" t="s">
        <v>27</v>
      </c>
      <c r="E51" s="73"/>
      <c r="F51" s="135">
        <v>4.4000000000000003E-3</v>
      </c>
      <c r="G51" s="18">
        <f>F19*(1+F74)</f>
        <v>10377</v>
      </c>
      <c r="H51" s="139">
        <f t="shared" ref="H51:H59" si="9">G51*F51</f>
        <v>45.658799999999999</v>
      </c>
      <c r="I51" s="76"/>
      <c r="J51" s="135">
        <f>+F51</f>
        <v>4.4000000000000003E-3</v>
      </c>
      <c r="K51" s="18">
        <f>F19*(1+J74)</f>
        <v>10376</v>
      </c>
      <c r="L51" s="139">
        <f t="shared" ref="L51:L59" si="10">K51*J51</f>
        <v>45.654400000000003</v>
      </c>
      <c r="M51" s="76"/>
      <c r="N51" s="137">
        <f t="shared" si="2"/>
        <v>-4.3999999999968509E-3</v>
      </c>
      <c r="O51" s="87">
        <f t="shared" si="8"/>
        <v>-9.6366965404190446E-5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44</v>
      </c>
      <c r="C52" s="73"/>
      <c r="D52" s="7" t="s">
        <v>27</v>
      </c>
      <c r="E52" s="73"/>
      <c r="F52" s="135">
        <v>1.1999999999999999E-3</v>
      </c>
      <c r="G52" s="18">
        <f>+G51</f>
        <v>10377</v>
      </c>
      <c r="H52" s="139">
        <f t="shared" si="9"/>
        <v>12.452399999999999</v>
      </c>
      <c r="I52" s="76"/>
      <c r="J52" s="135">
        <f>+F52</f>
        <v>1.1999999999999999E-3</v>
      </c>
      <c r="K52" s="18">
        <f>+K51</f>
        <v>10376</v>
      </c>
      <c r="L52" s="139">
        <f t="shared" si="10"/>
        <v>12.451199999999998</v>
      </c>
      <c r="M52" s="76"/>
      <c r="N52" s="137">
        <f t="shared" si="2"/>
        <v>-1.200000000000756E-3</v>
      </c>
      <c r="O52" s="87">
        <f t="shared" si="8"/>
        <v>-9.6366965404320144E-5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45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9"/>
        <v>0.25</v>
      </c>
      <c r="I53" s="76"/>
      <c r="J53" s="135">
        <f>+F53</f>
        <v>0.25</v>
      </c>
      <c r="K53" s="77">
        <v>1</v>
      </c>
      <c r="L53" s="139">
        <f t="shared" si="10"/>
        <v>0.25</v>
      </c>
      <c r="M53" s="76"/>
      <c r="N53" s="137">
        <f t="shared" si="2"/>
        <v>0</v>
      </c>
      <c r="O53" s="87">
        <f t="shared" si="8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46</v>
      </c>
      <c r="C54" s="73"/>
      <c r="D54" s="7" t="s">
        <v>27</v>
      </c>
      <c r="E54" s="73"/>
      <c r="F54" s="135">
        <v>7.0000000000000001E-3</v>
      </c>
      <c r="G54" s="84">
        <f>F19</f>
        <v>10000</v>
      </c>
      <c r="H54" s="139">
        <f t="shared" si="9"/>
        <v>70</v>
      </c>
      <c r="I54" s="76"/>
      <c r="J54" s="135">
        <f>+F54</f>
        <v>7.0000000000000001E-3</v>
      </c>
      <c r="K54" s="77">
        <f>F19</f>
        <v>10000</v>
      </c>
      <c r="L54" s="139">
        <f t="shared" si="10"/>
        <v>70</v>
      </c>
      <c r="M54" s="76"/>
      <c r="N54" s="137">
        <f t="shared" si="2"/>
        <v>0</v>
      </c>
      <c r="O54" s="87">
        <f t="shared" si="8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47</v>
      </c>
      <c r="C55" s="73"/>
      <c r="D55" s="7" t="s">
        <v>27</v>
      </c>
      <c r="E55" s="73"/>
      <c r="F55" s="138">
        <v>6.7000000000000004E-2</v>
      </c>
      <c r="G55" s="27">
        <f>0.64*$F$19</f>
        <v>6400</v>
      </c>
      <c r="H55" s="139">
        <f t="shared" si="9"/>
        <v>428.8</v>
      </c>
      <c r="I55" s="76"/>
      <c r="J55" s="138">
        <v>6.7000000000000004E-2</v>
      </c>
      <c r="K55" s="28">
        <f>G55</f>
        <v>6400</v>
      </c>
      <c r="L55" s="139">
        <f t="shared" si="10"/>
        <v>428.8</v>
      </c>
      <c r="M55" s="76"/>
      <c r="N55" s="137">
        <f t="shared" si="2"/>
        <v>0</v>
      </c>
      <c r="O55" s="87">
        <f t="shared" si="8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48</v>
      </c>
      <c r="C56" s="73"/>
      <c r="D56" s="7" t="s">
        <v>27</v>
      </c>
      <c r="E56" s="73"/>
      <c r="F56" s="138">
        <v>0.104</v>
      </c>
      <c r="G56" s="27">
        <f>0.18*$F$19</f>
        <v>1800</v>
      </c>
      <c r="H56" s="139">
        <f t="shared" si="9"/>
        <v>187.2</v>
      </c>
      <c r="I56" s="76"/>
      <c r="J56" s="138">
        <v>0.104</v>
      </c>
      <c r="K56" s="28">
        <f>G56</f>
        <v>1800</v>
      </c>
      <c r="L56" s="139">
        <f t="shared" si="10"/>
        <v>187.2</v>
      </c>
      <c r="M56" s="76"/>
      <c r="N56" s="137">
        <f t="shared" si="2"/>
        <v>0</v>
      </c>
      <c r="O56" s="87">
        <f t="shared" si="8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49</v>
      </c>
      <c r="C57" s="73"/>
      <c r="D57" s="7" t="s">
        <v>27</v>
      </c>
      <c r="E57" s="73"/>
      <c r="F57" s="138">
        <v>0.124</v>
      </c>
      <c r="G57" s="27">
        <f>0.18*$F$19</f>
        <v>1800</v>
      </c>
      <c r="H57" s="139">
        <f t="shared" si="9"/>
        <v>223.2</v>
      </c>
      <c r="I57" s="76"/>
      <c r="J57" s="138">
        <v>0.124</v>
      </c>
      <c r="K57" s="28">
        <f>G57</f>
        <v>1800</v>
      </c>
      <c r="L57" s="139">
        <f t="shared" si="10"/>
        <v>223.2</v>
      </c>
      <c r="M57" s="76"/>
      <c r="N57" s="137">
        <f t="shared" si="2"/>
        <v>0</v>
      </c>
      <c r="O57" s="87">
        <f t="shared" si="8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50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</f>
        <v>750</v>
      </c>
      <c r="H58" s="139">
        <f t="shared" si="9"/>
        <v>56.25</v>
      </c>
      <c r="I58" s="91"/>
      <c r="J58" s="138">
        <v>7.4999999999999997E-2</v>
      </c>
      <c r="K58" s="31">
        <f>G58</f>
        <v>750</v>
      </c>
      <c r="L58" s="139">
        <f t="shared" si="10"/>
        <v>56.25</v>
      </c>
      <c r="M58" s="91"/>
      <c r="N58" s="140">
        <f t="shared" si="2"/>
        <v>0</v>
      </c>
      <c r="O58" s="87">
        <f t="shared" si="8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51</v>
      </c>
      <c r="C59" s="90"/>
      <c r="D59" s="29" t="s">
        <v>27</v>
      </c>
      <c r="E59" s="90"/>
      <c r="F59" s="138">
        <v>8.7999999999999995E-2</v>
      </c>
      <c r="G59" s="30">
        <f>IF(AND($T$1=1, F19&gt;=750), F19-750, IF(AND($T$1=1, AND(F19&lt;750, F19&gt;=0)), 0, IF(AND($T$1=2, F19&gt;=750), F19-750, IF(AND($T$1=2, AND(F19&lt;750, F19&gt;=0)), 0))))</f>
        <v>9250</v>
      </c>
      <c r="H59" s="139">
        <f t="shared" si="9"/>
        <v>814</v>
      </c>
      <c r="I59" s="91"/>
      <c r="J59" s="138">
        <v>8.7999999999999995E-2</v>
      </c>
      <c r="K59" s="31">
        <f>G59</f>
        <v>9250</v>
      </c>
      <c r="L59" s="139">
        <f t="shared" si="10"/>
        <v>814</v>
      </c>
      <c r="M59" s="91"/>
      <c r="N59" s="140">
        <f t="shared" si="2"/>
        <v>0</v>
      </c>
      <c r="O59" s="87">
        <f t="shared" si="8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52</v>
      </c>
      <c r="C61" s="73"/>
      <c r="D61" s="73"/>
      <c r="E61" s="73"/>
      <c r="F61" s="94"/>
      <c r="G61" s="95"/>
      <c r="H61" s="141">
        <f>SUM(H51:H57,H50)</f>
        <v>2811.2193847500002</v>
      </c>
      <c r="I61" s="96"/>
      <c r="J61" s="97"/>
      <c r="K61" s="97"/>
      <c r="L61" s="144">
        <f>SUM(L51:L57,L50)</f>
        <v>2719.7945639999998</v>
      </c>
      <c r="M61" s="145"/>
      <c r="N61" s="146">
        <f>L61-H61</f>
        <v>-91.424820750000436</v>
      </c>
      <c r="O61" s="98">
        <f>IF((H61)=0,"",(N61/H61))</f>
        <v>-3.2521410903023774E-2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53</v>
      </c>
      <c r="C62" s="73"/>
      <c r="D62" s="73"/>
      <c r="E62" s="73"/>
      <c r="F62" s="100">
        <v>0.13</v>
      </c>
      <c r="G62" s="101"/>
      <c r="H62" s="142">
        <f>H61*F62</f>
        <v>365.45852001750006</v>
      </c>
      <c r="I62" s="102"/>
      <c r="J62" s="103">
        <v>0.13</v>
      </c>
      <c r="K62" s="102"/>
      <c r="L62" s="147">
        <f>L61*J62</f>
        <v>353.57329332</v>
      </c>
      <c r="M62" s="148"/>
      <c r="N62" s="149">
        <f>L62-H62</f>
        <v>-11.885226697500059</v>
      </c>
      <c r="O62" s="104">
        <f>IF((H62)=0,"",(N62/H62))</f>
        <v>-3.2521410903023774E-2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54</v>
      </c>
      <c r="C63" s="73"/>
      <c r="D63" s="73"/>
      <c r="E63" s="73"/>
      <c r="F63" s="106"/>
      <c r="G63" s="101"/>
      <c r="H63" s="142">
        <f>H61+H62</f>
        <v>3176.6779047675004</v>
      </c>
      <c r="I63" s="102"/>
      <c r="J63" s="102"/>
      <c r="K63" s="102"/>
      <c r="L63" s="147">
        <f>L61+L62</f>
        <v>3073.36785732</v>
      </c>
      <c r="M63" s="148"/>
      <c r="N63" s="149">
        <f>L63-H63</f>
        <v>-103.31004744750044</v>
      </c>
      <c r="O63" s="104">
        <f>IF((H63)=0,"",(N63/H63))</f>
        <v>-3.2521410903023754E-2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55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56</v>
      </c>
      <c r="C65" s="173"/>
      <c r="D65" s="173"/>
      <c r="E65" s="42"/>
      <c r="F65" s="43"/>
      <c r="G65" s="44"/>
      <c r="H65" s="45">
        <f>H63+H64</f>
        <v>3176.6779047675004</v>
      </c>
      <c r="I65" s="46"/>
      <c r="J65" s="46"/>
      <c r="K65" s="46"/>
      <c r="L65" s="47">
        <f>L63+L64</f>
        <v>3073.36785732</v>
      </c>
      <c r="M65" s="48"/>
      <c r="N65" s="49">
        <f>L65-H65</f>
        <v>-103.31004744750044</v>
      </c>
      <c r="O65" s="50">
        <f>IF((H65)=0,"",(N65/H65))</f>
        <v>-3.2521410903023754E-2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57</v>
      </c>
      <c r="C67" s="90"/>
      <c r="D67" s="90"/>
      <c r="E67" s="90"/>
      <c r="F67" s="109"/>
      <c r="G67" s="110"/>
      <c r="H67" s="152">
        <f>SUM(H58:H59,H50,H51:H54)</f>
        <v>2842.2693847500004</v>
      </c>
      <c r="I67" s="111"/>
      <c r="J67" s="112"/>
      <c r="K67" s="112"/>
      <c r="L67" s="155">
        <f>SUM(L58:L59,L50,L51:L54)</f>
        <v>2750.8445639999995</v>
      </c>
      <c r="M67" s="156"/>
      <c r="N67" s="157">
        <f>L67-H67</f>
        <v>-91.42482075000089</v>
      </c>
      <c r="O67" s="98">
        <f>IF((H67)=0,"",(N67/H67))</f>
        <v>-3.2166135004843117E-2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53</v>
      </c>
      <c r="C68" s="90"/>
      <c r="D68" s="90"/>
      <c r="E68" s="90"/>
      <c r="F68" s="114">
        <v>0.13</v>
      </c>
      <c r="G68" s="110"/>
      <c r="H68" s="153">
        <f>H67*F68</f>
        <v>369.49502001750005</v>
      </c>
      <c r="I68" s="115"/>
      <c r="J68" s="116">
        <v>0.13</v>
      </c>
      <c r="K68" s="117"/>
      <c r="L68" s="158">
        <f>L67*J68</f>
        <v>357.60979331999994</v>
      </c>
      <c r="M68" s="159"/>
      <c r="N68" s="160">
        <f>L68-H68</f>
        <v>-11.885226697500116</v>
      </c>
      <c r="O68" s="104">
        <f>IF((H68)=0,"",(N68/H68))</f>
        <v>-3.2166135004843117E-2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54</v>
      </c>
      <c r="C69" s="90"/>
      <c r="D69" s="90"/>
      <c r="E69" s="90"/>
      <c r="F69" s="119"/>
      <c r="G69" s="120"/>
      <c r="H69" s="153">
        <f>H67+H68</f>
        <v>3211.7644047675003</v>
      </c>
      <c r="I69" s="115"/>
      <c r="J69" s="115"/>
      <c r="K69" s="115"/>
      <c r="L69" s="158">
        <f>L67+L68</f>
        <v>3108.4543573199994</v>
      </c>
      <c r="M69" s="159"/>
      <c r="N69" s="160">
        <f>L69-H69</f>
        <v>-103.31004744750089</v>
      </c>
      <c r="O69" s="104">
        <f>IF((H69)=0,"",(N69/H69))</f>
        <v>-3.2166135004843083E-2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55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58</v>
      </c>
      <c r="C71" s="173"/>
      <c r="D71" s="173"/>
      <c r="E71" s="42"/>
      <c r="F71" s="43"/>
      <c r="G71" s="44"/>
      <c r="H71" s="45">
        <f>SUM(H69:H70)</f>
        <v>3211.7644047675003</v>
      </c>
      <c r="I71" s="46"/>
      <c r="J71" s="46"/>
      <c r="K71" s="46"/>
      <c r="L71" s="47">
        <f>SUM(L69:L70)</f>
        <v>3108.4543573199994</v>
      </c>
      <c r="M71" s="48"/>
      <c r="N71" s="49">
        <f>L71-H71</f>
        <v>-103.31004744750089</v>
      </c>
      <c r="O71" s="50">
        <f>IF((H71)=0,"",(N71/H71))</f>
        <v>-3.2166135004843083E-2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59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60</v>
      </c>
    </row>
    <row r="79" spans="1:63" x14ac:dyDescent="0.3">
      <c r="A79" s="60" t="s">
        <v>61</v>
      </c>
    </row>
    <row r="80" spans="1:63" x14ac:dyDescent="0.3">
      <c r="A80" s="60" t="s">
        <v>62</v>
      </c>
    </row>
    <row r="82" spans="2:2" x14ac:dyDescent="0.3">
      <c r="B82" s="60" t="s">
        <v>63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E48:E49 E40:E46 E23:E38 E51:E57 E60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90" r:id="rId4" name="Option Button 26">
              <controlPr defaultSize="0" autoFill="0" autoLine="0" autoPict="0">
                <anchor moveWithCells="1">
                  <from>
                    <xdr:col>7</xdr:col>
                    <xdr:colOff>327660</xdr:colOff>
                    <xdr:row>15</xdr:row>
                    <xdr:rowOff>144780</xdr:rowOff>
                  </from>
                  <to>
                    <xdr:col>9</xdr:col>
                    <xdr:colOff>609600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5" name="Option Button 27">
              <controlPr defaultSize="0" autoFill="0" autoLine="0" autoPict="0">
                <anchor moveWithCells="1">
                  <from>
                    <xdr:col>9</xdr:col>
                    <xdr:colOff>426720</xdr:colOff>
                    <xdr:row>15</xdr:row>
                    <xdr:rowOff>137160</xdr:rowOff>
                  </from>
                  <to>
                    <xdr:col>14</xdr:col>
                    <xdr:colOff>678180</xdr:colOff>
                    <xdr:row>16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157"/>
  <sheetViews>
    <sheetView view="pageBreakPreview" topLeftCell="C138" zoomScale="90" zoomScaleNormal="80" zoomScaleSheetLayoutView="90" workbookViewId="0">
      <selection activeCell="K351" sqref="K351"/>
    </sheetView>
  </sheetViews>
  <sheetFormatPr defaultColWidth="9.109375" defaultRowHeight="14.4" x14ac:dyDescent="0.3"/>
  <cols>
    <col min="1" max="1" width="4.44140625" style="60" customWidth="1"/>
    <col min="2" max="2" width="45.3320312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3.33203125" style="60" customWidth="1"/>
    <col min="9" max="9" width="2.88671875" style="60" customWidth="1"/>
    <col min="10" max="10" width="12.109375" style="60" customWidth="1"/>
    <col min="11" max="11" width="12" style="60" customWidth="1"/>
    <col min="12" max="12" width="12.4414062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78</v>
      </c>
      <c r="P1" s="56"/>
      <c r="T1" s="53">
        <v>3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76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64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250</v>
      </c>
      <c r="G18" s="65" t="s">
        <v>12</v>
      </c>
    </row>
    <row r="19" spans="2:29" x14ac:dyDescent="0.3">
      <c r="B19" s="64"/>
      <c r="F19" s="65"/>
      <c r="G19" s="65"/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11.58</v>
      </c>
      <c r="G23" s="74">
        <v>1</v>
      </c>
      <c r="H23" s="75">
        <f t="shared" ref="H23:H38" si="0">G23*F23</f>
        <v>11.58</v>
      </c>
      <c r="I23" s="76"/>
      <c r="J23" s="129">
        <v>11.19</v>
      </c>
      <c r="K23" s="77">
        <v>1</v>
      </c>
      <c r="L23" s="75">
        <f t="shared" ref="L23:L38" si="1">K23*J23</f>
        <v>11.19</v>
      </c>
      <c r="M23" s="76"/>
      <c r="N23" s="78">
        <f t="shared" ref="N23:N59" si="2">L23-H23</f>
        <v>-0.39000000000000057</v>
      </c>
      <c r="O23" s="79">
        <f t="shared" ref="O23:O45" si="3">IF((H23)=0,"",(N23/H23))</f>
        <v>-3.3678756476683988E-2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27</v>
      </c>
      <c r="E29" s="73"/>
      <c r="F29" s="135">
        <v>1.0800000000000001E-2</v>
      </c>
      <c r="G29" s="74">
        <f>$F$18</f>
        <v>250</v>
      </c>
      <c r="H29" s="136">
        <f t="shared" si="0"/>
        <v>2.7</v>
      </c>
      <c r="I29" s="76"/>
      <c r="J29" s="132">
        <v>1.04E-2</v>
      </c>
      <c r="K29" s="74">
        <f>$F$18</f>
        <v>250</v>
      </c>
      <c r="L29" s="136">
        <f t="shared" si="1"/>
        <v>2.6</v>
      </c>
      <c r="M29" s="76"/>
      <c r="N29" s="137">
        <f t="shared" si="2"/>
        <v>-0.10000000000000009</v>
      </c>
      <c r="O29" s="79">
        <f t="shared" si="3"/>
        <v>-3.703703703703707E-2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f>$F$18</f>
        <v>250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27</v>
      </c>
      <c r="E31" s="73"/>
      <c r="F31" s="135">
        <v>2.9999999999999997E-4</v>
      </c>
      <c r="G31" s="74">
        <f>$F$18</f>
        <v>250</v>
      </c>
      <c r="H31" s="136">
        <f t="shared" si="0"/>
        <v>7.4999999999999997E-2</v>
      </c>
      <c r="I31" s="76"/>
      <c r="J31" s="132">
        <v>0</v>
      </c>
      <c r="K31" s="74">
        <f>$F$18</f>
        <v>250</v>
      </c>
      <c r="L31" s="136">
        <f t="shared" si="1"/>
        <v>0</v>
      </c>
      <c r="M31" s="76"/>
      <c r="N31" s="137">
        <f t="shared" si="2"/>
        <v>-7.4999999999999997E-2</v>
      </c>
      <c r="O31" s="79">
        <f t="shared" si="3"/>
        <v>-1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27</v>
      </c>
      <c r="E32" s="73"/>
      <c r="F32" s="135">
        <v>2E-3</v>
      </c>
      <c r="G32" s="74">
        <f>$F$18</f>
        <v>250</v>
      </c>
      <c r="H32" s="136">
        <f t="shared" si="0"/>
        <v>0.5</v>
      </c>
      <c r="I32" s="76"/>
      <c r="J32" s="132"/>
      <c r="K32" s="74">
        <f>$F$18</f>
        <v>250</v>
      </c>
      <c r="L32" s="136">
        <f t="shared" si="1"/>
        <v>0</v>
      </c>
      <c r="M32" s="76"/>
      <c r="N32" s="137">
        <f t="shared" si="2"/>
        <v>-0.5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27</v>
      </c>
      <c r="E33" s="73"/>
      <c r="F33" s="135">
        <v>-4.0000000000000002E-4</v>
      </c>
      <c r="G33" s="74">
        <f>$F$18</f>
        <v>250</v>
      </c>
      <c r="H33" s="136">
        <f t="shared" si="0"/>
        <v>-0.1</v>
      </c>
      <c r="I33" s="76"/>
      <c r="J33" s="132"/>
      <c r="K33" s="74">
        <f>$F$18</f>
        <v>250</v>
      </c>
      <c r="L33" s="136">
        <f t="shared" si="1"/>
        <v>0</v>
      </c>
      <c r="M33" s="76"/>
      <c r="N33" s="137">
        <f t="shared" si="2"/>
        <v>0.1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32</v>
      </c>
      <c r="C34" s="73"/>
      <c r="D34" s="7" t="s">
        <v>24</v>
      </c>
      <c r="E34" s="73"/>
      <c r="F34" s="135"/>
      <c r="G34" s="74">
        <v>1</v>
      </c>
      <c r="H34" s="136">
        <f t="shared" si="0"/>
        <v>0</v>
      </c>
      <c r="I34" s="76"/>
      <c r="J34" s="132"/>
      <c r="K34" s="74">
        <v>1</v>
      </c>
      <c r="L34" s="136">
        <f t="shared" si="1"/>
        <v>0</v>
      </c>
      <c r="M34" s="76"/>
      <c r="N34" s="137">
        <f t="shared" si="2"/>
        <v>0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">
        <v>33</v>
      </c>
      <c r="C35" s="73"/>
      <c r="D35" s="7" t="s">
        <v>27</v>
      </c>
      <c r="E35" s="73"/>
      <c r="F35" s="134"/>
      <c r="G35" s="74">
        <f>$F$18</f>
        <v>250</v>
      </c>
      <c r="H35" s="136">
        <f t="shared" si="0"/>
        <v>0</v>
      </c>
      <c r="I35" s="76"/>
      <c r="J35" s="132">
        <v>-1E-4</v>
      </c>
      <c r="K35" s="74">
        <f>$F$18</f>
        <v>250</v>
      </c>
      <c r="L35" s="136">
        <f t="shared" si="1"/>
        <v>-2.5000000000000001E-2</v>
      </c>
      <c r="M35" s="76"/>
      <c r="N35" s="137">
        <f t="shared" si="2"/>
        <v>-2.5000000000000001E-2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">
        <v>77</v>
      </c>
      <c r="C36" s="73"/>
      <c r="D36" s="7" t="s">
        <v>27</v>
      </c>
      <c r="E36" s="73"/>
      <c r="F36" s="134"/>
      <c r="G36" s="74">
        <f>$F$18</f>
        <v>250</v>
      </c>
      <c r="H36" s="136">
        <f t="shared" si="0"/>
        <v>0</v>
      </c>
      <c r="I36" s="76"/>
      <c r="J36" s="132">
        <v>2.0000000000000001E-4</v>
      </c>
      <c r="K36" s="74">
        <f>$F$18</f>
        <v>250</v>
      </c>
      <c r="L36" s="136">
        <f t="shared" si="1"/>
        <v>0.05</v>
      </c>
      <c r="M36" s="76"/>
      <c r="N36" s="137">
        <f t="shared" si="2"/>
        <v>0.05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>$F$18</f>
        <v>250</v>
      </c>
      <c r="H37" s="136">
        <f t="shared" si="0"/>
        <v>0</v>
      </c>
      <c r="I37" s="76"/>
      <c r="J37" s="131"/>
      <c r="K37" s="74">
        <f>$F$18</f>
        <v>250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$F$18</f>
        <v>250</v>
      </c>
      <c r="H38" s="136">
        <f t="shared" si="0"/>
        <v>0</v>
      </c>
      <c r="I38" s="76"/>
      <c r="J38" s="131"/>
      <c r="K38" s="74">
        <f>$F$18</f>
        <v>250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34</v>
      </c>
      <c r="C39" s="20"/>
      <c r="D39" s="20"/>
      <c r="E39" s="20"/>
      <c r="F39" s="21"/>
      <c r="G39" s="22"/>
      <c r="H39" s="23">
        <f>SUM(H23:H38)</f>
        <v>14.755000000000001</v>
      </c>
      <c r="I39" s="13"/>
      <c r="J39" s="14"/>
      <c r="K39" s="24"/>
      <c r="L39" s="23">
        <f>SUM(L23:L38)</f>
        <v>13.815</v>
      </c>
      <c r="M39" s="13"/>
      <c r="N39" s="15">
        <f t="shared" si="2"/>
        <v>-0.94000000000000128</v>
      </c>
      <c r="O39" s="16">
        <f t="shared" si="3"/>
        <v>-6.3707217892240001E-2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35</v>
      </c>
      <c r="C40" s="73"/>
      <c r="D40" s="7" t="s">
        <v>27</v>
      </c>
      <c r="E40" s="73"/>
      <c r="F40" s="135">
        <v>2.9999999999999997E-4</v>
      </c>
      <c r="G40" s="74">
        <f>$F$18</f>
        <v>250</v>
      </c>
      <c r="H40" s="136">
        <f t="shared" ref="H40:H46" si="4">G40*F40</f>
        <v>7.4999999999999997E-2</v>
      </c>
      <c r="I40" s="76"/>
      <c r="J40" s="135">
        <v>-6.9999999999999999E-4</v>
      </c>
      <c r="K40" s="74">
        <f>$F$18</f>
        <v>250</v>
      </c>
      <c r="L40" s="136">
        <f t="shared" ref="L40:L46" si="5">K40*J40</f>
        <v>-0.17499999999999999</v>
      </c>
      <c r="M40" s="76"/>
      <c r="N40" s="137">
        <f t="shared" si="2"/>
        <v>-0.25</v>
      </c>
      <c r="O40" s="79">
        <f t="shared" si="3"/>
        <v>-3.3333333333333335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$F$18</f>
        <v>250</v>
      </c>
      <c r="H41" s="136">
        <f t="shared" si="4"/>
        <v>0</v>
      </c>
      <c r="I41" s="82"/>
      <c r="J41" s="8"/>
      <c r="K41" s="74">
        <f>$F$18</f>
        <v>250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$F$18</f>
        <v>250</v>
      </c>
      <c r="H42" s="136">
        <f t="shared" si="4"/>
        <v>0</v>
      </c>
      <c r="I42" s="82"/>
      <c r="J42" s="8"/>
      <c r="K42" s="74">
        <f>$F$18</f>
        <v>250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$F$18</f>
        <v>250</v>
      </c>
      <c r="H43" s="136">
        <f t="shared" si="4"/>
        <v>0</v>
      </c>
      <c r="I43" s="82"/>
      <c r="J43" s="8"/>
      <c r="K43" s="74">
        <f>$F$18</f>
        <v>250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36</v>
      </c>
      <c r="C44" s="73"/>
      <c r="D44" s="7" t="s">
        <v>27</v>
      </c>
      <c r="E44" s="73"/>
      <c r="F44" s="135">
        <v>2.0000000000000001E-4</v>
      </c>
      <c r="G44" s="74">
        <f>$F$18</f>
        <v>250</v>
      </c>
      <c r="H44" s="136">
        <f t="shared" si="4"/>
        <v>0.05</v>
      </c>
      <c r="I44" s="76"/>
      <c r="J44" s="135">
        <v>2.9999999999999997E-4</v>
      </c>
      <c r="K44" s="74">
        <f>$F$18</f>
        <v>250</v>
      </c>
      <c r="L44" s="136">
        <f t="shared" si="5"/>
        <v>7.4999999999999997E-2</v>
      </c>
      <c r="M44" s="76"/>
      <c r="N44" s="137">
        <f t="shared" si="2"/>
        <v>2.4999999999999994E-2</v>
      </c>
      <c r="O44" s="79">
        <f t="shared" si="3"/>
        <v>0.49999999999999989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37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7.4999999999999997E-2</v>
      </c>
      <c r="G45" s="18">
        <f>$F$18*(1+$F$74)-$F$18</f>
        <v>9.4250000000000114</v>
      </c>
      <c r="H45" s="136">
        <f t="shared" si="4"/>
        <v>0.70687500000000081</v>
      </c>
      <c r="I45" s="76"/>
      <c r="J45" s="138">
        <f>+F45</f>
        <v>7.4999999999999997E-2</v>
      </c>
      <c r="K45" s="18">
        <f>$F$18*(1+$J$74)-$F$18</f>
        <v>9.4000000000000341</v>
      </c>
      <c r="L45" s="136">
        <f t="shared" si="5"/>
        <v>0.70500000000000251</v>
      </c>
      <c r="M45" s="76"/>
      <c r="N45" s="137">
        <f t="shared" si="2"/>
        <v>-1.8749999999982947E-3</v>
      </c>
      <c r="O45" s="79">
        <f t="shared" si="3"/>
        <v>-2.6525198938967889E-3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38</v>
      </c>
      <c r="C46" s="73"/>
      <c r="D46" s="7" t="s">
        <v>24</v>
      </c>
      <c r="E46" s="73"/>
      <c r="F46" s="138"/>
      <c r="G46" s="74">
        <v>1</v>
      </c>
      <c r="H46" s="136">
        <f t="shared" si="4"/>
        <v>0</v>
      </c>
      <c r="I46" s="76"/>
      <c r="J46" s="138"/>
      <c r="K46" s="81">
        <v>1</v>
      </c>
      <c r="L46" s="136">
        <f t="shared" si="5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39</v>
      </c>
      <c r="C47" s="20"/>
      <c r="D47" s="20"/>
      <c r="E47" s="20"/>
      <c r="F47" s="21"/>
      <c r="G47" s="22"/>
      <c r="H47" s="23">
        <f>SUM(H40:H46)+H39</f>
        <v>15.586875000000001</v>
      </c>
      <c r="I47" s="13"/>
      <c r="J47" s="22"/>
      <c r="K47" s="24"/>
      <c r="L47" s="23">
        <f>SUM(L40:L46)+L39</f>
        <v>14.420000000000002</v>
      </c>
      <c r="M47" s="13"/>
      <c r="N47" s="15">
        <f t="shared" si="2"/>
        <v>-1.1668749999999992</v>
      </c>
      <c r="O47" s="16">
        <f t="shared" ref="O47:O59" si="6">IF((H47)=0,"",(N47/H47))</f>
        <v>-7.4862664902361709E-2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40</v>
      </c>
      <c r="C48" s="76"/>
      <c r="D48" s="25" t="s">
        <v>27</v>
      </c>
      <c r="E48" s="76"/>
      <c r="F48" s="135">
        <v>7.4000000000000003E-3</v>
      </c>
      <c r="G48" s="18">
        <f>F18*(1+F74)</f>
        <v>259.42500000000001</v>
      </c>
      <c r="H48" s="136">
        <f>G48*F48</f>
        <v>1.9197450000000003</v>
      </c>
      <c r="I48" s="76"/>
      <c r="J48" s="135">
        <v>7.0000000000000001E-3</v>
      </c>
      <c r="K48" s="18">
        <f>F18*(1+J74)</f>
        <v>259.40000000000003</v>
      </c>
      <c r="L48" s="136">
        <f>K48*J48</f>
        <v>1.8158000000000003</v>
      </c>
      <c r="M48" s="76"/>
      <c r="N48" s="136">
        <f t="shared" si="2"/>
        <v>-0.10394499999999995</v>
      </c>
      <c r="O48" s="79">
        <f t="shared" si="6"/>
        <v>-5.4145211994301293E-2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41</v>
      </c>
      <c r="C49" s="76"/>
      <c r="D49" s="25" t="s">
        <v>27</v>
      </c>
      <c r="E49" s="76"/>
      <c r="F49" s="135">
        <v>5.0000000000000001E-3</v>
      </c>
      <c r="G49" s="18">
        <f>G48</f>
        <v>259.42500000000001</v>
      </c>
      <c r="H49" s="136">
        <f>G49*F49</f>
        <v>1.2971250000000001</v>
      </c>
      <c r="I49" s="76"/>
      <c r="J49" s="135">
        <v>3.5000000000000001E-3</v>
      </c>
      <c r="K49" s="18">
        <f>K48</f>
        <v>259.40000000000003</v>
      </c>
      <c r="L49" s="136">
        <f>K49*J49</f>
        <v>0.90790000000000015</v>
      </c>
      <c r="M49" s="76"/>
      <c r="N49" s="136">
        <f t="shared" si="2"/>
        <v>-0.38922499999999993</v>
      </c>
      <c r="O49" s="79">
        <f t="shared" si="6"/>
        <v>-0.3000674568757829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42</v>
      </c>
      <c r="C50" s="20"/>
      <c r="D50" s="20"/>
      <c r="E50" s="20"/>
      <c r="F50" s="21"/>
      <c r="G50" s="22"/>
      <c r="H50" s="23">
        <f>SUM(H47:H49)</f>
        <v>18.803745000000003</v>
      </c>
      <c r="I50" s="13"/>
      <c r="J50" s="26"/>
      <c r="K50" s="22"/>
      <c r="L50" s="23">
        <f>SUM(L47:L49)</f>
        <v>17.143700000000003</v>
      </c>
      <c r="M50" s="13"/>
      <c r="N50" s="15">
        <f t="shared" si="2"/>
        <v>-1.6600450000000002</v>
      </c>
      <c r="O50" s="16">
        <f t="shared" si="6"/>
        <v>-8.8282679859783247E-2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43</v>
      </c>
      <c r="C51" s="73"/>
      <c r="D51" s="7" t="s">
        <v>27</v>
      </c>
      <c r="E51" s="73"/>
      <c r="F51" s="135">
        <v>4.4000000000000003E-3</v>
      </c>
      <c r="G51" s="18">
        <f>G49</f>
        <v>259.42500000000001</v>
      </c>
      <c r="H51" s="139">
        <f t="shared" ref="H51:H59" si="7">G51*F51</f>
        <v>1.1414700000000002</v>
      </c>
      <c r="I51" s="76"/>
      <c r="J51" s="135">
        <f>+F51</f>
        <v>4.4000000000000003E-3</v>
      </c>
      <c r="K51" s="18">
        <f>K49</f>
        <v>259.40000000000003</v>
      </c>
      <c r="L51" s="139">
        <f t="shared" ref="L51:L59" si="8">K51*J51</f>
        <v>1.1413600000000002</v>
      </c>
      <c r="M51" s="76"/>
      <c r="N51" s="137">
        <f t="shared" si="2"/>
        <v>-1.100000000000545E-4</v>
      </c>
      <c r="O51" s="87">
        <f t="shared" si="6"/>
        <v>-9.6366965404307147E-5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44</v>
      </c>
      <c r="C52" s="73"/>
      <c r="D52" s="7" t="s">
        <v>27</v>
      </c>
      <c r="E52" s="73"/>
      <c r="F52" s="135">
        <v>1.1999999999999999E-3</v>
      </c>
      <c r="G52" s="18">
        <f>G49</f>
        <v>259.42500000000001</v>
      </c>
      <c r="H52" s="139">
        <f t="shared" si="7"/>
        <v>0.31130999999999998</v>
      </c>
      <c r="I52" s="76"/>
      <c r="J52" s="135">
        <f>+F52</f>
        <v>1.1999999999999999E-3</v>
      </c>
      <c r="K52" s="18">
        <f>K49</f>
        <v>259.40000000000003</v>
      </c>
      <c r="L52" s="139">
        <f t="shared" si="8"/>
        <v>0.31128</v>
      </c>
      <c r="M52" s="76"/>
      <c r="N52" s="137">
        <f t="shared" si="2"/>
        <v>-2.9999999999974492E-5</v>
      </c>
      <c r="O52" s="87">
        <f t="shared" si="6"/>
        <v>-9.636696540417749E-5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45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46</v>
      </c>
      <c r="C54" s="73"/>
      <c r="D54" s="7" t="s">
        <v>27</v>
      </c>
      <c r="E54" s="73"/>
      <c r="F54" s="135">
        <v>7.0000000000000001E-3</v>
      </c>
      <c r="G54" s="84">
        <f>F18</f>
        <v>250</v>
      </c>
      <c r="H54" s="139">
        <f t="shared" si="7"/>
        <v>1.75</v>
      </c>
      <c r="I54" s="76"/>
      <c r="J54" s="135">
        <f>+F54</f>
        <v>7.0000000000000001E-3</v>
      </c>
      <c r="K54" s="77">
        <f>F18</f>
        <v>250</v>
      </c>
      <c r="L54" s="139">
        <f t="shared" si="8"/>
        <v>1.75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47</v>
      </c>
      <c r="C55" s="73"/>
      <c r="D55" s="7" t="s">
        <v>27</v>
      </c>
      <c r="E55" s="73"/>
      <c r="F55" s="138">
        <v>6.7000000000000004E-2</v>
      </c>
      <c r="G55" s="27">
        <f>0.64*$F$18</f>
        <v>160</v>
      </c>
      <c r="H55" s="139">
        <f t="shared" si="7"/>
        <v>10.72</v>
      </c>
      <c r="I55" s="76"/>
      <c r="J55" s="138">
        <v>6.7000000000000004E-2</v>
      </c>
      <c r="K55" s="28">
        <f>G55</f>
        <v>160</v>
      </c>
      <c r="L55" s="139">
        <f t="shared" si="8"/>
        <v>10.72</v>
      </c>
      <c r="M55" s="76"/>
      <c r="N55" s="137">
        <f t="shared" si="2"/>
        <v>0</v>
      </c>
      <c r="O55" s="87">
        <f t="shared" si="6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48</v>
      </c>
      <c r="C56" s="73"/>
      <c r="D56" s="7" t="s">
        <v>27</v>
      </c>
      <c r="E56" s="73"/>
      <c r="F56" s="138">
        <v>0.104</v>
      </c>
      <c r="G56" s="27">
        <f>0.18*$F$18</f>
        <v>45</v>
      </c>
      <c r="H56" s="139">
        <f t="shared" si="7"/>
        <v>4.68</v>
      </c>
      <c r="I56" s="76"/>
      <c r="J56" s="138">
        <v>0.104</v>
      </c>
      <c r="K56" s="28">
        <f>G56</f>
        <v>45</v>
      </c>
      <c r="L56" s="139">
        <f t="shared" si="8"/>
        <v>4.68</v>
      </c>
      <c r="M56" s="76"/>
      <c r="N56" s="137">
        <f t="shared" si="2"/>
        <v>0</v>
      </c>
      <c r="O56" s="87">
        <f t="shared" si="6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49</v>
      </c>
      <c r="C57" s="73"/>
      <c r="D57" s="7" t="s">
        <v>27</v>
      </c>
      <c r="E57" s="73"/>
      <c r="F57" s="138">
        <v>0.124</v>
      </c>
      <c r="G57" s="27">
        <f>0.18*$F$18</f>
        <v>45</v>
      </c>
      <c r="H57" s="139">
        <f t="shared" si="7"/>
        <v>5.58</v>
      </c>
      <c r="I57" s="76"/>
      <c r="J57" s="138">
        <v>0.124</v>
      </c>
      <c r="K57" s="28">
        <f>G57</f>
        <v>45</v>
      </c>
      <c r="L57" s="139">
        <f t="shared" si="8"/>
        <v>5.58</v>
      </c>
      <c r="M57" s="76"/>
      <c r="N57" s="137">
        <f t="shared" si="2"/>
        <v>0</v>
      </c>
      <c r="O57" s="87">
        <f t="shared" si="6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50</v>
      </c>
      <c r="C58" s="90"/>
      <c r="D58" s="29" t="s">
        <v>27</v>
      </c>
      <c r="E58" s="90"/>
      <c r="F58" s="138">
        <v>7.4999999999999997E-2</v>
      </c>
      <c r="G58" s="30">
        <f>+F18</f>
        <v>250</v>
      </c>
      <c r="H58" s="139">
        <f t="shared" si="7"/>
        <v>18.75</v>
      </c>
      <c r="I58" s="91"/>
      <c r="J58" s="138">
        <v>7.4999999999999997E-2</v>
      </c>
      <c r="K58" s="31">
        <f>G58</f>
        <v>250</v>
      </c>
      <c r="L58" s="139">
        <f t="shared" si="8"/>
        <v>18.75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51</v>
      </c>
      <c r="C59" s="90"/>
      <c r="D59" s="29" t="s">
        <v>27</v>
      </c>
      <c r="E59" s="90"/>
      <c r="F59" s="138">
        <v>8.7999999999999995E-2</v>
      </c>
      <c r="G59" s="30"/>
      <c r="H59" s="139">
        <f t="shared" si="7"/>
        <v>0</v>
      </c>
      <c r="I59" s="91"/>
      <c r="J59" s="138">
        <v>8.7999999999999995E-2</v>
      </c>
      <c r="K59" s="31">
        <f>G59</f>
        <v>0</v>
      </c>
      <c r="L59" s="139">
        <f t="shared" si="8"/>
        <v>0</v>
      </c>
      <c r="M59" s="91"/>
      <c r="N59" s="140">
        <f t="shared" si="2"/>
        <v>0</v>
      </c>
      <c r="O59" s="87" t="str">
        <f t="shared" si="6"/>
        <v/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52</v>
      </c>
      <c r="C61" s="73"/>
      <c r="D61" s="73"/>
      <c r="E61" s="73"/>
      <c r="F61" s="94"/>
      <c r="G61" s="95"/>
      <c r="H61" s="141">
        <f>SUM(H51:H57,H50)</f>
        <v>43.236525</v>
      </c>
      <c r="I61" s="96"/>
      <c r="J61" s="97"/>
      <c r="K61" s="97"/>
      <c r="L61" s="144">
        <f>SUM(L51:L57,L50)</f>
        <v>41.576340000000002</v>
      </c>
      <c r="M61" s="145"/>
      <c r="N61" s="146">
        <f>L61-H61</f>
        <v>-1.6601849999999985</v>
      </c>
      <c r="O61" s="98">
        <f>IF((H61)=0,"",(N61/H61))</f>
        <v>-3.8397743574443102E-2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53</v>
      </c>
      <c r="C62" s="73"/>
      <c r="D62" s="73"/>
      <c r="E62" s="73"/>
      <c r="F62" s="100">
        <v>0.13</v>
      </c>
      <c r="G62" s="101"/>
      <c r="H62" s="142">
        <f>H61*F62</f>
        <v>5.6207482500000001</v>
      </c>
      <c r="I62" s="102"/>
      <c r="J62" s="103">
        <v>0.13</v>
      </c>
      <c r="K62" s="102"/>
      <c r="L62" s="147">
        <f>L61*J62</f>
        <v>5.4049242000000008</v>
      </c>
      <c r="M62" s="148"/>
      <c r="N62" s="149">
        <f>L62-H62</f>
        <v>-0.21582404999999927</v>
      </c>
      <c r="O62" s="104">
        <f>IF((H62)=0,"",(N62/H62))</f>
        <v>-3.8397743574443005E-2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54</v>
      </c>
      <c r="C63" s="73"/>
      <c r="D63" s="73"/>
      <c r="E63" s="73"/>
      <c r="F63" s="106"/>
      <c r="G63" s="101"/>
      <c r="H63" s="142">
        <f>H61+H62</f>
        <v>48.857273249999999</v>
      </c>
      <c r="I63" s="102"/>
      <c r="J63" s="102"/>
      <c r="K63" s="102"/>
      <c r="L63" s="147">
        <f>L61+L62</f>
        <v>46.981264200000005</v>
      </c>
      <c r="M63" s="148"/>
      <c r="N63" s="149">
        <f>L63-H63</f>
        <v>-1.8760090499999933</v>
      </c>
      <c r="O63" s="104">
        <f>IF((H63)=0,"",(N63/H63))</f>
        <v>-3.8397743574442998E-2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55</v>
      </c>
      <c r="C64" s="172"/>
      <c r="D64" s="172"/>
      <c r="E64" s="73"/>
      <c r="F64" s="106"/>
      <c r="G64" s="101"/>
      <c r="H64" s="143">
        <f>+H63*-0.1</f>
        <v>-4.8857273250000004</v>
      </c>
      <c r="I64" s="102"/>
      <c r="J64" s="102"/>
      <c r="K64" s="102"/>
      <c r="L64" s="150">
        <f>+L63*-0.1</f>
        <v>-4.6981264200000004</v>
      </c>
      <c r="M64" s="148"/>
      <c r="N64" s="151">
        <f>L64-H64</f>
        <v>0.18760090500000004</v>
      </c>
      <c r="O64" s="107">
        <f>IF((H64)=0,"",(N64/H64))</f>
        <v>-3.8397743574443144E-2</v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56</v>
      </c>
      <c r="C65" s="173"/>
      <c r="D65" s="173"/>
      <c r="E65" s="42"/>
      <c r="F65" s="43"/>
      <c r="G65" s="44"/>
      <c r="H65" s="45">
        <f>H63+H64</f>
        <v>43.971545925000001</v>
      </c>
      <c r="I65" s="46"/>
      <c r="J65" s="46"/>
      <c r="K65" s="46"/>
      <c r="L65" s="47">
        <f>L63+L64</f>
        <v>42.283137780000004</v>
      </c>
      <c r="M65" s="48"/>
      <c r="N65" s="49">
        <f>L65-H65</f>
        <v>-1.6884081449999968</v>
      </c>
      <c r="O65" s="50">
        <f>IF((H65)=0,"",(N65/H65))</f>
        <v>-3.8397743574443061E-2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57</v>
      </c>
      <c r="C67" s="90"/>
      <c r="D67" s="90"/>
      <c r="E67" s="90"/>
      <c r="F67" s="109"/>
      <c r="G67" s="110"/>
      <c r="H67" s="152">
        <f>SUM(H58:H59,H50,H51:H54)</f>
        <v>41.006525000000003</v>
      </c>
      <c r="I67" s="111"/>
      <c r="J67" s="112"/>
      <c r="K67" s="112"/>
      <c r="L67" s="155">
        <f>SUM(L58:L59,L50,L51:L54)</f>
        <v>39.346339999999998</v>
      </c>
      <c r="M67" s="156"/>
      <c r="N67" s="157">
        <f>L67-H67</f>
        <v>-1.6601850000000056</v>
      </c>
      <c r="O67" s="98">
        <f>IF((H67)=0,"",(N67/H67))</f>
        <v>-4.0485873894459609E-2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53</v>
      </c>
      <c r="C68" s="90"/>
      <c r="D68" s="90"/>
      <c r="E68" s="90"/>
      <c r="F68" s="114">
        <v>0.13</v>
      </c>
      <c r="G68" s="110"/>
      <c r="H68" s="153">
        <f>H67*F68</f>
        <v>5.3308482500000007</v>
      </c>
      <c r="I68" s="115"/>
      <c r="J68" s="116">
        <v>0.13</v>
      </c>
      <c r="K68" s="117"/>
      <c r="L68" s="158">
        <f>L67*J68</f>
        <v>5.1150241999999997</v>
      </c>
      <c r="M68" s="159"/>
      <c r="N68" s="160">
        <f>L68-H68</f>
        <v>-0.21582405000000104</v>
      </c>
      <c r="O68" s="104">
        <f>IF((H68)=0,"",(N68/H68))</f>
        <v>-4.0485873894459672E-2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54</v>
      </c>
      <c r="C69" s="90"/>
      <c r="D69" s="90"/>
      <c r="E69" s="90"/>
      <c r="F69" s="119"/>
      <c r="G69" s="120"/>
      <c r="H69" s="153">
        <f>H67+H68</f>
        <v>46.337373250000006</v>
      </c>
      <c r="I69" s="115"/>
      <c r="J69" s="115"/>
      <c r="K69" s="115"/>
      <c r="L69" s="158">
        <f>L67+L68</f>
        <v>44.461364199999998</v>
      </c>
      <c r="M69" s="159"/>
      <c r="N69" s="160">
        <f>L69-H69</f>
        <v>-1.8760090500000075</v>
      </c>
      <c r="O69" s="104">
        <f>IF((H69)=0,"",(N69/H69))</f>
        <v>-4.0485873894459637E-2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55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58</v>
      </c>
      <c r="C71" s="173"/>
      <c r="D71" s="173"/>
      <c r="E71" s="42"/>
      <c r="F71" s="43"/>
      <c r="G71" s="44"/>
      <c r="H71" s="45">
        <f>SUM(H69:H70)</f>
        <v>46.337373250000006</v>
      </c>
      <c r="I71" s="46"/>
      <c r="J71" s="46"/>
      <c r="K71" s="46"/>
      <c r="L71" s="47">
        <f>SUM(L69:L70)</f>
        <v>44.461364199999998</v>
      </c>
      <c r="M71" s="48"/>
      <c r="N71" s="49">
        <f>L71-H71</f>
        <v>-1.8760090500000075</v>
      </c>
      <c r="O71" s="50">
        <f>IF((H71)=0,"",(N71/H71))</f>
        <v>-4.0485873894459637E-2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59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60</v>
      </c>
    </row>
    <row r="79" spans="1:63" x14ac:dyDescent="0.3">
      <c r="A79" s="60" t="s">
        <v>61</v>
      </c>
    </row>
    <row r="80" spans="1:63" x14ac:dyDescent="0.3">
      <c r="A80" s="60" t="s">
        <v>62</v>
      </c>
    </row>
    <row r="82" spans="2:29" x14ac:dyDescent="0.3">
      <c r="B82" s="60" t="s">
        <v>63</v>
      </c>
    </row>
    <row r="85" spans="2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2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2:29" ht="7.5" customHeight="1" x14ac:dyDescent="0.3">
      <c r="L87" s="56"/>
      <c r="M87" s="56"/>
      <c r="N87" s="56"/>
      <c r="O87" s="56"/>
      <c r="P87" s="56"/>
    </row>
    <row r="88" spans="2:29" ht="7.5" customHeight="1" x14ac:dyDescent="0.3">
      <c r="L88" s="56"/>
      <c r="M88" s="56"/>
      <c r="N88" s="56"/>
      <c r="O88" s="56"/>
      <c r="P88" s="56"/>
    </row>
    <row r="89" spans="2:29" ht="15.6" x14ac:dyDescent="0.3">
      <c r="B89" s="61" t="s">
        <v>8</v>
      </c>
      <c r="D89" s="185" t="s">
        <v>76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2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2:29" ht="15.6" x14ac:dyDescent="0.3">
      <c r="B91" s="61" t="s">
        <v>9</v>
      </c>
      <c r="D91" s="5" t="s">
        <v>64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2:29" ht="15.6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2:29" x14ac:dyDescent="0.3">
      <c r="B93" s="64"/>
      <c r="D93" s="65" t="s">
        <v>11</v>
      </c>
      <c r="E93" s="65"/>
      <c r="F93" s="6">
        <v>550</v>
      </c>
      <c r="G93" s="65" t="s">
        <v>12</v>
      </c>
    </row>
    <row r="94" spans="2:29" x14ac:dyDescent="0.3">
      <c r="B94" s="64"/>
      <c r="F94" s="65"/>
      <c r="G94" s="65"/>
    </row>
    <row r="95" spans="2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2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23</v>
      </c>
      <c r="C98" s="73"/>
      <c r="D98" s="7" t="s">
        <v>24</v>
      </c>
      <c r="E98" s="73"/>
      <c r="F98" s="129">
        <v>11.58</v>
      </c>
      <c r="G98" s="74">
        <v>1</v>
      </c>
      <c r="H98" s="75">
        <f t="shared" ref="H98:H113" si="9">G98*F98</f>
        <v>11.58</v>
      </c>
      <c r="I98" s="76"/>
      <c r="J98" s="129">
        <v>11.19</v>
      </c>
      <c r="K98" s="77">
        <v>1</v>
      </c>
      <c r="L98" s="75">
        <f t="shared" ref="L98:L113" si="10">K98*J98</f>
        <v>11.19</v>
      </c>
      <c r="M98" s="76"/>
      <c r="N98" s="78">
        <f t="shared" ref="N98:N134" si="11">L98-H98</f>
        <v>-0.39000000000000057</v>
      </c>
      <c r="O98" s="79">
        <f t="shared" ref="O98:O120" si="12">IF((H98)=0,"",(N98/H98))</f>
        <v>-3.3678756476683988E-2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73" t="s">
        <v>25</v>
      </c>
      <c r="C99" s="73"/>
      <c r="D99" s="7" t="s">
        <v>24</v>
      </c>
      <c r="E99" s="73"/>
      <c r="F99" s="133"/>
      <c r="G99" s="74">
        <v>1</v>
      </c>
      <c r="H99" s="136">
        <f t="shared" si="9"/>
        <v>0</v>
      </c>
      <c r="I99" s="76"/>
      <c r="J99" s="130"/>
      <c r="K99" s="77">
        <v>1</v>
      </c>
      <c r="L99" s="136">
        <f t="shared" si="10"/>
        <v>0</v>
      </c>
      <c r="M99" s="76"/>
      <c r="N99" s="137">
        <f t="shared" si="11"/>
        <v>0</v>
      </c>
      <c r="O99" s="79" t="str">
        <f t="shared" si="12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9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10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26</v>
      </c>
      <c r="C104" s="73"/>
      <c r="D104" s="7" t="s">
        <v>27</v>
      </c>
      <c r="E104" s="73"/>
      <c r="F104" s="135">
        <v>1.0800000000000001E-2</v>
      </c>
      <c r="G104" s="74">
        <f>$F$93</f>
        <v>550</v>
      </c>
      <c r="H104" s="136">
        <f t="shared" si="9"/>
        <v>5.94</v>
      </c>
      <c r="I104" s="76"/>
      <c r="J104" s="132">
        <v>1.04E-2</v>
      </c>
      <c r="K104" s="74">
        <f t="shared" ref="K104:K108" si="13">$F$93</f>
        <v>550</v>
      </c>
      <c r="L104" s="136">
        <f t="shared" si="10"/>
        <v>5.72</v>
      </c>
      <c r="M104" s="76"/>
      <c r="N104" s="137">
        <f t="shared" si="11"/>
        <v>-0.22000000000000064</v>
      </c>
      <c r="O104" s="79">
        <f t="shared" si="12"/>
        <v>-3.7037037037037139E-2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28</v>
      </c>
      <c r="C105" s="73"/>
      <c r="D105" s="7" t="s">
        <v>24</v>
      </c>
      <c r="E105" s="73"/>
      <c r="F105" s="135"/>
      <c r="G105" s="74">
        <v>1</v>
      </c>
      <c r="H105" s="136">
        <f t="shared" si="9"/>
        <v>0</v>
      </c>
      <c r="I105" s="76"/>
      <c r="J105" s="132"/>
      <c r="K105" s="74">
        <f t="shared" si="13"/>
        <v>550</v>
      </c>
      <c r="L105" s="136">
        <f t="shared" si="10"/>
        <v>0</v>
      </c>
      <c r="M105" s="76"/>
      <c r="N105" s="137">
        <f t="shared" si="11"/>
        <v>0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29</v>
      </c>
      <c r="C106" s="73"/>
      <c r="D106" s="7" t="s">
        <v>27</v>
      </c>
      <c r="E106" s="73"/>
      <c r="F106" s="135">
        <v>2.9999999999999997E-4</v>
      </c>
      <c r="G106" s="74">
        <f t="shared" ref="G106:G108" si="14">$F$93</f>
        <v>550</v>
      </c>
      <c r="H106" s="136">
        <f t="shared" si="9"/>
        <v>0.16499999999999998</v>
      </c>
      <c r="I106" s="76"/>
      <c r="J106" s="132">
        <v>0</v>
      </c>
      <c r="K106" s="74">
        <f t="shared" si="13"/>
        <v>550</v>
      </c>
      <c r="L106" s="136">
        <f t="shared" si="10"/>
        <v>0</v>
      </c>
      <c r="M106" s="76"/>
      <c r="N106" s="137">
        <f t="shared" si="11"/>
        <v>-0.16499999999999998</v>
      </c>
      <c r="O106" s="79">
        <f t="shared" si="12"/>
        <v>-1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30</v>
      </c>
      <c r="C107" s="73"/>
      <c r="D107" s="7" t="s">
        <v>27</v>
      </c>
      <c r="E107" s="73"/>
      <c r="F107" s="135">
        <v>2E-3</v>
      </c>
      <c r="G107" s="74">
        <f t="shared" si="14"/>
        <v>550</v>
      </c>
      <c r="H107" s="136">
        <f t="shared" si="9"/>
        <v>1.1000000000000001</v>
      </c>
      <c r="I107" s="76"/>
      <c r="J107" s="132"/>
      <c r="K107" s="74">
        <f t="shared" si="13"/>
        <v>550</v>
      </c>
      <c r="L107" s="136">
        <f t="shared" si="10"/>
        <v>0</v>
      </c>
      <c r="M107" s="76"/>
      <c r="N107" s="137">
        <f t="shared" si="11"/>
        <v>-1.1000000000000001</v>
      </c>
      <c r="O107" s="79">
        <f t="shared" si="12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31</v>
      </c>
      <c r="C108" s="73"/>
      <c r="D108" s="7" t="s">
        <v>27</v>
      </c>
      <c r="E108" s="73"/>
      <c r="F108" s="135">
        <v>-4.0000000000000002E-4</v>
      </c>
      <c r="G108" s="74">
        <f t="shared" si="14"/>
        <v>550</v>
      </c>
      <c r="H108" s="136">
        <f t="shared" si="9"/>
        <v>-0.22</v>
      </c>
      <c r="I108" s="76"/>
      <c r="J108" s="132"/>
      <c r="K108" s="74">
        <f t="shared" si="13"/>
        <v>550</v>
      </c>
      <c r="L108" s="136">
        <f t="shared" si="10"/>
        <v>0</v>
      </c>
      <c r="M108" s="76"/>
      <c r="N108" s="137">
        <f t="shared" si="11"/>
        <v>0.22</v>
      </c>
      <c r="O108" s="79">
        <f t="shared" si="12"/>
        <v>-1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1" t="s">
        <v>32</v>
      </c>
      <c r="C109" s="73"/>
      <c r="D109" s="7" t="s">
        <v>24</v>
      </c>
      <c r="E109" s="73"/>
      <c r="F109" s="135"/>
      <c r="G109" s="74">
        <v>1</v>
      </c>
      <c r="H109" s="136">
        <f t="shared" si="9"/>
        <v>0</v>
      </c>
      <c r="I109" s="76"/>
      <c r="J109" s="132"/>
      <c r="K109" s="74">
        <v>1</v>
      </c>
      <c r="L109" s="136">
        <f t="shared" si="10"/>
        <v>0</v>
      </c>
      <c r="M109" s="76"/>
      <c r="N109" s="137">
        <f t="shared" si="11"/>
        <v>0</v>
      </c>
      <c r="O109" s="79" t="str">
        <f t="shared" si="12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">
        <v>33</v>
      </c>
      <c r="C110" s="73"/>
      <c r="D110" s="7" t="s">
        <v>27</v>
      </c>
      <c r="E110" s="73"/>
      <c r="F110" s="134"/>
      <c r="G110" s="74">
        <f t="shared" ref="G110:G113" si="15">$F$93</f>
        <v>550</v>
      </c>
      <c r="H110" s="136">
        <f t="shared" si="9"/>
        <v>0</v>
      </c>
      <c r="I110" s="76"/>
      <c r="J110" s="132">
        <v>-1E-4</v>
      </c>
      <c r="K110" s="74">
        <f t="shared" ref="K110:K113" si="16">$F$93</f>
        <v>550</v>
      </c>
      <c r="L110" s="136">
        <f t="shared" si="10"/>
        <v>-5.5E-2</v>
      </c>
      <c r="M110" s="76"/>
      <c r="N110" s="137">
        <f t="shared" si="11"/>
        <v>-5.5E-2</v>
      </c>
      <c r="O110" s="79" t="str">
        <f>IF((H110)=0,"",(N110/H110))</f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 t="s">
        <v>77</v>
      </c>
      <c r="C111" s="73"/>
      <c r="D111" s="7" t="s">
        <v>27</v>
      </c>
      <c r="E111" s="73"/>
      <c r="F111" s="134"/>
      <c r="G111" s="74">
        <f t="shared" si="15"/>
        <v>550</v>
      </c>
      <c r="H111" s="136">
        <f t="shared" si="9"/>
        <v>0</v>
      </c>
      <c r="I111" s="76"/>
      <c r="J111" s="132">
        <v>2.0000000000000001E-4</v>
      </c>
      <c r="K111" s="74">
        <f t="shared" si="16"/>
        <v>550</v>
      </c>
      <c r="L111" s="136">
        <f t="shared" si="10"/>
        <v>0.11</v>
      </c>
      <c r="M111" s="76"/>
      <c r="N111" s="137">
        <f t="shared" si="11"/>
        <v>0.11</v>
      </c>
      <c r="O111" s="79" t="str">
        <f t="shared" si="12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/>
      <c r="C112" s="73"/>
      <c r="D112" s="7"/>
      <c r="E112" s="73"/>
      <c r="F112" s="131"/>
      <c r="G112" s="74">
        <f t="shared" si="15"/>
        <v>550</v>
      </c>
      <c r="H112" s="136">
        <f t="shared" si="9"/>
        <v>0</v>
      </c>
      <c r="I112" s="76"/>
      <c r="J112" s="131"/>
      <c r="K112" s="74">
        <f t="shared" si="16"/>
        <v>550</v>
      </c>
      <c r="L112" s="136">
        <f t="shared" si="10"/>
        <v>0</v>
      </c>
      <c r="M112" s="76"/>
      <c r="N112" s="137">
        <f t="shared" si="11"/>
        <v>0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/>
      <c r="C113" s="73"/>
      <c r="D113" s="7"/>
      <c r="E113" s="73"/>
      <c r="F113" s="131"/>
      <c r="G113" s="74">
        <f t="shared" si="15"/>
        <v>550</v>
      </c>
      <c r="H113" s="136">
        <f t="shared" si="9"/>
        <v>0</v>
      </c>
      <c r="I113" s="76"/>
      <c r="J113" s="131"/>
      <c r="K113" s="74">
        <f t="shared" si="16"/>
        <v>550</v>
      </c>
      <c r="L113" s="136">
        <f t="shared" si="10"/>
        <v>0</v>
      </c>
      <c r="M113" s="76"/>
      <c r="N113" s="137">
        <f t="shared" si="11"/>
        <v>0</v>
      </c>
      <c r="O113" s="79" t="str">
        <f t="shared" si="12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s="4" customFormat="1" x14ac:dyDescent="0.3">
      <c r="A114" s="60"/>
      <c r="B114" s="19" t="s">
        <v>34</v>
      </c>
      <c r="C114" s="20"/>
      <c r="D114" s="20"/>
      <c r="E114" s="20"/>
      <c r="F114" s="21"/>
      <c r="G114" s="22"/>
      <c r="H114" s="23">
        <f>SUM(H98:H113)</f>
        <v>18.565000000000001</v>
      </c>
      <c r="I114" s="13"/>
      <c r="J114" s="14"/>
      <c r="K114" s="24"/>
      <c r="L114" s="23">
        <f>SUM(L98:L113)</f>
        <v>16.965</v>
      </c>
      <c r="M114" s="13"/>
      <c r="N114" s="15">
        <f>L114-H114</f>
        <v>-1.6000000000000014</v>
      </c>
      <c r="O114" s="16">
        <f>IF((H114)=0,"",(N114/H114))</f>
        <v>-8.6183678965795929E-2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35</v>
      </c>
      <c r="C115" s="73"/>
      <c r="D115" s="7" t="s">
        <v>27</v>
      </c>
      <c r="E115" s="73"/>
      <c r="F115" s="135">
        <v>2.9999999999999997E-4</v>
      </c>
      <c r="G115" s="74">
        <f t="shared" ref="G115:G119" si="17">$F$93</f>
        <v>550</v>
      </c>
      <c r="H115" s="136">
        <f t="shared" ref="H115:H121" si="18">G115*F115</f>
        <v>0.16499999999999998</v>
      </c>
      <c r="I115" s="76"/>
      <c r="J115" s="135">
        <v>-6.9999999999999999E-4</v>
      </c>
      <c r="K115" s="74">
        <f t="shared" ref="K115:K119" si="19">$F$93</f>
        <v>550</v>
      </c>
      <c r="L115" s="136">
        <f t="shared" ref="L115:L121" si="20">K115*J115</f>
        <v>-0.38500000000000001</v>
      </c>
      <c r="M115" s="76"/>
      <c r="N115" s="137">
        <f t="shared" si="11"/>
        <v>-0.55000000000000004</v>
      </c>
      <c r="O115" s="79">
        <f t="shared" si="12"/>
        <v>-3.3333333333333339</v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 t="shared" si="17"/>
        <v>550</v>
      </c>
      <c r="H116" s="136">
        <f t="shared" si="18"/>
        <v>0</v>
      </c>
      <c r="I116" s="82"/>
      <c r="J116" s="8"/>
      <c r="K116" s="74">
        <f t="shared" si="19"/>
        <v>550</v>
      </c>
      <c r="L116" s="136">
        <f t="shared" si="20"/>
        <v>0</v>
      </c>
      <c r="M116" s="83"/>
      <c r="N116" s="137">
        <f t="shared" si="11"/>
        <v>0</v>
      </c>
      <c r="O116" s="79" t="str">
        <f t="shared" si="12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 t="shared" si="17"/>
        <v>550</v>
      </c>
      <c r="H117" s="136">
        <f t="shared" si="18"/>
        <v>0</v>
      </c>
      <c r="I117" s="82"/>
      <c r="J117" s="8"/>
      <c r="K117" s="74">
        <f t="shared" si="19"/>
        <v>550</v>
      </c>
      <c r="L117" s="136">
        <f t="shared" si="20"/>
        <v>0</v>
      </c>
      <c r="M117" s="83"/>
      <c r="N117" s="137">
        <f t="shared" si="11"/>
        <v>0</v>
      </c>
      <c r="O117" s="79" t="str">
        <f t="shared" si="12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 t="shared" si="17"/>
        <v>550</v>
      </c>
      <c r="H118" s="136">
        <f t="shared" si="18"/>
        <v>0</v>
      </c>
      <c r="I118" s="82"/>
      <c r="J118" s="8"/>
      <c r="K118" s="74">
        <f t="shared" si="19"/>
        <v>550</v>
      </c>
      <c r="L118" s="136">
        <f t="shared" si="20"/>
        <v>0</v>
      </c>
      <c r="M118" s="83"/>
      <c r="N118" s="137">
        <f t="shared" si="11"/>
        <v>0</v>
      </c>
      <c r="O118" s="79" t="str">
        <f t="shared" si="12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36</v>
      </c>
      <c r="C119" s="73"/>
      <c r="D119" s="7" t="s">
        <v>27</v>
      </c>
      <c r="E119" s="73"/>
      <c r="F119" s="135">
        <v>2.0000000000000001E-4</v>
      </c>
      <c r="G119" s="74">
        <f t="shared" si="17"/>
        <v>550</v>
      </c>
      <c r="H119" s="136">
        <f t="shared" si="18"/>
        <v>0.11</v>
      </c>
      <c r="I119" s="76"/>
      <c r="J119" s="135">
        <v>2.9999999999999997E-4</v>
      </c>
      <c r="K119" s="74">
        <f t="shared" si="19"/>
        <v>550</v>
      </c>
      <c r="L119" s="136">
        <f t="shared" si="20"/>
        <v>0.16499999999999998</v>
      </c>
      <c r="M119" s="76"/>
      <c r="N119" s="137">
        <f t="shared" si="11"/>
        <v>5.4999999999999979E-2</v>
      </c>
      <c r="O119" s="79">
        <f t="shared" si="12"/>
        <v>0.49999999999999983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37</v>
      </c>
      <c r="C120" s="73"/>
      <c r="D120" s="7" t="s">
        <v>27</v>
      </c>
      <c r="E120" s="73"/>
      <c r="F120" s="138">
        <f>IF(ISBLANK(D91)=TRUE, 0, IF(D91="TOU", 0.64*$F130+0.18*$F131+0.18*$F132, IF(AND(D91="non-TOU", G134&gt;0), F134,F133)))</f>
        <v>7.4999999999999997E-2</v>
      </c>
      <c r="G120" s="18">
        <f>$F$93*(1+$F$74)-$F$93</f>
        <v>20.735000000000014</v>
      </c>
      <c r="H120" s="136">
        <f t="shared" si="18"/>
        <v>1.555125000000001</v>
      </c>
      <c r="I120" s="76"/>
      <c r="J120" s="138">
        <f>+F120</f>
        <v>7.4999999999999997E-2</v>
      </c>
      <c r="K120" s="18">
        <f>$F$93*(1+$J$74)-$F$93</f>
        <v>20.680000000000064</v>
      </c>
      <c r="L120" s="136">
        <f>K120*J120</f>
        <v>1.5510000000000048</v>
      </c>
      <c r="M120" s="76"/>
      <c r="N120" s="137">
        <f t="shared" si="11"/>
        <v>-4.1249999999961595E-3</v>
      </c>
      <c r="O120" s="79">
        <f t="shared" si="12"/>
        <v>-2.652519893896733E-3</v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38</v>
      </c>
      <c r="C121" s="73"/>
      <c r="D121" s="7" t="s">
        <v>24</v>
      </c>
      <c r="E121" s="73"/>
      <c r="F121" s="138"/>
      <c r="G121" s="74">
        <v>1</v>
      </c>
      <c r="H121" s="136">
        <f t="shared" si="18"/>
        <v>0</v>
      </c>
      <c r="I121" s="76"/>
      <c r="J121" s="138"/>
      <c r="K121" s="81">
        <v>1</v>
      </c>
      <c r="L121" s="136">
        <f t="shared" si="20"/>
        <v>0</v>
      </c>
      <c r="M121" s="76"/>
      <c r="N121" s="137">
        <f t="shared" si="11"/>
        <v>0</v>
      </c>
      <c r="O121" s="79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s="4" customFormat="1" x14ac:dyDescent="0.3">
      <c r="A122" s="60"/>
      <c r="B122" s="19" t="s">
        <v>39</v>
      </c>
      <c r="C122" s="20"/>
      <c r="D122" s="20"/>
      <c r="E122" s="20"/>
      <c r="F122" s="21"/>
      <c r="G122" s="22"/>
      <c r="H122" s="23">
        <f>SUM(H115:H121)+H114</f>
        <v>20.395125000000004</v>
      </c>
      <c r="I122" s="13"/>
      <c r="J122" s="22"/>
      <c r="K122" s="24"/>
      <c r="L122" s="23">
        <f>SUM(L115:L121)+L114</f>
        <v>18.296000000000006</v>
      </c>
      <c r="M122" s="13"/>
      <c r="N122" s="15">
        <f t="shared" si="11"/>
        <v>-2.0991249999999972</v>
      </c>
      <c r="O122" s="16">
        <f t="shared" ref="O122:O134" si="21">IF((H122)=0,"",(N122/H122))</f>
        <v>-0.10292287985486713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40</v>
      </c>
      <c r="C123" s="76"/>
      <c r="D123" s="25" t="s">
        <v>27</v>
      </c>
      <c r="E123" s="76"/>
      <c r="F123" s="135">
        <v>7.4000000000000003E-3</v>
      </c>
      <c r="G123" s="18">
        <f>F93*(1+F149)</f>
        <v>570.73500000000001</v>
      </c>
      <c r="H123" s="136">
        <f>G123*F123</f>
        <v>4.2234389999999999</v>
      </c>
      <c r="I123" s="76"/>
      <c r="J123" s="135">
        <v>7.0000000000000001E-3</v>
      </c>
      <c r="K123" s="18">
        <f>F93*(1+J149)</f>
        <v>570.68000000000006</v>
      </c>
      <c r="L123" s="136">
        <f>K123*J123</f>
        <v>3.9947600000000003</v>
      </c>
      <c r="M123" s="76"/>
      <c r="N123" s="136">
        <f t="shared" si="11"/>
        <v>-0.22867899999999963</v>
      </c>
      <c r="O123" s="79">
        <f t="shared" si="21"/>
        <v>-5.4145211994301237E-2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x14ac:dyDescent="0.3">
      <c r="B124" s="85" t="s">
        <v>41</v>
      </c>
      <c r="C124" s="76"/>
      <c r="D124" s="25" t="s">
        <v>27</v>
      </c>
      <c r="E124" s="76"/>
      <c r="F124" s="135">
        <v>5.0000000000000001E-3</v>
      </c>
      <c r="G124" s="18">
        <f>G123</f>
        <v>570.73500000000001</v>
      </c>
      <c r="H124" s="136">
        <f>G124*F124</f>
        <v>2.853675</v>
      </c>
      <c r="I124" s="76"/>
      <c r="J124" s="135">
        <v>3.5000000000000001E-3</v>
      </c>
      <c r="K124" s="18">
        <f>K123</f>
        <v>570.68000000000006</v>
      </c>
      <c r="L124" s="136">
        <f>K124*J124</f>
        <v>1.9973800000000002</v>
      </c>
      <c r="M124" s="76"/>
      <c r="N124" s="136">
        <f t="shared" si="11"/>
        <v>-0.85629499999999981</v>
      </c>
      <c r="O124" s="79">
        <f t="shared" si="21"/>
        <v>-0.3000674568757829</v>
      </c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</row>
    <row r="125" spans="1:63" s="4" customFormat="1" x14ac:dyDescent="0.3">
      <c r="A125" s="60"/>
      <c r="B125" s="19" t="s">
        <v>42</v>
      </c>
      <c r="C125" s="20"/>
      <c r="D125" s="20"/>
      <c r="E125" s="20"/>
      <c r="F125" s="21"/>
      <c r="G125" s="22"/>
      <c r="H125" s="23">
        <f>SUM(H122:H124)</f>
        <v>27.472239000000002</v>
      </c>
      <c r="I125" s="13"/>
      <c r="J125" s="26"/>
      <c r="K125" s="22"/>
      <c r="L125" s="23">
        <f>SUM(L122:L124)</f>
        <v>24.288140000000006</v>
      </c>
      <c r="M125" s="13"/>
      <c r="N125" s="15">
        <f t="shared" si="11"/>
        <v>-3.1840989999999962</v>
      </c>
      <c r="O125" s="16">
        <f t="shared" si="21"/>
        <v>-0.11590242062177736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43</v>
      </c>
      <c r="C126" s="73"/>
      <c r="D126" s="7" t="s">
        <v>27</v>
      </c>
      <c r="E126" s="73"/>
      <c r="F126" s="135">
        <v>4.4000000000000003E-3</v>
      </c>
      <c r="G126" s="18">
        <f>G124</f>
        <v>570.73500000000001</v>
      </c>
      <c r="H126" s="139">
        <f t="shared" ref="H126:H134" si="22">G126*F126</f>
        <v>2.5112340000000004</v>
      </c>
      <c r="I126" s="76"/>
      <c r="J126" s="135">
        <f>+F126</f>
        <v>4.4000000000000003E-3</v>
      </c>
      <c r="K126" s="18">
        <f>K124</f>
        <v>570.68000000000006</v>
      </c>
      <c r="L126" s="139">
        <f t="shared" ref="L126:L134" si="23">K126*J126</f>
        <v>2.5109920000000003</v>
      </c>
      <c r="M126" s="76"/>
      <c r="N126" s="137">
        <f t="shared" si="11"/>
        <v>-2.4200000000007549E-4</v>
      </c>
      <c r="O126" s="87">
        <f t="shared" si="21"/>
        <v>-9.6366965404289461E-5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86" t="s">
        <v>44</v>
      </c>
      <c r="C127" s="73"/>
      <c r="D127" s="7" t="s">
        <v>27</v>
      </c>
      <c r="E127" s="73"/>
      <c r="F127" s="135">
        <v>1.1999999999999999E-3</v>
      </c>
      <c r="G127" s="18">
        <f>G124</f>
        <v>570.73500000000001</v>
      </c>
      <c r="H127" s="139">
        <f t="shared" si="22"/>
        <v>0.68488199999999999</v>
      </c>
      <c r="I127" s="76"/>
      <c r="J127" s="135">
        <f>+F127</f>
        <v>1.1999999999999999E-3</v>
      </c>
      <c r="K127" s="18">
        <f>K124</f>
        <v>570.68000000000006</v>
      </c>
      <c r="L127" s="139">
        <f t="shared" si="23"/>
        <v>0.68481599999999998</v>
      </c>
      <c r="M127" s="76"/>
      <c r="N127" s="137">
        <f t="shared" si="11"/>
        <v>-6.6000000000010495E-5</v>
      </c>
      <c r="O127" s="87">
        <f t="shared" si="21"/>
        <v>-9.6366965404274743E-5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45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22"/>
        <v>0.25</v>
      </c>
      <c r="I128" s="76"/>
      <c r="J128" s="135">
        <f>+F128</f>
        <v>0.25</v>
      </c>
      <c r="K128" s="77">
        <v>1</v>
      </c>
      <c r="L128" s="139">
        <f t="shared" si="23"/>
        <v>0.25</v>
      </c>
      <c r="M128" s="76"/>
      <c r="N128" s="137">
        <f t="shared" si="11"/>
        <v>0</v>
      </c>
      <c r="O128" s="87">
        <f t="shared" si="21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73" t="s">
        <v>46</v>
      </c>
      <c r="C129" s="73"/>
      <c r="D129" s="7" t="s">
        <v>27</v>
      </c>
      <c r="E129" s="73"/>
      <c r="F129" s="135">
        <v>7.0000000000000001E-3</v>
      </c>
      <c r="G129" s="84">
        <f>F93</f>
        <v>550</v>
      </c>
      <c r="H129" s="139">
        <f t="shared" si="22"/>
        <v>3.85</v>
      </c>
      <c r="I129" s="76"/>
      <c r="J129" s="135">
        <f>+F129</f>
        <v>7.0000000000000001E-3</v>
      </c>
      <c r="K129" s="77">
        <f>F93</f>
        <v>550</v>
      </c>
      <c r="L129" s="139">
        <f t="shared" si="23"/>
        <v>3.85</v>
      </c>
      <c r="M129" s="76"/>
      <c r="N129" s="137">
        <f t="shared" si="11"/>
        <v>0</v>
      </c>
      <c r="O129" s="87">
        <f t="shared" si="21"/>
        <v>0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47</v>
      </c>
      <c r="C130" s="73"/>
      <c r="D130" s="7" t="s">
        <v>27</v>
      </c>
      <c r="E130" s="73"/>
      <c r="F130" s="138">
        <v>6.7000000000000004E-2</v>
      </c>
      <c r="G130" s="27">
        <f>0.64*$F$93</f>
        <v>352</v>
      </c>
      <c r="H130" s="139">
        <f t="shared" si="22"/>
        <v>23.584000000000003</v>
      </c>
      <c r="I130" s="76"/>
      <c r="J130" s="138">
        <v>6.7000000000000004E-2</v>
      </c>
      <c r="K130" s="28">
        <f>G130</f>
        <v>352</v>
      </c>
      <c r="L130" s="139">
        <f t="shared" si="23"/>
        <v>23.584000000000003</v>
      </c>
      <c r="M130" s="76"/>
      <c r="N130" s="137">
        <f t="shared" si="11"/>
        <v>0</v>
      </c>
      <c r="O130" s="87">
        <f t="shared" si="21"/>
        <v>0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80" t="s">
        <v>48</v>
      </c>
      <c r="C131" s="73"/>
      <c r="D131" s="7" t="s">
        <v>27</v>
      </c>
      <c r="E131" s="73"/>
      <c r="F131" s="138">
        <v>0.104</v>
      </c>
      <c r="G131" s="27">
        <f>0.18*$F$93</f>
        <v>99</v>
      </c>
      <c r="H131" s="139">
        <f t="shared" si="22"/>
        <v>10.295999999999999</v>
      </c>
      <c r="I131" s="76"/>
      <c r="J131" s="138">
        <v>0.104</v>
      </c>
      <c r="K131" s="28">
        <f>G131</f>
        <v>99</v>
      </c>
      <c r="L131" s="139">
        <f t="shared" si="23"/>
        <v>10.295999999999999</v>
      </c>
      <c r="M131" s="76"/>
      <c r="N131" s="137">
        <f t="shared" si="11"/>
        <v>0</v>
      </c>
      <c r="O131" s="87">
        <f t="shared" si="21"/>
        <v>0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64" t="s">
        <v>49</v>
      </c>
      <c r="C132" s="73"/>
      <c r="D132" s="7" t="s">
        <v>27</v>
      </c>
      <c r="E132" s="73"/>
      <c r="F132" s="138">
        <v>0.124</v>
      </c>
      <c r="G132" s="27">
        <f>0.18*$F$93</f>
        <v>99</v>
      </c>
      <c r="H132" s="139">
        <f t="shared" si="22"/>
        <v>12.276</v>
      </c>
      <c r="I132" s="76"/>
      <c r="J132" s="138">
        <v>0.124</v>
      </c>
      <c r="K132" s="28">
        <f>G132</f>
        <v>99</v>
      </c>
      <c r="L132" s="139">
        <f t="shared" si="23"/>
        <v>12.276</v>
      </c>
      <c r="M132" s="76"/>
      <c r="N132" s="137">
        <f t="shared" si="11"/>
        <v>0</v>
      </c>
      <c r="O132" s="87">
        <f t="shared" si="21"/>
        <v>0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s="92" customFormat="1" x14ac:dyDescent="0.25">
      <c r="B133" s="89" t="s">
        <v>50</v>
      </c>
      <c r="C133" s="90"/>
      <c r="D133" s="29" t="s">
        <v>27</v>
      </c>
      <c r="E133" s="90"/>
      <c r="F133" s="138">
        <v>7.4999999999999997E-2</v>
      </c>
      <c r="G133" s="30">
        <f>+F93</f>
        <v>550</v>
      </c>
      <c r="H133" s="139">
        <f t="shared" si="22"/>
        <v>41.25</v>
      </c>
      <c r="I133" s="91"/>
      <c r="J133" s="138">
        <v>7.4999999999999997E-2</v>
      </c>
      <c r="K133" s="31">
        <f>G133</f>
        <v>550</v>
      </c>
      <c r="L133" s="139">
        <f t="shared" si="23"/>
        <v>41.25</v>
      </c>
      <c r="M133" s="91"/>
      <c r="N133" s="140">
        <f t="shared" si="11"/>
        <v>0</v>
      </c>
      <c r="O133" s="87">
        <f t="shared" si="21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51</v>
      </c>
      <c r="C134" s="90"/>
      <c r="D134" s="29" t="s">
        <v>27</v>
      </c>
      <c r="E134" s="90"/>
      <c r="F134" s="138">
        <v>8.7999999999999995E-2</v>
      </c>
      <c r="G134" s="30">
        <v>0</v>
      </c>
      <c r="H134" s="139">
        <f t="shared" si="22"/>
        <v>0</v>
      </c>
      <c r="I134" s="91"/>
      <c r="J134" s="138">
        <v>8.7999999999999995E-2</v>
      </c>
      <c r="K134" s="31">
        <f>G134</f>
        <v>0</v>
      </c>
      <c r="L134" s="139">
        <f t="shared" si="23"/>
        <v>0</v>
      </c>
      <c r="M134" s="91"/>
      <c r="N134" s="140">
        <f t="shared" si="11"/>
        <v>0</v>
      </c>
      <c r="O134" s="87" t="str">
        <f t="shared" si="21"/>
        <v/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52</v>
      </c>
      <c r="C136" s="73"/>
      <c r="D136" s="73"/>
      <c r="E136" s="73"/>
      <c r="F136" s="94"/>
      <c r="G136" s="95"/>
      <c r="H136" s="141">
        <f>SUM(H126:H132,H125)</f>
        <v>80.924355000000006</v>
      </c>
      <c r="I136" s="96"/>
      <c r="J136" s="97"/>
      <c r="K136" s="97"/>
      <c r="L136" s="144">
        <f>SUM(L126:L132,L125)</f>
        <v>77.739947999999998</v>
      </c>
      <c r="M136" s="145"/>
      <c r="N136" s="146">
        <f>L136-H136</f>
        <v>-3.1844070000000073</v>
      </c>
      <c r="O136" s="98">
        <f>IF((H136)=0,"",(N136/H136))</f>
        <v>-3.9350415582552457E-2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99" t="s">
        <v>53</v>
      </c>
      <c r="C137" s="73"/>
      <c r="D137" s="73"/>
      <c r="E137" s="73"/>
      <c r="F137" s="100">
        <v>0.13</v>
      </c>
      <c r="G137" s="101"/>
      <c r="H137" s="142">
        <f>H136*F137</f>
        <v>10.520166150000001</v>
      </c>
      <c r="I137" s="102"/>
      <c r="J137" s="103">
        <v>0.13</v>
      </c>
      <c r="K137" s="102"/>
      <c r="L137" s="147">
        <f>L136*J137</f>
        <v>10.10619324</v>
      </c>
      <c r="M137" s="148"/>
      <c r="N137" s="149">
        <f>L137-H137</f>
        <v>-0.4139729100000018</v>
      </c>
      <c r="O137" s="104">
        <f>IF((H137)=0,"",(N137/H137))</f>
        <v>-3.9350415582552541E-2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x14ac:dyDescent="0.3">
      <c r="B138" s="105" t="s">
        <v>54</v>
      </c>
      <c r="C138" s="73"/>
      <c r="D138" s="73"/>
      <c r="E138" s="73"/>
      <c r="F138" s="106"/>
      <c r="G138" s="101"/>
      <c r="H138" s="142">
        <f>H136+H137</f>
        <v>91.444521150000014</v>
      </c>
      <c r="I138" s="102"/>
      <c r="J138" s="102"/>
      <c r="K138" s="102"/>
      <c r="L138" s="147">
        <f>L136+L137</f>
        <v>87.846141239999994</v>
      </c>
      <c r="M138" s="148"/>
      <c r="N138" s="149">
        <f>L138-H138</f>
        <v>-3.5983799100000198</v>
      </c>
      <c r="O138" s="104">
        <f>IF((H138)=0,"",(N138/H138))</f>
        <v>-3.9350415582552582E-2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ht="14.4" customHeight="1" x14ac:dyDescent="0.3">
      <c r="B139" s="172" t="s">
        <v>55</v>
      </c>
      <c r="C139" s="172"/>
      <c r="D139" s="172"/>
      <c r="E139" s="73"/>
      <c r="F139" s="106"/>
      <c r="G139" s="101"/>
      <c r="H139" s="143">
        <f>+H138*-0.1</f>
        <v>-9.1444521150000018</v>
      </c>
      <c r="I139" s="102"/>
      <c r="J139" s="102"/>
      <c r="K139" s="102"/>
      <c r="L139" s="150">
        <f>+L138*-0.1</f>
        <v>-8.7846141239999991</v>
      </c>
      <c r="M139" s="148"/>
      <c r="N139" s="151">
        <f>L139-H139</f>
        <v>0.35983799100000269</v>
      </c>
      <c r="O139" s="107">
        <f>IF((H139)=0,"",(N139/H139))</f>
        <v>-3.9350415582552659E-2</v>
      </c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s="4" customFormat="1" ht="15" thickBot="1" x14ac:dyDescent="0.35">
      <c r="A140" s="60"/>
      <c r="B140" s="173" t="s">
        <v>56</v>
      </c>
      <c r="C140" s="173"/>
      <c r="D140" s="173"/>
      <c r="E140" s="42"/>
      <c r="F140" s="43"/>
      <c r="G140" s="44"/>
      <c r="H140" s="45">
        <f>H138+H139</f>
        <v>82.300069035000007</v>
      </c>
      <c r="I140" s="46"/>
      <c r="J140" s="46"/>
      <c r="K140" s="46"/>
      <c r="L140" s="47">
        <f>L138+L139</f>
        <v>79.061527115999993</v>
      </c>
      <c r="M140" s="48"/>
      <c r="N140" s="49">
        <f>L140-H140</f>
        <v>-3.2385419190000135</v>
      </c>
      <c r="O140" s="50">
        <f>IF((H140)=0,"",(N140/H140))</f>
        <v>-3.9350415582552534E-2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57</v>
      </c>
      <c r="C142" s="90"/>
      <c r="D142" s="90"/>
      <c r="E142" s="90"/>
      <c r="F142" s="109"/>
      <c r="G142" s="110"/>
      <c r="H142" s="152">
        <f>SUM(H133:H134,H125,H126:H129)</f>
        <v>76.018355</v>
      </c>
      <c r="I142" s="111"/>
      <c r="J142" s="112"/>
      <c r="K142" s="112"/>
      <c r="L142" s="155">
        <f>SUM(L133:L134,L125,L126:L129)</f>
        <v>72.833947999999992</v>
      </c>
      <c r="M142" s="156"/>
      <c r="N142" s="157">
        <f>L142-H142</f>
        <v>-3.1844070000000073</v>
      </c>
      <c r="O142" s="98">
        <f>IF((H142)=0,"",(N142/H142))</f>
        <v>-4.1889975125086659E-2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53</v>
      </c>
      <c r="C143" s="90"/>
      <c r="D143" s="90"/>
      <c r="E143" s="90"/>
      <c r="F143" s="114">
        <v>0.13</v>
      </c>
      <c r="G143" s="110"/>
      <c r="H143" s="153">
        <f>H142*F143</f>
        <v>9.8823861500000003</v>
      </c>
      <c r="I143" s="115"/>
      <c r="J143" s="116">
        <v>0.13</v>
      </c>
      <c r="K143" s="117"/>
      <c r="L143" s="158">
        <f>L142*J143</f>
        <v>9.4684132399999985</v>
      </c>
      <c r="M143" s="159"/>
      <c r="N143" s="160">
        <f>L143-H143</f>
        <v>-0.4139729100000018</v>
      </c>
      <c r="O143" s="104">
        <f>IF((H143)=0,"",(N143/H143))</f>
        <v>-4.1889975125086749E-2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54</v>
      </c>
      <c r="C144" s="90"/>
      <c r="D144" s="90"/>
      <c r="E144" s="90"/>
      <c r="F144" s="119"/>
      <c r="G144" s="120"/>
      <c r="H144" s="153">
        <f>H142+H143</f>
        <v>85.900741150000002</v>
      </c>
      <c r="I144" s="115"/>
      <c r="J144" s="115"/>
      <c r="K144" s="115"/>
      <c r="L144" s="158">
        <f>L142+L143</f>
        <v>82.302361239999996</v>
      </c>
      <c r="M144" s="159"/>
      <c r="N144" s="160">
        <f>L144-H144</f>
        <v>-3.5983799100000056</v>
      </c>
      <c r="O144" s="104">
        <f>IF((H144)=0,"",(N144/H144))</f>
        <v>-4.1889975125086631E-2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55</v>
      </c>
      <c r="C145" s="174"/>
      <c r="D145" s="174"/>
      <c r="E145" s="90"/>
      <c r="F145" s="119"/>
      <c r="G145" s="120"/>
      <c r="H145" s="154">
        <v>0</v>
      </c>
      <c r="I145" s="115"/>
      <c r="J145" s="115"/>
      <c r="K145" s="115"/>
      <c r="L145" s="161">
        <v>0</v>
      </c>
      <c r="M145" s="159"/>
      <c r="N145" s="162">
        <f>L145-H145</f>
        <v>0</v>
      </c>
      <c r="O145" s="107" t="str">
        <f>IF((H145)=0,"",(N145/H145))</f>
        <v/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58</v>
      </c>
      <c r="C146" s="173"/>
      <c r="D146" s="173"/>
      <c r="E146" s="42"/>
      <c r="F146" s="43"/>
      <c r="G146" s="44"/>
      <c r="H146" s="45">
        <f>SUM(H144:H145)</f>
        <v>85.900741150000002</v>
      </c>
      <c r="I146" s="46"/>
      <c r="J146" s="46"/>
      <c r="K146" s="46"/>
      <c r="L146" s="47">
        <f>SUM(L144:L145)</f>
        <v>82.302361239999996</v>
      </c>
      <c r="M146" s="48"/>
      <c r="N146" s="49">
        <f>L146-H146</f>
        <v>-3.5983799100000056</v>
      </c>
      <c r="O146" s="50">
        <f>IF((H146)=0,"",(N146/H146))</f>
        <v>-4.1889975125086631E-2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59</v>
      </c>
      <c r="F149" s="51">
        <v>3.7699999999999997E-2</v>
      </c>
      <c r="J149" s="51">
        <f>+Residential!$J$74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60</v>
      </c>
    </row>
    <row r="154" spans="1:63" x14ac:dyDescent="0.3">
      <c r="A154" s="60" t="s">
        <v>61</v>
      </c>
    </row>
    <row r="155" spans="1:63" x14ac:dyDescent="0.3">
      <c r="A155" s="60" t="s">
        <v>62</v>
      </c>
    </row>
    <row r="157" spans="1:63" x14ac:dyDescent="0.3">
      <c r="B157" s="60" t="s">
        <v>63</v>
      </c>
    </row>
  </sheetData>
  <mergeCells count="27">
    <mergeCell ref="B145:D145"/>
    <mergeCell ref="B146:D146"/>
    <mergeCell ref="D96:D97"/>
    <mergeCell ref="N96:N97"/>
    <mergeCell ref="O96:O97"/>
    <mergeCell ref="B139:D139"/>
    <mergeCell ref="B140:D140"/>
    <mergeCell ref="B85:O85"/>
    <mergeCell ref="B86:O86"/>
    <mergeCell ref="D89:O89"/>
    <mergeCell ref="F95:H95"/>
    <mergeCell ref="J95:L95"/>
    <mergeCell ref="N95:O95"/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 D91">
      <formula1>"TOU, non-TOU"</formula1>
    </dataValidation>
    <dataValidation type="list" allowBlank="1" showInputMessage="1" showErrorMessage="1" sqref="E72 E66 E48:E49 E40:E46 E23:E38 E51:E60 E147 E141 E123:E124 E115:E121 E98:E113 E126:E135">
      <formula1>#REF!</formula1>
    </dataValidation>
    <dataValidation type="list" allowBlank="1" showInputMessage="1" showErrorMessage="1" prompt="Select Charge Unit - monthly, per kWh, per kW" sqref="D48:D49 D40:D46 D66 D23:D38 D72 D51:D60 D123:D124 D115:D121 D141 D98:D113 D147 D126:D135">
      <formula1>"Monthly, per kWh, per kW"</formula1>
    </dataValidation>
  </dataValidations>
  <pageMargins left="0.7" right="0.7" top="0.75" bottom="0.75" header="0.3" footer="0.3"/>
  <pageSetup scale="51" fitToHeight="0" orientation="portrait" r:id="rId1"/>
  <rowBreaks count="1" manualBreakCount="1">
    <brk id="8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28" r:id="rId4" name="Option Button 40">
              <controlPr defaultSize="0" autoFill="0" autoLine="0" autoPict="0">
                <anchor moveWithCells="1">
                  <from>
                    <xdr:col>5</xdr:col>
                    <xdr:colOff>426720</xdr:colOff>
                    <xdr:row>15</xdr:row>
                    <xdr:rowOff>15240</xdr:rowOff>
                  </from>
                  <to>
                    <xdr:col>7</xdr:col>
                    <xdr:colOff>579120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5" name="Option Button 42">
              <controlPr defaultSize="0" autoFill="0" autoLine="0" autoPict="0">
                <anchor moveWithCells="1">
                  <from>
                    <xdr:col>7</xdr:col>
                    <xdr:colOff>160020</xdr:colOff>
                    <xdr:row>15</xdr:row>
                    <xdr:rowOff>53340</xdr:rowOff>
                  </from>
                  <to>
                    <xdr:col>14</xdr:col>
                    <xdr:colOff>312420</xdr:colOff>
                    <xdr:row>16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Residential</vt:lpstr>
      <vt:lpstr>GS &lt; 50</vt:lpstr>
      <vt:lpstr>GS &gt; 50 Non Interval</vt:lpstr>
      <vt:lpstr>GS &gt; 50 Interval</vt:lpstr>
      <vt:lpstr>GS &gt; 1000</vt:lpstr>
      <vt:lpstr>Embedded</vt:lpstr>
      <vt:lpstr>Street Light</vt:lpstr>
      <vt:lpstr>Sentinel Light</vt:lpstr>
      <vt:lpstr>Unmetered</vt:lpstr>
      <vt:lpstr>Embedded!Print_Area</vt:lpstr>
      <vt:lpstr>'GS &lt; 50'!Print_Area</vt:lpstr>
      <vt:lpstr>'GS &gt; 1000'!Print_Area</vt:lpstr>
      <vt:lpstr>'GS &gt; 50 Interval'!Print_Area</vt:lpstr>
      <vt:lpstr>'GS &gt; 50 Non Interval'!Print_Area</vt:lpstr>
      <vt:lpstr>Residential!Print_Area</vt:lpstr>
      <vt:lpstr>'Sentinel Light'!Print_Area</vt:lpstr>
      <vt:lpstr>'Street Light'!Print_Area</vt:lpstr>
      <vt:lpstr>Unmetered!Print_Area</vt:lpstr>
    </vt:vector>
  </TitlesOfParts>
  <Company>Oakville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Pei</dc:creator>
  <cp:lastModifiedBy>Natasha Gocool</cp:lastModifiedBy>
  <cp:lastPrinted>2014-02-19T20:32:44Z</cp:lastPrinted>
  <dcterms:created xsi:type="dcterms:W3CDTF">2013-08-10T14:14:09Z</dcterms:created>
  <dcterms:modified xsi:type="dcterms:W3CDTF">2014-02-24T14:47:46Z</dcterms:modified>
</cp:coreProperties>
</file>