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5600" windowHeight="11760"/>
  </bookViews>
  <sheets>
    <sheet name="Cover Sheet" sheetId="22" r:id="rId1"/>
    <sheet name="Tariff Sheet" sheetId="6" r:id="rId2"/>
    <sheet name="Forecast Data" sheetId="7" r:id="rId3"/>
    <sheet name="Cost Allocation Sheet O1" sheetId="23" r:id="rId4"/>
    <sheet name="2011 Cost Allocation Design" sheetId="25" r:id="rId5"/>
    <sheet name="2014 Cost Allocation Design" sheetId="27" r:id="rId6"/>
    <sheet name="Allocated Revenues" sheetId="14" r:id="rId7"/>
    <sheet name="Smart Meter Recovery" sheetId="31" r:id="rId8"/>
    <sheet name="2014 RRRP Rate Design" sheetId="29" r:id="rId9"/>
    <sheet name="2014 Non-RRRP Rate Design" sheetId="30" r:id="rId10"/>
    <sheet name="Reconciliation" sheetId="26" r:id="rId11"/>
    <sheet name="Foregone Revenue 2014" sheetId="32" r:id="rId12"/>
  </sheets>
  <calcPr calcId="144525" iterate="1" calcOnSave="0"/>
</workbook>
</file>

<file path=xl/calcChain.xml><?xml version="1.0" encoding="utf-8"?>
<calcChain xmlns="http://schemas.openxmlformats.org/spreadsheetml/2006/main">
  <c r="J30" i="29" l="1"/>
  <c r="H27" i="29" l="1"/>
  <c r="H30" i="29" s="1"/>
  <c r="H29" i="29"/>
  <c r="M13" i="29" l="1"/>
  <c r="E41" i="27" l="1"/>
  <c r="I40" i="27"/>
  <c r="I39" i="27"/>
  <c r="I38" i="27"/>
  <c r="I37" i="27"/>
  <c r="E60" i="14"/>
  <c r="F35" i="31" s="1"/>
  <c r="G35" i="31" l="1"/>
  <c r="I9" i="30"/>
  <c r="H35" i="31"/>
  <c r="E35" i="31"/>
  <c r="I63" i="14"/>
  <c r="E28" i="31" l="1"/>
  <c r="E39" i="31" s="1"/>
  <c r="E27" i="31"/>
  <c r="C27" i="31" l="1"/>
  <c r="C38" i="31" s="1"/>
  <c r="E38" i="31"/>
  <c r="C28" i="31"/>
  <c r="C39" i="31" s="1"/>
  <c r="C7" i="31"/>
  <c r="C6" i="31"/>
  <c r="C5" i="31"/>
  <c r="C4" i="31"/>
  <c r="C8" i="31" l="1"/>
  <c r="F11" i="31" l="1"/>
  <c r="G11" i="31"/>
  <c r="H11" i="31"/>
  <c r="E11" i="31"/>
  <c r="E24" i="31" s="1"/>
  <c r="I17" i="29"/>
  <c r="E33" i="27"/>
  <c r="I32" i="27"/>
  <c r="I31" i="27"/>
  <c r="I30" i="27"/>
  <c r="I29" i="27"/>
  <c r="E40" i="14"/>
  <c r="J27" i="6" s="1"/>
  <c r="I9" i="32" s="1"/>
  <c r="L9" i="32" s="1"/>
  <c r="H7" i="30"/>
  <c r="D8" i="26"/>
  <c r="D7" i="26"/>
  <c r="D6" i="26"/>
  <c r="D5" i="26"/>
  <c r="C6" i="26"/>
  <c r="C7" i="26"/>
  <c r="C8" i="26"/>
  <c r="C5" i="26"/>
  <c r="E8" i="30"/>
  <c r="E7" i="30"/>
  <c r="D8" i="30"/>
  <c r="D7" i="30"/>
  <c r="G8" i="29"/>
  <c r="G7" i="29"/>
  <c r="H7" i="29" s="1"/>
  <c r="F8" i="29"/>
  <c r="E7" i="29"/>
  <c r="D8" i="29"/>
  <c r="D7" i="29"/>
  <c r="D16" i="29" s="1"/>
  <c r="E14" i="27"/>
  <c r="J14" i="27"/>
  <c r="E15" i="27"/>
  <c r="J15" i="27"/>
  <c r="E16" i="27"/>
  <c r="J16" i="27"/>
  <c r="J13" i="27"/>
  <c r="E20" i="14"/>
  <c r="I23" i="14" s="1"/>
  <c r="J13" i="6"/>
  <c r="I7" i="32" s="1"/>
  <c r="L7" i="32" s="1"/>
  <c r="F19" i="32" s="1"/>
  <c r="H8" i="29"/>
  <c r="I24" i="27"/>
  <c r="I23" i="27"/>
  <c r="I22" i="27"/>
  <c r="I21" i="27"/>
  <c r="E25" i="27"/>
  <c r="E8" i="27"/>
  <c r="C8" i="27"/>
  <c r="E7" i="27"/>
  <c r="C7" i="27"/>
  <c r="E6" i="27"/>
  <c r="C6" i="27"/>
  <c r="E5" i="27"/>
  <c r="C5" i="27"/>
  <c r="C6" i="25"/>
  <c r="C7" i="25"/>
  <c r="C8" i="25"/>
  <c r="C9" i="25"/>
  <c r="E6" i="25"/>
  <c r="E7" i="25"/>
  <c r="E8" i="25"/>
  <c r="E9" i="25"/>
  <c r="I16" i="25"/>
  <c r="I14" i="27" s="1"/>
  <c r="I18" i="25"/>
  <c r="K18" i="25" s="1"/>
  <c r="I17" i="25"/>
  <c r="I15" i="27" s="1"/>
  <c r="I15" i="25"/>
  <c r="I13" i="27" s="1"/>
  <c r="E15" i="25"/>
  <c r="E19" i="25" s="1"/>
  <c r="H8" i="14"/>
  <c r="H9" i="14"/>
  <c r="H10" i="14"/>
  <c r="H11" i="14"/>
  <c r="D17" i="29"/>
  <c r="K18" i="29" s="1"/>
  <c r="E16" i="29"/>
  <c r="F17" i="29"/>
  <c r="K16" i="25" l="1"/>
  <c r="F21" i="32"/>
  <c r="E13" i="27"/>
  <c r="E10" i="25"/>
  <c r="F8" i="25" s="1"/>
  <c r="H8" i="25" s="1"/>
  <c r="C10" i="25"/>
  <c r="D7" i="25" s="1"/>
  <c r="G7" i="25" s="1"/>
  <c r="C9" i="27"/>
  <c r="D6" i="27" s="1"/>
  <c r="G6" i="27" s="1"/>
  <c r="H24" i="31"/>
  <c r="G24" i="31"/>
  <c r="F24" i="31"/>
  <c r="E6" i="26"/>
  <c r="G6" i="26" s="1"/>
  <c r="I43" i="14"/>
  <c r="F7" i="25"/>
  <c r="F9" i="25"/>
  <c r="H9" i="25" s="1"/>
  <c r="E9" i="27"/>
  <c r="I16" i="29"/>
  <c r="J7" i="6" s="1"/>
  <c r="I6" i="32" s="1"/>
  <c r="L6" i="32" s="1"/>
  <c r="F18" i="32" s="1"/>
  <c r="J17" i="29"/>
  <c r="L17" i="29" s="1"/>
  <c r="J16" i="29"/>
  <c r="J8" i="6" s="1"/>
  <c r="J6" i="32" s="1"/>
  <c r="M6" i="32" s="1"/>
  <c r="K9" i="30"/>
  <c r="H7" i="25"/>
  <c r="I7" i="25" s="1"/>
  <c r="C16" i="25" s="1"/>
  <c r="K17" i="29"/>
  <c r="I16" i="27"/>
  <c r="E8" i="26"/>
  <c r="G8" i="26" s="1"/>
  <c r="G18" i="32" l="1"/>
  <c r="F6" i="25"/>
  <c r="H6" i="25" s="1"/>
  <c r="J18" i="32"/>
  <c r="K16" i="29"/>
  <c r="K19" i="29" s="1"/>
  <c r="D8" i="27"/>
  <c r="G8" i="27" s="1"/>
  <c r="D9" i="25"/>
  <c r="G9" i="25" s="1"/>
  <c r="I9" i="25" s="1"/>
  <c r="C18" i="25" s="1"/>
  <c r="C16" i="27" s="1"/>
  <c r="D5" i="27"/>
  <c r="G5" i="27" s="1"/>
  <c r="D6" i="25"/>
  <c r="D7" i="27"/>
  <c r="G7" i="27" s="1"/>
  <c r="D8" i="25"/>
  <c r="G8" i="25" s="1"/>
  <c r="I8" i="25" s="1"/>
  <c r="C17" i="25" s="1"/>
  <c r="C15" i="27" s="1"/>
  <c r="F10" i="25"/>
  <c r="L16" i="29"/>
  <c r="M16" i="29" s="1"/>
  <c r="F5" i="26"/>
  <c r="H5" i="26" s="1"/>
  <c r="E5" i="26"/>
  <c r="G5" i="26" s="1"/>
  <c r="F6" i="27"/>
  <c r="H6" i="27" s="1"/>
  <c r="I6" i="27" s="1"/>
  <c r="F5" i="27"/>
  <c r="F8" i="27"/>
  <c r="H8" i="27" s="1"/>
  <c r="I8" i="27" s="1"/>
  <c r="F7" i="27"/>
  <c r="H7" i="27" s="1"/>
  <c r="C14" i="27"/>
  <c r="M17" i="29"/>
  <c r="G17" i="29" s="1"/>
  <c r="J10" i="6" l="1"/>
  <c r="G28" i="32"/>
  <c r="J28" i="32" s="1"/>
  <c r="G6" i="25"/>
  <c r="I6" i="25" s="1"/>
  <c r="D10" i="25"/>
  <c r="D9" i="27"/>
  <c r="I7" i="27"/>
  <c r="I5" i="26"/>
  <c r="H5" i="27"/>
  <c r="I5" i="27" s="1"/>
  <c r="F9" i="27"/>
  <c r="G16" i="29"/>
  <c r="H16" i="29"/>
  <c r="L18" i="29"/>
  <c r="H17" i="29"/>
  <c r="I9" i="27" l="1"/>
  <c r="I10" i="25"/>
  <c r="C15" i="25"/>
  <c r="J18" i="29"/>
  <c r="J14" i="6" s="1"/>
  <c r="J7" i="32" s="1"/>
  <c r="M7" i="32" s="1"/>
  <c r="M18" i="29"/>
  <c r="H18" i="29" s="1"/>
  <c r="L19" i="29"/>
  <c r="G19" i="32" l="1"/>
  <c r="J19" i="32" s="1"/>
  <c r="C19" i="25"/>
  <c r="C13" i="27"/>
  <c r="G18" i="29"/>
  <c r="M19" i="29"/>
  <c r="F6" i="26"/>
  <c r="H6" i="26" s="1"/>
  <c r="G29" i="32" l="1"/>
  <c r="J29" i="32" s="1"/>
  <c r="J16" i="6"/>
  <c r="C17" i="27"/>
  <c r="D15" i="25"/>
  <c r="F17" i="25"/>
  <c r="D17" i="25"/>
  <c r="D15" i="27" s="1"/>
  <c r="F18" i="25"/>
  <c r="D18" i="25"/>
  <c r="D16" i="27" s="1"/>
  <c r="F16" i="25"/>
  <c r="D16" i="25"/>
  <c r="D14" i="27" s="1"/>
  <c r="F15" i="25"/>
  <c r="I6" i="26"/>
  <c r="D13" i="27" l="1"/>
  <c r="D17" i="27" s="1"/>
  <c r="D19" i="25"/>
  <c r="F14" i="27"/>
  <c r="H16" i="25"/>
  <c r="H14" i="27" s="1"/>
  <c r="G16" i="25"/>
  <c r="G14" i="27" s="1"/>
  <c r="M9" i="14"/>
  <c r="G17" i="25"/>
  <c r="G15" i="27" s="1"/>
  <c r="H17" i="25"/>
  <c r="H15" i="27" s="1"/>
  <c r="M10" i="14"/>
  <c r="F15" i="27"/>
  <c r="M8" i="14"/>
  <c r="H15" i="25"/>
  <c r="H13" i="27" s="1"/>
  <c r="F19" i="25"/>
  <c r="F13" i="27"/>
  <c r="G15" i="25"/>
  <c r="G13" i="27" s="1"/>
  <c r="G18" i="25"/>
  <c r="G16" i="27" s="1"/>
  <c r="M11" i="14"/>
  <c r="F16" i="27"/>
  <c r="H18" i="25"/>
  <c r="H16" i="27" s="1"/>
  <c r="K11" i="14" l="1"/>
  <c r="I11" i="14" s="1"/>
  <c r="I31" i="14" s="1"/>
  <c r="L11" i="14"/>
  <c r="J11" i="14" s="1"/>
  <c r="J31" i="14" s="1"/>
  <c r="L10" i="14"/>
  <c r="J10" i="14" s="1"/>
  <c r="J30" i="14" s="1"/>
  <c r="K10" i="14"/>
  <c r="I10" i="14" s="1"/>
  <c r="I30" i="14" s="1"/>
  <c r="K9" i="14"/>
  <c r="I9" i="14" s="1"/>
  <c r="I29" i="14" s="1"/>
  <c r="L9" i="14"/>
  <c r="J9" i="14" s="1"/>
  <c r="J29" i="14" s="1"/>
  <c r="F17" i="27"/>
  <c r="K8" i="14"/>
  <c r="L8" i="14"/>
  <c r="M12" i="14"/>
  <c r="L12" i="14" l="1"/>
  <c r="J8" i="14"/>
  <c r="J28" i="14" s="1"/>
  <c r="I51" i="14"/>
  <c r="I8" i="30"/>
  <c r="K31" i="14"/>
  <c r="J49" i="14"/>
  <c r="L29" i="14"/>
  <c r="L31" i="14"/>
  <c r="J51" i="14"/>
  <c r="K29" i="14"/>
  <c r="I49" i="14"/>
  <c r="L30" i="14"/>
  <c r="J50" i="14"/>
  <c r="K12" i="14"/>
  <c r="I8" i="14"/>
  <c r="I28" i="14" s="1"/>
  <c r="I50" i="14"/>
  <c r="K30" i="14"/>
  <c r="K49" i="14" l="1"/>
  <c r="I69" i="14"/>
  <c r="K69" i="14" s="1"/>
  <c r="L49" i="14"/>
  <c r="J69" i="14"/>
  <c r="L69" i="14" s="1"/>
  <c r="L50" i="14"/>
  <c r="J70" i="14"/>
  <c r="L70" i="14" s="1"/>
  <c r="L51" i="14"/>
  <c r="J71" i="14"/>
  <c r="L71" i="14" s="1"/>
  <c r="K51" i="14"/>
  <c r="I71" i="14"/>
  <c r="K71" i="14" s="1"/>
  <c r="K50" i="14"/>
  <c r="I70" i="14"/>
  <c r="K70" i="14" s="1"/>
  <c r="M70" i="14" s="1"/>
  <c r="G70" i="14" s="1"/>
  <c r="H70" i="14" s="1"/>
  <c r="M51" i="14"/>
  <c r="G51" i="14" s="1"/>
  <c r="H51" i="14" s="1"/>
  <c r="M31" i="14"/>
  <c r="G31" i="14" s="1"/>
  <c r="J48" i="14"/>
  <c r="L28" i="14"/>
  <c r="L32" i="14" s="1"/>
  <c r="M29" i="14"/>
  <c r="G29" i="14" s="1"/>
  <c r="H29" i="14" s="1"/>
  <c r="I48" i="14"/>
  <c r="K28" i="14"/>
  <c r="M50" i="14"/>
  <c r="G50" i="14" s="1"/>
  <c r="H50" i="14" s="1"/>
  <c r="M30" i="14"/>
  <c r="G30" i="14" s="1"/>
  <c r="H30" i="14" s="1"/>
  <c r="L48" i="14" l="1"/>
  <c r="L52" i="14" s="1"/>
  <c r="J68" i="14"/>
  <c r="L68" i="14" s="1"/>
  <c r="L72" i="14" s="1"/>
  <c r="K48" i="14"/>
  <c r="I68" i="14"/>
  <c r="K68" i="14" s="1"/>
  <c r="M71" i="14"/>
  <c r="G71" i="14" s="1"/>
  <c r="H71" i="14" s="1"/>
  <c r="M69" i="14"/>
  <c r="G69" i="14" s="1"/>
  <c r="H69" i="14" s="1"/>
  <c r="M49" i="14"/>
  <c r="G49" i="14" s="1"/>
  <c r="H49" i="14" s="1"/>
  <c r="G8" i="30"/>
  <c r="H31" i="14"/>
  <c r="H8" i="30" s="1"/>
  <c r="M28" i="14"/>
  <c r="M32" i="14" s="1"/>
  <c r="C25" i="27" s="1"/>
  <c r="K32" i="14"/>
  <c r="M48" i="14"/>
  <c r="K52" i="14"/>
  <c r="M68" i="14" l="1"/>
  <c r="K72" i="14"/>
  <c r="F24" i="27"/>
  <c r="C21" i="27"/>
  <c r="D21" i="27" s="1"/>
  <c r="C23" i="27"/>
  <c r="D23" i="27" s="1"/>
  <c r="F21" i="27"/>
  <c r="C22" i="27"/>
  <c r="D22" i="27" s="1"/>
  <c r="F22" i="27"/>
  <c r="F23" i="27"/>
  <c r="C24" i="27"/>
  <c r="D24" i="27" s="1"/>
  <c r="G28" i="14"/>
  <c r="H28" i="14" s="1"/>
  <c r="M52" i="14"/>
  <c r="C33" i="27" s="1"/>
  <c r="G48" i="14"/>
  <c r="H48" i="14" s="1"/>
  <c r="G68" i="14" l="1"/>
  <c r="H68" i="14" s="1"/>
  <c r="M72" i="14"/>
  <c r="C41" i="27" s="1"/>
  <c r="H24" i="27"/>
  <c r="G24" i="27"/>
  <c r="F30" i="27"/>
  <c r="C29" i="27"/>
  <c r="D29" i="27" s="1"/>
  <c r="F32" i="27"/>
  <c r="C31" i="27"/>
  <c r="D31" i="27" s="1"/>
  <c r="F31" i="27"/>
  <c r="C32" i="27"/>
  <c r="D32" i="27" s="1"/>
  <c r="F29" i="27"/>
  <c r="C30" i="27"/>
  <c r="D30" i="27" s="1"/>
  <c r="H22" i="27"/>
  <c r="G22" i="27"/>
  <c r="D25" i="27"/>
  <c r="G23" i="27"/>
  <c r="H23" i="27"/>
  <c r="H21" i="27"/>
  <c r="G21" i="27"/>
  <c r="F25" i="27"/>
  <c r="F38" i="27" l="1"/>
  <c r="F37" i="27"/>
  <c r="F39" i="27"/>
  <c r="F40" i="27"/>
  <c r="C37" i="27"/>
  <c r="D37" i="27" s="1"/>
  <c r="C39" i="27"/>
  <c r="D39" i="27" s="1"/>
  <c r="C40" i="27"/>
  <c r="D40" i="27" s="1"/>
  <c r="C38" i="27"/>
  <c r="D38" i="27" s="1"/>
  <c r="E12" i="31"/>
  <c r="F33" i="27"/>
  <c r="G29" i="27"/>
  <c r="H29" i="27"/>
  <c r="H12" i="31"/>
  <c r="G32" i="27"/>
  <c r="H32" i="27"/>
  <c r="G12" i="31"/>
  <c r="G31" i="27"/>
  <c r="H31" i="27"/>
  <c r="F12" i="31"/>
  <c r="H30" i="27"/>
  <c r="G30" i="27"/>
  <c r="D33" i="27"/>
  <c r="G36" i="31" l="1"/>
  <c r="G39" i="27"/>
  <c r="H39" i="27"/>
  <c r="H36" i="31"/>
  <c r="H40" i="27"/>
  <c r="G40" i="27"/>
  <c r="E36" i="31"/>
  <c r="F41" i="27"/>
  <c r="G37" i="27"/>
  <c r="H37" i="27"/>
  <c r="D41" i="27"/>
  <c r="F36" i="31"/>
  <c r="H38" i="27"/>
  <c r="G38" i="27"/>
  <c r="E25" i="31"/>
  <c r="E17" i="31"/>
  <c r="C12" i="31"/>
  <c r="H25" i="31"/>
  <c r="H30" i="31" s="1"/>
  <c r="H17" i="31"/>
  <c r="F25" i="31"/>
  <c r="F17" i="31"/>
  <c r="G25" i="31"/>
  <c r="G30" i="31" s="1"/>
  <c r="G17" i="31"/>
  <c r="E41" i="31" l="1"/>
  <c r="M7" i="29"/>
  <c r="C36" i="31"/>
  <c r="F41" i="31"/>
  <c r="M8" i="29"/>
  <c r="H41" i="31"/>
  <c r="M8" i="30"/>
  <c r="L9" i="30" s="1"/>
  <c r="G41" i="31"/>
  <c r="M7" i="30"/>
  <c r="K7" i="30" s="1"/>
  <c r="E30" i="31"/>
  <c r="F30" i="31"/>
  <c r="C25" i="31"/>
  <c r="C17" i="31"/>
  <c r="L7" i="30" l="1"/>
  <c r="L10" i="30" s="1"/>
  <c r="K8" i="30"/>
  <c r="L8" i="30"/>
  <c r="J8" i="30" s="1"/>
  <c r="C41" i="31"/>
  <c r="M9" i="30"/>
  <c r="J9" i="30"/>
  <c r="J28" i="6" s="1"/>
  <c r="J9" i="32" s="1"/>
  <c r="M9" i="32" s="1"/>
  <c r="G21" i="32" s="1"/>
  <c r="J21" i="32" s="1"/>
  <c r="L8" i="29"/>
  <c r="J8" i="29" s="1"/>
  <c r="K8" i="29"/>
  <c r="I8" i="29" s="1"/>
  <c r="C30" i="31"/>
  <c r="K10" i="30"/>
  <c r="I7" i="30"/>
  <c r="J19" i="6" s="1"/>
  <c r="I8" i="32" s="1"/>
  <c r="L8" i="32" s="1"/>
  <c r="L7" i="29"/>
  <c r="K7" i="29"/>
  <c r="M9" i="29"/>
  <c r="M21" i="29" s="1"/>
  <c r="F20" i="32" l="1"/>
  <c r="L11" i="32"/>
  <c r="G31" i="32"/>
  <c r="J31" i="32" s="1"/>
  <c r="J30" i="6"/>
  <c r="J7" i="30"/>
  <c r="J20" i="6" s="1"/>
  <c r="F8" i="26"/>
  <c r="H8" i="26" s="1"/>
  <c r="I8" i="26" s="1"/>
  <c r="J32" i="6"/>
  <c r="G9" i="30"/>
  <c r="M10" i="30"/>
  <c r="H9" i="30"/>
  <c r="E7" i="26"/>
  <c r="G7" i="26" s="1"/>
  <c r="L9" i="29"/>
  <c r="J7" i="29"/>
  <c r="K9" i="29"/>
  <c r="I7" i="29"/>
  <c r="F7" i="26" l="1"/>
  <c r="H7" i="26" s="1"/>
  <c r="I7" i="26" s="1"/>
  <c r="I9" i="26" s="1"/>
  <c r="J8" i="32"/>
  <c r="M8" i="32" s="1"/>
  <c r="G9" i="26"/>
  <c r="J9" i="26"/>
  <c r="G20" i="32" l="1"/>
  <c r="J20" i="32" s="1"/>
  <c r="M11" i="32"/>
  <c r="M12" i="32" s="1"/>
  <c r="H9" i="26"/>
  <c r="K9" i="26"/>
  <c r="K11" i="26" s="1"/>
  <c r="G30" i="32" l="1"/>
  <c r="J30" i="32" s="1"/>
  <c r="J33" i="32" s="1"/>
  <c r="J22" i="6"/>
</calcChain>
</file>

<file path=xl/sharedStrings.xml><?xml version="1.0" encoding="utf-8"?>
<sst xmlns="http://schemas.openxmlformats.org/spreadsheetml/2006/main" count="619" uniqueCount="242">
  <si>
    <t>2006 Cost Allocation Information Filing</t>
  </si>
  <si>
    <t>Algoma Power Inc.</t>
  </si>
  <si>
    <t xml:space="preserve">Sheet O1 Revenue to Cost Summary Worksheet  - First Run  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</si>
  <si>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</si>
  <si>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</si>
  <si>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</si>
  <si>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</si>
  <si>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</si>
  <si>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</si>
  <si>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</si>
  <si>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</si>
  <si>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</si>
  <si>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</si>
  <si>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</si>
  <si>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</si>
  <si>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</si>
  <si>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</si>
  <si>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</si>
  <si>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Distribution Revenue  (sale)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</si>
  <si>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</si>
  <si>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</si>
  <si>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</si>
  <si>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</si>
  <si>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</si>
  <si>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</si>
  <si>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</si>
  <si>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</si>
  <si>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</si>
  <si>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</si>
  <si>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</si>
  <si>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</si>
  <si>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</si>
  <si>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</si>
  <si>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</si>
  <si>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</si>
  <si>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</si>
  <si>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</si>
  <si>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</si>
  <si>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</si>
  <si>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</si>
  <si>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</si>
  <si>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</si>
  <si>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</si>
  <si>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</si>
  <si>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</si>
  <si>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</si>
  <si>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</si>
  <si>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</si>
  <si>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</si>
  <si>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</si>
  <si>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</si>
  <si>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</si>
  <si>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</si>
  <si>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</si>
  <si>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</si>
  <si>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</si>
  <si>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</si>
  <si>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</si>
  <si>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</si>
  <si>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</si>
  <si>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</si>
  <si>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</si>
  <si>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</si>
  <si>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</si>
  <si>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</si>
  <si>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%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</si>
  <si>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</si>
  <si>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</si>
  <si>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</si>
  <si>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</si>
  <si>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</si>
  <si>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</si>
  <si>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</si>
  <si>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</si>
  <si>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Proposed Revenue to Cost Ratio</t>
  </si>
  <si>
    <t>Proposed Proportion of Revenue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</si>
  <si>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</si>
  <si>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</si>
  <si>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</si>
  <si>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</si>
  <si>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</si>
  <si>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</si>
  <si>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</si>
  <si>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</si>
  <si>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</si>
  <si>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</si>
  <si>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</si>
  <si>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</si>
  <si>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</si>
  <si>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</si>
  <si>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</si>
  <si>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</si>
  <si>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</si>
  <si>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</si>
  <si>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</si>
  <si>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</si>
  <si>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</si>
  <si>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</si>
  <si>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</si>
  <si>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2010 Test Year</t>
  </si>
  <si>
    <t>2011 Test Year</t>
  </si>
  <si>
    <t>Number of Customers</t>
  </si>
  <si>
    <t>Change in Customer Count</t>
  </si>
  <si>
    <t>Kilowatt-hours</t>
  </si>
  <si>
    <t>Weather Normalized Kilowatt-hours</t>
  </si>
  <si>
    <t>Average per Customer - kWh</t>
  </si>
  <si>
    <t>Normalized Average per Customer - kWh</t>
  </si>
  <si>
    <t>Kilowatts</t>
  </si>
  <si>
    <t>Weather Normalized Kilowatts</t>
  </si>
  <si>
    <t>Average per Customer - kW</t>
  </si>
  <si>
    <t>Normalized Average per Customer - kW</t>
  </si>
  <si>
    <t>Totals</t>
  </si>
  <si>
    <t>Weather Normal Kilowatt-hours</t>
  </si>
  <si>
    <t>Weather Normal Kilowatts</t>
  </si>
  <si>
    <t>Charge Determinant</t>
  </si>
  <si>
    <t>No. of Customers</t>
  </si>
  <si>
    <t>2011 Distribution Base Rate Determination</t>
  </si>
  <si>
    <t>Delivery Charges Indexed by Simple Average of Other LDC Increases in Current Year</t>
  </si>
  <si>
    <t>Delivery Charges</t>
  </si>
  <si>
    <t>Rural and Remote Rate Protection</t>
  </si>
  <si>
    <t>2007 Application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</si>
  <si>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</si>
  <si>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</si>
  <si>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</si>
  <si>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</si>
  <si>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</si>
  <si>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Base Revenue @ Proposed Proportion</t>
  </si>
  <si>
    <t>Over/(Under) Contributing</t>
  </si>
  <si>
    <t>2010 Cost Allocation R|C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</si>
  <si>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</si>
  <si>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</si>
  <si>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</si>
  <si>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</si>
  <si>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</si>
  <si>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 xml:space="preserve">EB-2010-0278   </t>
  </si>
  <si>
    <t>Revenue Requirement Input Does Not Equal Output</t>
  </si>
  <si>
    <t>Target R|C Ratio</t>
  </si>
  <si>
    <t>Hold Residential - R2 Fixed Charge at $596.12</t>
  </si>
  <si>
    <t>Approved</t>
  </si>
  <si>
    <t>Total Service Revenue</t>
  </si>
  <si>
    <t>Total Service Revenue plus RRRP</t>
  </si>
  <si>
    <t>Board Approved EB-2009-0278</t>
  </si>
  <si>
    <t>Algoma Load and Customer Forecast Information - Board Approved EB-2009-0278</t>
  </si>
  <si>
    <t>Determination of Seasonal and Street Lighting Distribution Rates</t>
  </si>
  <si>
    <t>Reconciliation of Proposed Distribution Revenue with Price Cap</t>
  </si>
  <si>
    <t>2011 Cost Allocation Results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</si>
  <si>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</si>
  <si>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</si>
  <si>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</si>
  <si>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</si>
  <si>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</si>
  <si>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2012 Distribution Price Indexed Electricity Distribution Rates</t>
  </si>
  <si>
    <t>Productivity Factor</t>
  </si>
  <si>
    <t>Board Approved 2011 Base Distribution Rate Cost Allcation Design</t>
  </si>
  <si>
    <t>2012 Forecasted Revenue @ 100% R|C</t>
  </si>
  <si>
    <t>Equivalent Distribution Rates</t>
  </si>
  <si>
    <t>RRRP Adjustment Factor</t>
  </si>
  <si>
    <t>Implicit Price Index</t>
  </si>
  <si>
    <t>Stretch Factor</t>
  </si>
  <si>
    <t>Price Cap Index</t>
  </si>
  <si>
    <t>No Adjustment Made to the 2011 Board Approved Revenue to Cost Ratios</t>
  </si>
  <si>
    <t>Board Approved 2012 Incentive Regulation Price Cap Metrics</t>
  </si>
  <si>
    <t>Board Approved 2012 Application of Incentive Regulation Price Cap to Equivalent Distribution Rates</t>
  </si>
  <si>
    <t>EB-2012-0104</t>
  </si>
  <si>
    <t>Balanced?</t>
  </si>
  <si>
    <t>2013 Forecasted Revenue @ 100% R|C</t>
  </si>
  <si>
    <t>Implicit Price Index (20121004) = A</t>
  </si>
  <si>
    <t>Productivity Factor = B</t>
  </si>
  <si>
    <t xml:space="preserve">Stretch Factor = C </t>
  </si>
  <si>
    <t>Price Cap Index = A - (B+C)</t>
  </si>
  <si>
    <t>Residential R1</t>
  </si>
  <si>
    <t>Price Index (October 4, 2012)</t>
  </si>
  <si>
    <t>Revenue Requirement</t>
  </si>
  <si>
    <t>Smart Meter Cost Recovery</t>
  </si>
  <si>
    <t>Net Deferred Revenue Requirement</t>
  </si>
  <si>
    <t>Incremental Revenue Requirement</t>
  </si>
  <si>
    <t>Total Revenue Requirement for 2013</t>
  </si>
  <si>
    <t>Effective January 1, 2013  Implemented May 1, 2013</t>
  </si>
  <si>
    <t>RRRP Adjustment Factor (Decision)</t>
  </si>
  <si>
    <t>Price Cap Index (Decision)</t>
  </si>
  <si>
    <t>Residential R2</t>
  </si>
  <si>
    <t>Smart Meter Cost Recovery Rate Rider - Net Deferred Revenue Requirement, effective until December 31, 2016</t>
  </si>
  <si>
    <t>Total Revenue Requirement per Decision</t>
  </si>
  <si>
    <t>Smart Meter Cost Recovery Rate Rider - Incremental Revenue Requirement, effective until December 31, 2014</t>
  </si>
  <si>
    <r>
      <t>2014 4</t>
    </r>
    <r>
      <rPr>
        <b/>
        <vertAlign val="superscript"/>
        <sz val="24"/>
        <rFont val="Arial"/>
        <family val="2"/>
      </rPr>
      <t>th</t>
    </r>
    <r>
      <rPr>
        <b/>
        <sz val="24"/>
        <rFont val="Arial"/>
        <family val="2"/>
      </rPr>
      <t xml:space="preserve"> IR Electricity Distribution Rate Design</t>
    </r>
  </si>
  <si>
    <r>
      <t>2014 4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IR</t>
    </r>
  </si>
  <si>
    <t>Proposed Delivery Charges</t>
  </si>
  <si>
    <t>RRRP Adjustment Factor (Estimated)</t>
  </si>
  <si>
    <t>Proposed 2014 Incentive Regulation Price Cap Metrics</t>
  </si>
  <si>
    <t>Proposed 2014 Application of Incentive Regulation Price Cap to Equivalent Distribution Rates</t>
  </si>
  <si>
    <t>2013 Distribution Price Indexed Electricity Distribution Rates</t>
  </si>
  <si>
    <t>2014 Distribution Price Indexed Electricity Distribution Rates</t>
  </si>
  <si>
    <t>Price Cap Index (Calculated)</t>
  </si>
  <si>
    <t>Implicit Price Index (Estimated)</t>
  </si>
  <si>
    <t>Productivity Factor (Estimated)</t>
  </si>
  <si>
    <t>Stretch Factor (Estimated)</t>
  </si>
  <si>
    <t>Actual 2013 Incentive Regulation Price Cap Metrics</t>
  </si>
  <si>
    <t>Actual 2013 Application of Incentive Regulation Price Cap to Equivalent Distribution Rates</t>
  </si>
  <si>
    <t>Actual 2012 Base Distribution Rate Cost Allocation Design</t>
  </si>
  <si>
    <t>Actual 2013 Base Distribution Rate Cost Allocation Design</t>
  </si>
  <si>
    <t>Proposed 2014 Base Distribution Rate Cost Allocation Design</t>
  </si>
  <si>
    <t>2014 Forecasted Revenue @ 100% R|C</t>
  </si>
  <si>
    <t>2013 Approved Methodology with Smart Meter Recovery, EB-2012-0104</t>
  </si>
  <si>
    <t xml:space="preserve">In the Table below and high-lighted, 50% of the Net Deferred Revenue Requirement and the Incremental Revenue Requirement is allocated to the Residential R1 class to simulate the two year recovery period stipulated in the Board's Decision. </t>
  </si>
  <si>
    <t>2014 Continued Recovery of Smart Meter Costs Allocated to Residential - R1</t>
  </si>
  <si>
    <t>Price Index (Estimated)</t>
  </si>
  <si>
    <t>2014 Distribution Base Rate Determination</t>
  </si>
  <si>
    <t>2014 Application of Rate Indexing Methodology</t>
  </si>
  <si>
    <t>Simple Average Increase in Delivery Charge for 2014 using the Board Determination</t>
  </si>
  <si>
    <t>The Rural and Remote Rate Protection Amount Required for 2014</t>
  </si>
  <si>
    <t>2014 Monthly Service Charge</t>
  </si>
  <si>
    <t>2014 Volumetric Distribution Charge</t>
  </si>
  <si>
    <t>2014 Monthly Service Charge Revenue</t>
  </si>
  <si>
    <t>2014 Volumetric Distribution Revenue</t>
  </si>
  <si>
    <t>Proposed 2014 RRRP</t>
  </si>
  <si>
    <t>EB-2013-0110</t>
  </si>
  <si>
    <t xml:space="preserve">In its Decision, EB-2012-0104, the Board has approved collection of the Residential R1 allocation from the RRRP funding over a two year period ending December 31, 2014.  The Seasonal allocation is to be recovered through a rate rider over a 44 month period; May 1, 2012 to December 31 2016. </t>
  </si>
  <si>
    <t>Determination of Residential R1 &amp; R2 2014 Electricity Distribution Rates and RRRP Funding</t>
  </si>
  <si>
    <t>API Draft Order</t>
  </si>
  <si>
    <t>Effective January 1, 2014 Implemented March 1, 2014</t>
  </si>
  <si>
    <t>Determination of Foregone Revenue for the Period of January 1, 2014 to February 28, 2014</t>
  </si>
  <si>
    <t>2012 Board Approved Rates</t>
  </si>
  <si>
    <t>2013 Draft Rate Order</t>
  </si>
  <si>
    <t>Foregone Revenue for Two Months</t>
  </si>
  <si>
    <t>MSC</t>
  </si>
  <si>
    <t>Vol.</t>
  </si>
  <si>
    <t>Foregone Revenue</t>
  </si>
  <si>
    <t>Foregone Revenue Rate Riders Implemented March 1, 2014 to December 31, 2014</t>
  </si>
  <si>
    <t>Foregone Revenue for Four Months</t>
  </si>
  <si>
    <t>Foregone Revenue Rate Rider</t>
  </si>
  <si>
    <t>Reconciliation of Foregone Revenue</t>
  </si>
  <si>
    <t>Distribution Volumetric Rate Rate Rider, effective until December 31, 2014 (2013)</t>
  </si>
  <si>
    <t>Distribution Volumetric Rate Rate Rider, effective until December 31, 2014 (2014)</t>
  </si>
  <si>
    <t>or</t>
  </si>
  <si>
    <t>per month</t>
  </si>
  <si>
    <t>RRRP Payment Required for the Period of March 1, 2014 to December 31 to be Kept Whole for 2014</t>
  </si>
  <si>
    <t>RRRP Board Approved Funding for 2013</t>
  </si>
  <si>
    <t>RRRP Funding Received from January 1, 2014 to February 28, 2014</t>
  </si>
  <si>
    <t>The RRRP Amount Required for 2014</t>
  </si>
  <si>
    <t>Remaining RRRP Funding Required for 2014 (March 1 to December 31)</t>
  </si>
  <si>
    <t>Distribution Rate Design Model</t>
  </si>
  <si>
    <t>February 24,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</si>
</sst>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(* #,##0_);_(* \(#,##0\);_(* &quot;-&quot;??_);_(@_)"/>
    <numFmt numFmtId="169" formatCode="0.0%"/>
    <numFmt numFmtId="170" formatCode="_(* #,##0.0000_);_(* \(#,##0.0000\);_(* &quot;-&quot;??_);_(@_)"/>
    <numFmt numFmtId="171" formatCode="_(&quot;$&quot;* #,##0_);_(&quot;$&quot;* \(#,##0\);_(&quot;$&quot;* &quot;-&quot;??_);_(@_)"/>
    <numFmt numFmtId="172" formatCode="_(&quot;$&quot;* #,##0.0000_);_(&quot;$&quot;* \(#,##0.0000\);_(&quot;$&quot;* &quot;-&quot;??_);_(@_)"/>
    <numFmt numFmtId="173" formatCode="_-&quot;$&quot;* #,##0_-;\-&quot;$&quot;* #,##0_-;_-&quot;$&quot;* &quot;-&quot;??_-;_-@_-"/>
    <numFmt numFmtId="174" formatCode="_-* #,##0_-;\-* #,##0_-;_-* &quot;-&quot;??_-;_-@_-"/>
    <numFmt numFmtId="175" formatCode="_-* #,##0.0000_-;\-* #,##0.0000_-;_-* &quot;-&quot;??_-;_-@_-"/>
    <numFmt numFmtId="176" formatCode="_(* #,##0.00000_);_(* \(#,##0.000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sz val="22"/>
      <name val="Algerian"/>
      <family val="5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6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name val="Arial"/>
      <family val="2"/>
    </font>
    <font>
      <b/>
      <vertAlign val="superscript"/>
      <sz val="24"/>
      <name val="Arial"/>
      <family val="2"/>
    </font>
    <font>
      <b/>
      <vertAlign val="superscript"/>
      <sz val="12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5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5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/>
    <xf numFmtId="164" fontId="9" fillId="2" borderId="0" xfId="0" applyNumberFormat="1" applyFont="1" applyFill="1" applyBorder="1"/>
    <xf numFmtId="164" fontId="10" fillId="2" borderId="0" xfId="0" applyNumberFormat="1" applyFont="1" applyFill="1" applyBorder="1"/>
    <xf numFmtId="164" fontId="11" fillId="2" borderId="0" xfId="0" applyNumberFormat="1" applyFont="1" applyFill="1" applyBorder="1"/>
    <xf numFmtId="0" fontId="12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3" fillId="2" borderId="0" xfId="0" applyFont="1" applyFill="1" applyBorder="1"/>
    <xf numFmtId="164" fontId="14" fillId="2" borderId="0" xfId="0" applyNumberFormat="1" applyFont="1" applyFill="1" applyBorder="1"/>
    <xf numFmtId="164" fontId="13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3" fillId="2" borderId="3" xfId="0" applyFont="1" applyFill="1" applyBorder="1"/>
    <xf numFmtId="164" fontId="17" fillId="2" borderId="5" xfId="0" applyNumberFormat="1" applyFont="1" applyFill="1" applyBorder="1"/>
    <xf numFmtId="164" fontId="13" fillId="2" borderId="1" xfId="0" applyNumberFormat="1" applyFont="1" applyFill="1" applyBorder="1"/>
    <xf numFmtId="164" fontId="17" fillId="2" borderId="6" xfId="0" applyNumberFormat="1" applyFont="1" applyFill="1" applyBorder="1"/>
    <xf numFmtId="164" fontId="13" fillId="2" borderId="7" xfId="0" applyNumberFormat="1" applyFont="1" applyFill="1" applyBorder="1"/>
    <xf numFmtId="0" fontId="14" fillId="3" borderId="3" xfId="0" applyFont="1" applyFill="1" applyBorder="1"/>
    <xf numFmtId="164" fontId="17" fillId="3" borderId="8" xfId="0" applyNumberFormat="1" applyFont="1" applyFill="1" applyBorder="1"/>
    <xf numFmtId="164" fontId="14" fillId="3" borderId="9" xfId="0" applyNumberFormat="1" applyFont="1" applyFill="1" applyBorder="1"/>
    <xf numFmtId="164" fontId="17" fillId="2" borderId="3" xfId="0" applyNumberFormat="1" applyFont="1" applyFill="1" applyBorder="1"/>
    <xf numFmtId="164" fontId="13" fillId="2" borderId="10" xfId="0" applyNumberFormat="1" applyFont="1" applyFill="1" applyBorder="1"/>
    <xf numFmtId="0" fontId="13" fillId="2" borderId="10" xfId="0" applyFont="1" applyFill="1" applyBorder="1"/>
    <xf numFmtId="0" fontId="14" fillId="2" borderId="3" xfId="0" applyFont="1" applyFill="1" applyBorder="1"/>
    <xf numFmtId="164" fontId="17" fillId="2" borderId="3" xfId="0" applyNumberFormat="1" applyFont="1" applyFill="1" applyBorder="1" applyAlignment="1">
      <alignment horizontal="right"/>
    </xf>
    <xf numFmtId="164" fontId="13" fillId="2" borderId="10" xfId="0" applyNumberFormat="1" applyFont="1" applyFill="1" applyBorder="1" applyAlignment="1">
      <alignment horizontal="right"/>
    </xf>
    <xf numFmtId="164" fontId="14" fillId="2" borderId="10" xfId="0" applyNumberFormat="1" applyFont="1" applyFill="1" applyBorder="1"/>
    <xf numFmtId="164" fontId="13" fillId="2" borderId="10" xfId="1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" borderId="3" xfId="0" applyFont="1" applyFill="1" applyBorder="1"/>
    <xf numFmtId="164" fontId="17" fillId="2" borderId="6" xfId="0" applyNumberFormat="1" applyFont="1" applyFill="1" applyBorder="1" applyAlignment="1">
      <alignment horizontal="right"/>
    </xf>
    <xf numFmtId="164" fontId="13" fillId="2" borderId="7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164" fontId="20" fillId="3" borderId="3" xfId="0" applyNumberFormat="1" applyFont="1" applyFill="1" applyBorder="1"/>
    <xf numFmtId="164" fontId="19" fillId="3" borderId="10" xfId="0" applyNumberFormat="1" applyFont="1" applyFill="1" applyBorder="1"/>
    <xf numFmtId="164" fontId="13" fillId="2" borderId="3" xfId="0" applyNumberFormat="1" applyFont="1" applyFill="1" applyBorder="1"/>
    <xf numFmtId="164" fontId="17" fillId="3" borderId="11" xfId="0" applyNumberFormat="1" applyFont="1" applyFill="1" applyBorder="1"/>
    <xf numFmtId="164" fontId="14" fillId="3" borderId="12" xfId="0" applyNumberFormat="1" applyFont="1" applyFill="1" applyBorder="1"/>
    <xf numFmtId="164" fontId="17" fillId="3" borderId="3" xfId="0" applyNumberFormat="1" applyFont="1" applyFill="1" applyBorder="1"/>
    <xf numFmtId="164" fontId="14" fillId="3" borderId="10" xfId="0" applyNumberFormat="1" applyFont="1" applyFill="1" applyBorder="1"/>
    <xf numFmtId="10" fontId="16" fillId="2" borderId="0" xfId="3" applyNumberFormat="1" applyFont="1" applyFill="1" applyBorder="1" applyAlignment="1">
      <alignment horizontal="center"/>
    </xf>
    <xf numFmtId="10" fontId="13" fillId="2" borderId="3" xfId="3" applyNumberFormat="1" applyFont="1" applyFill="1" applyBorder="1"/>
    <xf numFmtId="10" fontId="17" fillId="2" borderId="3" xfId="3" applyNumberFormat="1" applyFont="1" applyFill="1" applyBorder="1" applyAlignment="1">
      <alignment horizontal="right"/>
    </xf>
    <xf numFmtId="10" fontId="13" fillId="2" borderId="10" xfId="3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/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8" fontId="0" fillId="0" borderId="13" xfId="1" applyNumberFormat="1" applyFont="1" applyBorder="1"/>
    <xf numFmtId="166" fontId="0" fillId="0" borderId="13" xfId="1" applyFont="1" applyBorder="1"/>
    <xf numFmtId="170" fontId="0" fillId="0" borderId="13" xfId="1" applyNumberFormat="1" applyFont="1" applyBorder="1"/>
    <xf numFmtId="168" fontId="0" fillId="0" borderId="13" xfId="0" applyNumberFormat="1" applyBorder="1"/>
    <xf numFmtId="0" fontId="0" fillId="0" borderId="13" xfId="0" applyBorder="1"/>
    <xf numFmtId="168" fontId="14" fillId="0" borderId="13" xfId="0" applyNumberFormat="1" applyFont="1" applyBorder="1"/>
    <xf numFmtId="168" fontId="14" fillId="0" borderId="0" xfId="0" applyNumberFormat="1" applyFont="1" applyBorder="1"/>
    <xf numFmtId="168" fontId="1" fillId="0" borderId="13" xfId="1" applyNumberFormat="1" applyBorder="1"/>
    <xf numFmtId="170" fontId="1" fillId="0" borderId="13" xfId="1" applyNumberFormat="1" applyBorder="1"/>
    <xf numFmtId="169" fontId="1" fillId="0" borderId="13" xfId="3" applyNumberFormat="1" applyBorder="1" applyAlignment="1">
      <alignment horizontal="center"/>
    </xf>
    <xf numFmtId="166" fontId="1" fillId="0" borderId="13" xfId="1" applyBorder="1"/>
    <xf numFmtId="171" fontId="14" fillId="0" borderId="13" xfId="2" applyNumberFormat="1" applyFont="1" applyBorder="1"/>
    <xf numFmtId="165" fontId="0" fillId="0" borderId="0" xfId="2" applyFont="1"/>
    <xf numFmtId="0" fontId="0" fillId="0" borderId="0" xfId="0" applyBorder="1"/>
    <xf numFmtId="0" fontId="14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9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169" fontId="1" fillId="0" borderId="13" xfId="3" applyNumberFormat="1" applyFont="1" applyBorder="1" applyAlignment="1">
      <alignment horizontal="center"/>
    </xf>
    <xf numFmtId="169" fontId="1" fillId="0" borderId="13" xfId="3" applyNumberFormat="1" applyFill="1" applyBorder="1" applyAlignment="1">
      <alignment horizontal="center"/>
    </xf>
    <xf numFmtId="10" fontId="1" fillId="0" borderId="13" xfId="3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168" fontId="0" fillId="0" borderId="13" xfId="1" applyNumberFormat="1" applyFont="1" applyFill="1" applyBorder="1"/>
    <xf numFmtId="0" fontId="14" fillId="0" borderId="13" xfId="0" applyFont="1" applyFill="1" applyBorder="1"/>
    <xf numFmtId="168" fontId="0" fillId="5" borderId="13" xfId="0" applyNumberFormat="1" applyFill="1" applyBorder="1"/>
    <xf numFmtId="0" fontId="14" fillId="3" borderId="13" xfId="0" applyFon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8" fontId="1" fillId="3" borderId="13" xfId="1" applyNumberFormat="1" applyFill="1" applyBorder="1"/>
    <xf numFmtId="169" fontId="1" fillId="3" borderId="13" xfId="3" applyNumberFormat="1" applyFill="1" applyBorder="1" applyAlignment="1">
      <alignment horizontal="center"/>
    </xf>
    <xf numFmtId="166" fontId="1" fillId="3" borderId="13" xfId="1" applyFill="1" applyBorder="1"/>
    <xf numFmtId="170" fontId="1" fillId="3" borderId="13" xfId="1" applyNumberFormat="1" applyFill="1" applyBorder="1"/>
    <xf numFmtId="168" fontId="0" fillId="3" borderId="13" xfId="0" applyNumberFormat="1" applyFill="1" applyBorder="1"/>
    <xf numFmtId="166" fontId="1" fillId="0" borderId="13" xfId="1" applyFont="1" applyBorder="1"/>
    <xf numFmtId="0" fontId="0" fillId="0" borderId="0" xfId="0" applyAlignment="1">
      <alignment horizontal="left" indent="4"/>
    </xf>
    <xf numFmtId="172" fontId="0" fillId="0" borderId="0" xfId="0" applyNumberFormat="1"/>
    <xf numFmtId="0" fontId="1" fillId="0" borderId="13" xfId="0" applyFont="1" applyBorder="1" applyAlignment="1">
      <alignment horizontal="left"/>
    </xf>
    <xf numFmtId="0" fontId="1" fillId="0" borderId="0" xfId="0" applyFont="1"/>
    <xf numFmtId="166" fontId="0" fillId="0" borderId="14" xfId="1" applyFont="1" applyBorder="1"/>
    <xf numFmtId="0" fontId="0" fillId="0" borderId="15" xfId="0" applyBorder="1"/>
    <xf numFmtId="170" fontId="0" fillId="0" borderId="15" xfId="1" applyNumberFormat="1" applyFont="1" applyBorder="1"/>
    <xf numFmtId="166" fontId="0" fillId="0" borderId="15" xfId="1" applyFont="1" applyBorder="1"/>
    <xf numFmtId="166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0" fillId="0" borderId="21" xfId="1" applyNumberFormat="1" applyFont="1" applyBorder="1"/>
    <xf numFmtId="0" fontId="0" fillId="0" borderId="6" xfId="0" applyBorder="1"/>
    <xf numFmtId="0" fontId="0" fillId="3" borderId="22" xfId="0" applyFill="1" applyBorder="1"/>
    <xf numFmtId="166" fontId="0" fillId="3" borderId="22" xfId="1" applyFont="1" applyFill="1" applyBorder="1"/>
    <xf numFmtId="170" fontId="0" fillId="3" borderId="22" xfId="1" applyNumberFormat="1" applyFont="1" applyFill="1" applyBorder="1"/>
    <xf numFmtId="0" fontId="14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5" xfId="0" applyFill="1" applyBorder="1"/>
    <xf numFmtId="166" fontId="0" fillId="0" borderId="22" xfId="1" applyFont="1" applyBorder="1" applyAlignment="1">
      <alignment horizontal="center"/>
    </xf>
    <xf numFmtId="168" fontId="0" fillId="7" borderId="13" xfId="0" applyNumberFormat="1" applyFill="1" applyBorder="1"/>
    <xf numFmtId="10" fontId="14" fillId="8" borderId="13" xfId="3" applyNumberFormat="1" applyFont="1" applyFill="1" applyBorder="1"/>
    <xf numFmtId="0" fontId="0" fillId="0" borderId="13" xfId="0" applyBorder="1" applyAlignment="1">
      <alignment vertical="center"/>
    </xf>
    <xf numFmtId="169" fontId="0" fillId="0" borderId="0" xfId="3" applyNumberFormat="1" applyFont="1"/>
    <xf numFmtId="0" fontId="0" fillId="0" borderId="14" xfId="0" applyBorder="1"/>
    <xf numFmtId="0" fontId="1" fillId="0" borderId="24" xfId="0" applyFont="1" applyBorder="1"/>
    <xf numFmtId="0" fontId="1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68" fontId="0" fillId="0" borderId="29" xfId="0" applyNumberFormat="1" applyBorder="1"/>
    <xf numFmtId="169" fontId="1" fillId="0" borderId="29" xfId="3" applyNumberFormat="1" applyBorder="1" applyAlignment="1">
      <alignment horizontal="center"/>
    </xf>
    <xf numFmtId="168" fontId="0" fillId="5" borderId="29" xfId="0" applyNumberFormat="1" applyFill="1" applyBorder="1"/>
    <xf numFmtId="0" fontId="0" fillId="0" borderId="29" xfId="0" applyBorder="1"/>
    <xf numFmtId="0" fontId="0" fillId="0" borderId="30" xfId="0" applyBorder="1"/>
    <xf numFmtId="168" fontId="0" fillId="0" borderId="13" xfId="1" applyNumberFormat="1" applyFont="1" applyBorder="1" applyAlignment="1">
      <alignment horizontal="center"/>
    </xf>
    <xf numFmtId="169" fontId="0" fillId="0" borderId="13" xfId="3" applyNumberFormat="1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Border="1" applyAlignment="1">
      <alignment horizontal="center"/>
    </xf>
    <xf numFmtId="168" fontId="1" fillId="0" borderId="29" xfId="1" applyNumberFormat="1" applyBorder="1"/>
    <xf numFmtId="169" fontId="1" fillId="4" borderId="29" xfId="3" applyNumberFormat="1" applyFill="1" applyBorder="1" applyAlignment="1">
      <alignment horizontal="center"/>
    </xf>
    <xf numFmtId="169" fontId="1" fillId="0" borderId="29" xfId="3" applyNumberFormat="1" applyFill="1" applyBorder="1" applyAlignment="1">
      <alignment horizontal="center"/>
    </xf>
    <xf numFmtId="166" fontId="1" fillId="0" borderId="13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70" fontId="1" fillId="0" borderId="13" xfId="1" applyNumberFormat="1" applyBorder="1" applyAlignment="1">
      <alignment horizontal="center"/>
    </xf>
    <xf numFmtId="0" fontId="21" fillId="0" borderId="0" xfId="0" applyFont="1" applyAlignment="1">
      <alignment horizontal="center"/>
    </xf>
    <xf numFmtId="0" fontId="14" fillId="0" borderId="26" xfId="0" applyFont="1" applyBorder="1"/>
    <xf numFmtId="0" fontId="14" fillId="0" borderId="28" xfId="0" applyFont="1" applyBorder="1"/>
    <xf numFmtId="0" fontId="0" fillId="0" borderId="29" xfId="0" applyBorder="1" applyAlignment="1">
      <alignment horizontal="center"/>
    </xf>
    <xf numFmtId="0" fontId="0" fillId="3" borderId="31" xfId="0" applyFill="1" applyBorder="1"/>
    <xf numFmtId="168" fontId="0" fillId="0" borderId="32" xfId="1" applyNumberFormat="1" applyFont="1" applyBorder="1" applyAlignment="1">
      <alignment horizontal="center"/>
    </xf>
    <xf numFmtId="10" fontId="21" fillId="0" borderId="0" xfId="0" applyNumberFormat="1" applyFont="1" applyAlignment="1">
      <alignment horizontal="center"/>
    </xf>
    <xf numFmtId="10" fontId="23" fillId="9" borderId="33" xfId="3" applyNumberFormat="1" applyFont="1" applyFill="1" applyBorder="1"/>
    <xf numFmtId="10" fontId="23" fillId="9" borderId="34" xfId="3" applyNumberFormat="1" applyFont="1" applyFill="1" applyBorder="1"/>
    <xf numFmtId="0" fontId="21" fillId="0" borderId="0" xfId="0" applyFont="1" applyAlignment="1">
      <alignment horizontal="left"/>
    </xf>
    <xf numFmtId="0" fontId="0" fillId="0" borderId="35" xfId="0" applyBorder="1"/>
    <xf numFmtId="0" fontId="0" fillId="0" borderId="21" xfId="0" applyBorder="1"/>
    <xf numFmtId="168" fontId="0" fillId="0" borderId="27" xfId="1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10" fontId="1" fillId="0" borderId="30" xfId="3" applyNumberFormat="1" applyFont="1" applyFill="1" applyBorder="1" applyAlignment="1">
      <alignment horizontal="center"/>
    </xf>
    <xf numFmtId="0" fontId="24" fillId="0" borderId="0" xfId="0" applyFont="1"/>
    <xf numFmtId="0" fontId="21" fillId="0" borderId="1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0" fontId="0" fillId="0" borderId="13" xfId="0" applyNumberFormat="1" applyBorder="1" applyAlignment="1">
      <alignment horizontal="center"/>
    </xf>
    <xf numFmtId="173" fontId="0" fillId="0" borderId="13" xfId="0" applyNumberFormat="1" applyBorder="1"/>
    <xf numFmtId="174" fontId="0" fillId="0" borderId="13" xfId="1" applyNumberFormat="1" applyFont="1" applyBorder="1"/>
    <xf numFmtId="174" fontId="0" fillId="0" borderId="13" xfId="0" applyNumberFormat="1" applyBorder="1"/>
    <xf numFmtId="0" fontId="0" fillId="0" borderId="44" xfId="0" applyBorder="1"/>
    <xf numFmtId="0" fontId="24" fillId="0" borderId="36" xfId="0" applyFont="1" applyBorder="1" applyAlignment="1">
      <alignment horizontal="center" vertical="center" wrapText="1"/>
    </xf>
    <xf numFmtId="0" fontId="0" fillId="0" borderId="36" xfId="0" applyBorder="1"/>
    <xf numFmtId="0" fontId="24" fillId="0" borderId="37" xfId="0" applyFont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/>
    </xf>
    <xf numFmtId="174" fontId="0" fillId="0" borderId="27" xfId="1" applyNumberFormat="1" applyFont="1" applyBorder="1"/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173" fontId="0" fillId="0" borderId="29" xfId="0" applyNumberFormat="1" applyBorder="1"/>
    <xf numFmtId="174" fontId="0" fillId="0" borderId="29" xfId="0" applyNumberFormat="1" applyBorder="1"/>
    <xf numFmtId="174" fontId="0" fillId="0" borderId="30" xfId="0" applyNumberFormat="1" applyBorder="1"/>
    <xf numFmtId="173" fontId="0" fillId="9" borderId="13" xfId="0" applyNumberFormat="1" applyFill="1" applyBorder="1"/>
    <xf numFmtId="0" fontId="1" fillId="0" borderId="26" xfId="0" applyFont="1" applyBorder="1" applyAlignment="1">
      <alignment horizontal="left" indent="1"/>
    </xf>
    <xf numFmtId="174" fontId="0" fillId="9" borderId="13" xfId="1" applyNumberFormat="1" applyFont="1" applyFill="1" applyBorder="1"/>
    <xf numFmtId="173" fontId="0" fillId="0" borderId="13" xfId="0" applyNumberFormat="1" applyFill="1" applyBorder="1"/>
    <xf numFmtId="174" fontId="0" fillId="0" borderId="13" xfId="1" applyNumberFormat="1" applyFont="1" applyFill="1" applyBorder="1"/>
    <xf numFmtId="174" fontId="0" fillId="7" borderId="13" xfId="1" applyNumberFormat="1" applyFont="1" applyFill="1" applyBorder="1"/>
    <xf numFmtId="173" fontId="0" fillId="0" borderId="29" xfId="0" applyNumberFormat="1" applyFill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26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26" xfId="0" applyFont="1" applyBorder="1"/>
    <xf numFmtId="173" fontId="0" fillId="0" borderId="30" xfId="0" applyNumberFormat="1" applyFill="1" applyBorder="1"/>
    <xf numFmtId="0" fontId="21" fillId="0" borderId="0" xfId="0" applyFont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3" fontId="1" fillId="0" borderId="13" xfId="1" applyNumberFormat="1" applyBorder="1"/>
    <xf numFmtId="44" fontId="0" fillId="0" borderId="0" xfId="0" applyNumberFormat="1"/>
    <xf numFmtId="0" fontId="25" fillId="0" borderId="0" xfId="0" applyFont="1" applyAlignment="1"/>
    <xf numFmtId="0" fontId="0" fillId="0" borderId="45" xfId="0" applyBorder="1"/>
    <xf numFmtId="0" fontId="0" fillId="0" borderId="3" xfId="0" applyBorder="1"/>
    <xf numFmtId="10" fontId="0" fillId="0" borderId="0" xfId="0" applyNumberFormat="1" applyBorder="1" applyAlignment="1">
      <alignment horizontal="center"/>
    </xf>
    <xf numFmtId="174" fontId="0" fillId="0" borderId="0" xfId="0" applyNumberFormat="1" applyBorder="1"/>
    <xf numFmtId="174" fontId="0" fillId="0" borderId="0" xfId="1" applyNumberFormat="1" applyFont="1" applyBorder="1"/>
    <xf numFmtId="174" fontId="0" fillId="0" borderId="3" xfId="1" applyNumberFormat="1" applyFont="1" applyBorder="1"/>
    <xf numFmtId="40" fontId="0" fillId="0" borderId="15" xfId="1" applyNumberFormat="1" applyFont="1" applyBorder="1" applyAlignment="1">
      <alignment vertical="center"/>
    </xf>
    <xf numFmtId="40" fontId="0" fillId="0" borderId="19" xfId="0" applyNumberFormat="1" applyBorder="1"/>
    <xf numFmtId="40" fontId="0" fillId="0" borderId="0" xfId="0" applyNumberFormat="1" applyBorder="1"/>
    <xf numFmtId="40" fontId="0" fillId="0" borderId="18" xfId="0" applyNumberFormat="1" applyBorder="1"/>
    <xf numFmtId="40" fontId="0" fillId="0" borderId="15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168" fontId="0" fillId="0" borderId="0" xfId="1" applyNumberFormat="1" applyFont="1"/>
    <xf numFmtId="166" fontId="0" fillId="0" borderId="0" xfId="1" applyFont="1"/>
    <xf numFmtId="170" fontId="0" fillId="0" borderId="0" xfId="1" applyNumberFormat="1" applyFont="1"/>
    <xf numFmtId="174" fontId="0" fillId="0" borderId="0" xfId="0" applyNumberFormat="1"/>
    <xf numFmtId="175" fontId="0" fillId="0" borderId="0" xfId="0" applyNumberFormat="1"/>
    <xf numFmtId="174" fontId="29" fillId="0" borderId="0" xfId="0" applyNumberFormat="1" applyFont="1"/>
    <xf numFmtId="171" fontId="0" fillId="0" borderId="0" xfId="2" applyNumberFormat="1" applyFont="1"/>
    <xf numFmtId="171" fontId="30" fillId="0" borderId="0" xfId="2" applyNumberFormat="1" applyFont="1"/>
    <xf numFmtId="171" fontId="0" fillId="0" borderId="0" xfId="0" applyNumberFormat="1"/>
    <xf numFmtId="43" fontId="0" fillId="0" borderId="0" xfId="0" applyNumberFormat="1"/>
    <xf numFmtId="176" fontId="0" fillId="0" borderId="0" xfId="0" applyNumberFormat="1"/>
    <xf numFmtId="170" fontId="0" fillId="0" borderId="0" xfId="0" applyNumberFormat="1"/>
    <xf numFmtId="0" fontId="1" fillId="0" borderId="26" xfId="0" applyFont="1" applyBorder="1" applyAlignment="1">
      <alignment wrapText="1"/>
    </xf>
    <xf numFmtId="171" fontId="29" fillId="0" borderId="0" xfId="2" applyNumberFormat="1" applyFont="1"/>
    <xf numFmtId="0" fontId="0" fillId="0" borderId="0" xfId="0" applyFill="1"/>
    <xf numFmtId="0" fontId="0" fillId="0" borderId="45" xfId="0" applyFill="1" applyBorder="1"/>
    <xf numFmtId="0" fontId="0" fillId="0" borderId="0" xfId="0" applyFill="1" applyBorder="1"/>
    <xf numFmtId="0" fontId="0" fillId="0" borderId="3" xfId="0" applyFill="1" applyBorder="1"/>
    <xf numFmtId="0" fontId="1" fillId="0" borderId="45" xfId="0" applyFont="1" applyFill="1" applyBorder="1"/>
    <xf numFmtId="171" fontId="0" fillId="0" borderId="0" xfId="2" applyNumberFormat="1" applyFont="1" applyFill="1" applyBorder="1"/>
    <xf numFmtId="0" fontId="1" fillId="0" borderId="0" xfId="0" applyFont="1" applyFill="1" applyBorder="1"/>
    <xf numFmtId="171" fontId="0" fillId="0" borderId="0" xfId="0" applyNumberFormat="1" applyFill="1" applyBorder="1"/>
    <xf numFmtId="0" fontId="1" fillId="0" borderId="20" xfId="0" applyFont="1" applyFill="1" applyBorder="1"/>
    <xf numFmtId="0" fontId="0" fillId="0" borderId="21" xfId="0" applyFill="1" applyBorder="1"/>
    <xf numFmtId="171" fontId="14" fillId="0" borderId="21" xfId="0" applyNumberFormat="1" applyFont="1" applyFill="1" applyBorder="1"/>
    <xf numFmtId="0" fontId="1" fillId="0" borderId="21" xfId="0" applyFont="1" applyFill="1" applyBorder="1" applyAlignment="1">
      <alignment horizontal="center"/>
    </xf>
    <xf numFmtId="0" fontId="1" fillId="0" borderId="21" xfId="0" applyFont="1" applyFill="1" applyBorder="1"/>
    <xf numFmtId="0" fontId="0" fillId="0" borderId="6" xfId="0" applyFill="1" applyBorder="1"/>
    <xf numFmtId="173" fontId="14" fillId="0" borderId="21" xfId="0" applyNumberFormat="1" applyFont="1" applyFill="1" applyBorder="1"/>
    <xf numFmtId="0" fontId="22" fillId="0" borderId="0" xfId="0" quotePrefix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38" xfId="0" applyFont="1" applyBorder="1" applyAlignment="1">
      <alignment horizontal="center" wrapText="1"/>
    </xf>
    <xf numFmtId="0" fontId="21" fillId="0" borderId="39" xfId="0" applyFont="1" applyBorder="1" applyAlignment="1">
      <alignment horizontal="center" wrapText="1"/>
    </xf>
    <xf numFmtId="0" fontId="21" fillId="0" borderId="50" xfId="0" applyFont="1" applyBorder="1" applyAlignment="1">
      <alignment horizont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167" fontId="5" fillId="2" borderId="0" xfId="0" applyNumberFormat="1" applyFont="1" applyFill="1" applyAlignment="1">
      <alignment horizontal="left" indent="10"/>
    </xf>
    <xf numFmtId="0" fontId="14" fillId="0" borderId="1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22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" fillId="0" borderId="45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5" fillId="0" borderId="46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46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1" fillId="0" borderId="38" xfId="0" applyFont="1" applyFill="1" applyBorder="1" applyAlignment="1">
      <alignment horizontal="center"/>
    </xf>
    <xf numFmtId="0" fontId="21" fillId="0" borderId="39" xfId="0" applyFont="1" applyFill="1" applyBorder="1" applyAlignment="1">
      <alignment horizontal="center"/>
    </xf>
    <xf numFmtId="0" fontId="21" fillId="0" borderId="50" xfId="0" applyFont="1" applyFill="1" applyBorder="1" applyAlignment="1">
      <alignment horizontal="center"/>
    </xf>
    <xf numFmtId="0" fontId="14" fillId="0" borderId="13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054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7"/>
  <sheetViews>
    <sheetView showGridLines="0" tabSelected="1" topLeftCell="A10" workbookViewId="0">
      <selection activeCell="F33" sqref="F33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262" t="s">
        <v>1</v>
      </c>
      <c r="C20" s="262"/>
      <c r="D20" s="262"/>
      <c r="E20" s="262"/>
      <c r="F20" s="262"/>
      <c r="G20" s="262"/>
      <c r="H20" s="262"/>
      <c r="I20" s="262"/>
    </row>
    <row r="21" spans="2:9" ht="33.75" x14ac:dyDescent="0.5">
      <c r="B21" s="262" t="s">
        <v>240</v>
      </c>
      <c r="C21" s="262"/>
      <c r="D21" s="262"/>
      <c r="E21" s="262"/>
      <c r="F21" s="262"/>
      <c r="G21" s="262"/>
      <c r="H21" s="262"/>
      <c r="I21" s="262"/>
    </row>
    <row r="23" spans="2:9" ht="33.75" x14ac:dyDescent="0.4">
      <c r="B23" s="264" t="s">
        <v>184</v>
      </c>
      <c r="C23" s="264"/>
      <c r="D23" s="264"/>
      <c r="E23" s="264"/>
      <c r="F23" s="264"/>
      <c r="G23" s="264"/>
      <c r="H23" s="264"/>
      <c r="I23" s="264"/>
    </row>
    <row r="24" spans="2:9" ht="33.75" x14ac:dyDescent="0.5">
      <c r="B24" s="262" t="s">
        <v>215</v>
      </c>
      <c r="C24" s="262"/>
      <c r="D24" s="262"/>
      <c r="E24" s="262"/>
      <c r="F24" s="262"/>
      <c r="G24" s="262"/>
      <c r="H24" s="262"/>
      <c r="I24" s="262"/>
    </row>
    <row r="25" spans="2:9" ht="33.75" x14ac:dyDescent="0.5">
      <c r="B25" s="262" t="s">
        <v>218</v>
      </c>
      <c r="C25" s="263"/>
      <c r="D25" s="263"/>
      <c r="E25" s="263"/>
      <c r="F25" s="263"/>
      <c r="G25" s="263"/>
      <c r="H25" s="263"/>
      <c r="I25" s="263"/>
    </row>
    <row r="26" spans="2:9" ht="33.75" x14ac:dyDescent="0.5">
      <c r="B26" s="261"/>
      <c r="C26" s="260"/>
      <c r="D26" s="260"/>
      <c r="E26" s="260"/>
      <c r="F26" s="260"/>
      <c r="G26" s="260"/>
      <c r="H26" s="260"/>
      <c r="I26" s="260"/>
    </row>
    <row r="27" spans="2:9" ht="33.75" x14ac:dyDescent="0.5">
      <c r="B27" s="260" t="s">
        <v>241</v>
      </c>
      <c r="C27" s="260"/>
      <c r="D27" s="260"/>
      <c r="E27" s="260"/>
      <c r="F27" s="260"/>
      <c r="G27" s="260"/>
      <c r="H27" s="260"/>
      <c r="I27" s="260"/>
    </row>
  </sheetData>
  <mergeCells count="7">
    <mergeCell ref="B27:I27"/>
    <mergeCell ref="B26:I26"/>
    <mergeCell ref="B25:I25"/>
    <mergeCell ref="B20:I20"/>
    <mergeCell ref="B21:I21"/>
    <mergeCell ref="B23:I23"/>
    <mergeCell ref="B24:I24"/>
  </mergeCells>
  <phoneticPr fontId="3" type="noConversion"/>
  <pageMargins left="0.75" right="0.75" top="1" bottom="1" header="0.5" footer="0.5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showGridLines="0" topLeftCell="B1" workbookViewId="0">
      <selection activeCell="M7" sqref="M7"/>
    </sheetView>
  </sheetViews>
  <sheetFormatPr defaultRowHeight="12.75" x14ac:dyDescent="0.2"/>
  <cols>
    <col min="1" max="1" width="4.140625" customWidth="1"/>
    <col min="2" max="2" width="15.28515625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7" width="12.28515625" bestFit="1" customWidth="1"/>
    <col min="8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 x14ac:dyDescent="0.25">
      <c r="B2" s="289" t="s">
        <v>143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4" spans="2:13" x14ac:dyDescent="0.2">
      <c r="B4" s="300" t="s">
        <v>206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</row>
    <row r="5" spans="2:13" x14ac:dyDescent="0.2">
      <c r="B5" s="311" t="s">
        <v>80</v>
      </c>
      <c r="C5" s="311" t="s">
        <v>81</v>
      </c>
      <c r="D5" s="312" t="s">
        <v>82</v>
      </c>
      <c r="E5" s="300" t="s">
        <v>83</v>
      </c>
      <c r="F5" s="300"/>
      <c r="G5" s="313" t="s">
        <v>93</v>
      </c>
      <c r="H5" s="314"/>
      <c r="I5" s="300" t="s">
        <v>91</v>
      </c>
      <c r="J5" s="300"/>
      <c r="K5" s="300" t="s">
        <v>84</v>
      </c>
      <c r="L5" s="300"/>
      <c r="M5" s="300"/>
    </row>
    <row r="6" spans="2:13" ht="38.25" x14ac:dyDescent="0.2">
      <c r="B6" s="311"/>
      <c r="C6" s="311"/>
      <c r="D6" s="312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16</v>
      </c>
      <c r="C7" s="71" t="s">
        <v>73</v>
      </c>
      <c r="D7" s="72">
        <f>'Allocated Revenues'!D10</f>
        <v>3660</v>
      </c>
      <c r="E7" s="80">
        <f>'Allocated Revenues'!E30</f>
        <v>12622297</v>
      </c>
      <c r="F7" s="80"/>
      <c r="G7" s="82">
        <v>0.47499999999999998</v>
      </c>
      <c r="H7" s="82">
        <f>1-G7</f>
        <v>0.52500000000000002</v>
      </c>
      <c r="I7" s="157">
        <f>K7/(D7*12)</f>
        <v>26.750027989630773</v>
      </c>
      <c r="J7" s="159">
        <f>L7/E7</f>
        <v>0.10287595295763337</v>
      </c>
      <c r="K7" s="158">
        <f>G7*M7</f>
        <v>1174861.2293045835</v>
      </c>
      <c r="L7" s="158">
        <f>H7*M7</f>
        <v>1298530.8323892767</v>
      </c>
      <c r="M7" s="158">
        <f>'Smart Meter Recovery'!G36</f>
        <v>2473392.0616938602</v>
      </c>
    </row>
    <row r="8" spans="2:13" x14ac:dyDescent="0.2">
      <c r="B8" s="103" t="s">
        <v>71</v>
      </c>
      <c r="C8" s="104" t="s">
        <v>73</v>
      </c>
      <c r="D8" s="105">
        <f>'Allocated Revenues'!D11</f>
        <v>1052</v>
      </c>
      <c r="E8" s="106">
        <f>'Allocated Revenues'!E11</f>
        <v>791996</v>
      </c>
      <c r="F8" s="106"/>
      <c r="G8" s="107">
        <f>'Allocated Revenues'!G31</f>
        <v>0</v>
      </c>
      <c r="H8" s="107">
        <f>'Allocated Revenues'!H31</f>
        <v>1</v>
      </c>
      <c r="I8" s="157">
        <f>'Allocated Revenues'!I31</f>
        <v>0</v>
      </c>
      <c r="J8" s="159">
        <f>L8/E8</f>
        <v>0.17356347172735589</v>
      </c>
      <c r="K8" s="158">
        <f>G8*M8</f>
        <v>0</v>
      </c>
      <c r="L8" s="158">
        <f>H8*M8</f>
        <v>137461.57535417896</v>
      </c>
      <c r="M8" s="158">
        <f>'Smart Meter Recovery'!H36</f>
        <v>137461.57535417896</v>
      </c>
    </row>
    <row r="9" spans="2:13" x14ac:dyDescent="0.2">
      <c r="B9" s="70" t="s">
        <v>71</v>
      </c>
      <c r="C9" s="114"/>
      <c r="D9" s="72"/>
      <c r="E9" s="80"/>
      <c r="F9" s="80"/>
      <c r="G9" s="82">
        <f>K9/M9</f>
        <v>9.0328616473421774E-2</v>
      </c>
      <c r="H9" s="82">
        <f>L9/M9</f>
        <v>0.90967138352657828</v>
      </c>
      <c r="I9" s="111">
        <f>'Tariff Sheet'!F27*(1+'Allocated Revenues'!E60)</f>
        <v>0.98358000000000001</v>
      </c>
      <c r="J9" s="81">
        <f>L9/E8</f>
        <v>0.15788572345589999</v>
      </c>
      <c r="K9" s="80">
        <f>(I9*D8*12)</f>
        <v>12416.713919999998</v>
      </c>
      <c r="L9" s="80">
        <f>M8-K9</f>
        <v>125044.86143417897</v>
      </c>
      <c r="M9" s="76">
        <f>K9+L9</f>
        <v>137461.57535417896</v>
      </c>
    </row>
    <row r="10" spans="2:13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8">
        <f>K7+K9</f>
        <v>1187277.9432245835</v>
      </c>
      <c r="L10" s="78">
        <f>L7+L9</f>
        <v>1423575.6938234556</v>
      </c>
      <c r="M10" s="78">
        <f>M7+M9</f>
        <v>2610853.6370480391</v>
      </c>
    </row>
  </sheetData>
  <mergeCells count="9">
    <mergeCell ref="B2:M2"/>
    <mergeCell ref="B4:M4"/>
    <mergeCell ref="B5:B6"/>
    <mergeCell ref="C5:C6"/>
    <mergeCell ref="D5:D6"/>
    <mergeCell ref="E5:F5"/>
    <mergeCell ref="G5:H5"/>
    <mergeCell ref="I5:J5"/>
    <mergeCell ref="K5:M5"/>
  </mergeCells>
  <pageMargins left="0.75" right="0.75" top="1" bottom="1" header="0.5" footer="0.5"/>
  <pageSetup scale="9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1"/>
  <sheetViews>
    <sheetView showGridLines="0" workbookViewId="0">
      <selection activeCell="K9" sqref="K9"/>
    </sheetView>
  </sheetViews>
  <sheetFormatPr defaultRowHeight="12.75" x14ac:dyDescent="0.2"/>
  <cols>
    <col min="1" max="1" width="4" customWidth="1"/>
    <col min="2" max="2" width="26.570312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</cols>
  <sheetData>
    <row r="2" spans="2:11" ht="15.75" x14ac:dyDescent="0.25">
      <c r="B2" s="289" t="s">
        <v>144</v>
      </c>
      <c r="C2" s="289"/>
      <c r="D2" s="289"/>
      <c r="E2" s="289"/>
      <c r="F2" s="289"/>
      <c r="G2" s="289"/>
      <c r="H2" s="289"/>
      <c r="I2" s="289"/>
      <c r="J2" s="289"/>
      <c r="K2" s="289"/>
    </row>
    <row r="4" spans="2:11" ht="51" x14ac:dyDescent="0.2">
      <c r="B4" s="137"/>
      <c r="C4" s="69" t="s">
        <v>115</v>
      </c>
      <c r="D4" s="69" t="s">
        <v>114</v>
      </c>
      <c r="E4" s="69" t="s">
        <v>210</v>
      </c>
      <c r="F4" s="69" t="s">
        <v>211</v>
      </c>
      <c r="G4" s="69" t="s">
        <v>212</v>
      </c>
      <c r="H4" s="69" t="s">
        <v>213</v>
      </c>
      <c r="I4" s="69" t="s">
        <v>139</v>
      </c>
      <c r="J4" s="69" t="s">
        <v>214</v>
      </c>
      <c r="K4" s="69" t="s">
        <v>140</v>
      </c>
    </row>
    <row r="5" spans="2:11" x14ac:dyDescent="0.2">
      <c r="B5" s="77" t="s">
        <v>69</v>
      </c>
      <c r="C5" s="73">
        <f>'Allocated Revenues'!D8</f>
        <v>8039</v>
      </c>
      <c r="D5" s="73">
        <f>'Allocated Revenues'!E8</f>
        <v>106119297</v>
      </c>
      <c r="E5" s="74">
        <f>'Tariff Sheet'!J7</f>
        <v>23.159232000000003</v>
      </c>
      <c r="F5" s="75">
        <f>'Tariff Sheet'!J8</f>
        <v>3.2476880000000007E-2</v>
      </c>
      <c r="G5" s="73">
        <f>C5*E5*12</f>
        <v>2234124.7925760006</v>
      </c>
      <c r="H5" s="73">
        <f>D5*F5</f>
        <v>3446423.6743533607</v>
      </c>
      <c r="I5" s="76">
        <f>G5+H5</f>
        <v>5680548.4669293612</v>
      </c>
      <c r="J5" s="77"/>
      <c r="K5" s="77"/>
    </row>
    <row r="6" spans="2:11" x14ac:dyDescent="0.2">
      <c r="B6" s="77" t="s">
        <v>70</v>
      </c>
      <c r="C6" s="73">
        <f>'Allocated Revenues'!D9</f>
        <v>48</v>
      </c>
      <c r="D6" s="73">
        <f>'Allocated Revenues'!F29</f>
        <v>151952</v>
      </c>
      <c r="E6" s="74">
        <f>'Tariff Sheet'!J13</f>
        <v>596.12</v>
      </c>
      <c r="F6" s="75">
        <f>'Tariff Sheet'!J14</f>
        <v>3.0887127584795206</v>
      </c>
      <c r="G6" s="73">
        <f>C6*E6*12</f>
        <v>343365.12</v>
      </c>
      <c r="H6" s="73">
        <f>D6*F6</f>
        <v>469336.0810764801</v>
      </c>
      <c r="I6" s="76">
        <f>G6+H6</f>
        <v>812701.20107648009</v>
      </c>
      <c r="J6" s="77"/>
      <c r="K6" s="77"/>
    </row>
    <row r="7" spans="2:11" x14ac:dyDescent="0.2">
      <c r="B7" s="77" t="s">
        <v>16</v>
      </c>
      <c r="C7" s="73">
        <f>'Allocated Revenues'!D10</f>
        <v>3660</v>
      </c>
      <c r="D7" s="73">
        <f>'Allocated Revenues'!E10</f>
        <v>12622297</v>
      </c>
      <c r="E7" s="74">
        <f>'Tariff Sheet'!J19</f>
        <v>26.750027989630773</v>
      </c>
      <c r="F7" s="75">
        <f>'Tariff Sheet'!J20</f>
        <v>0.10287595295763337</v>
      </c>
      <c r="G7" s="73">
        <f>C7*E7*12</f>
        <v>1174861.2293045837</v>
      </c>
      <c r="H7" s="73">
        <f>D7*F7</f>
        <v>1298530.8323892767</v>
      </c>
      <c r="I7" s="76">
        <f>G7+H7</f>
        <v>2473392.0616938602</v>
      </c>
      <c r="J7" s="77"/>
      <c r="K7" s="77"/>
    </row>
    <row r="8" spans="2:11" x14ac:dyDescent="0.2">
      <c r="B8" s="77" t="s">
        <v>71</v>
      </c>
      <c r="C8" s="73">
        <f>'Allocated Revenues'!D11</f>
        <v>1052</v>
      </c>
      <c r="D8" s="73">
        <f>'Allocated Revenues'!E11</f>
        <v>791996</v>
      </c>
      <c r="E8" s="74">
        <f>'Tariff Sheet'!J27</f>
        <v>0.98358000000000001</v>
      </c>
      <c r="F8" s="75">
        <f>'Tariff Sheet'!J28</f>
        <v>0.15788572345589999</v>
      </c>
      <c r="G8" s="73">
        <f>C8*E8*12</f>
        <v>12416.713919999998</v>
      </c>
      <c r="H8" s="73">
        <f>D8*F8</f>
        <v>125044.86143417897</v>
      </c>
      <c r="I8" s="76">
        <f>G8+H8</f>
        <v>137461.57535417896</v>
      </c>
      <c r="J8" s="77"/>
      <c r="K8" s="77"/>
    </row>
    <row r="9" spans="2:11" x14ac:dyDescent="0.2">
      <c r="B9" s="77"/>
      <c r="C9" s="77"/>
      <c r="D9" s="77"/>
      <c r="E9" s="77"/>
      <c r="F9" s="77"/>
      <c r="G9" s="76">
        <f>SUM(G5:G8)</f>
        <v>3764767.8558005844</v>
      </c>
      <c r="H9" s="76">
        <f>SUM(H5:H8)</f>
        <v>5339335.4492532965</v>
      </c>
      <c r="I9" s="76">
        <f>SUM(I5:I8)</f>
        <v>9104103.3050538804</v>
      </c>
      <c r="J9" s="76">
        <f>'Tariff Sheet'!J32</f>
        <v>12130403.58347786</v>
      </c>
      <c r="K9" s="135">
        <f>J9+I9</f>
        <v>21234506.888531741</v>
      </c>
    </row>
    <row r="11" spans="2:11" x14ac:dyDescent="0.2">
      <c r="J11" s="203" t="s">
        <v>164</v>
      </c>
      <c r="K11" s="204" t="str">
        <f>IF(ABS(K9-('Allocated Revenues'!M72+'Smart Meter Recovery'!E38+'Smart Meter Recovery'!E39))&lt;1,"Yes","No")</f>
        <v>Yes</v>
      </c>
    </row>
  </sheetData>
  <mergeCells count="1">
    <mergeCell ref="B2:K2"/>
  </mergeCells>
  <pageMargins left="0.7" right="0.7" top="0.75" bottom="0.75" header="0.3" footer="0.3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4"/>
  <sheetViews>
    <sheetView workbookViewId="0">
      <selection activeCell="M6" sqref="M6"/>
    </sheetView>
  </sheetViews>
  <sheetFormatPr defaultRowHeight="12.75" x14ac:dyDescent="0.2"/>
  <cols>
    <col min="1" max="1" width="3.28515625" customWidth="1"/>
    <col min="2" max="2" width="14.28515625" bestFit="1" customWidth="1"/>
    <col min="4" max="5" width="12.85546875" customWidth="1"/>
    <col min="8" max="8" width="1" customWidth="1"/>
    <col min="11" max="11" width="1" customWidth="1"/>
  </cols>
  <sheetData>
    <row r="2" spans="2:15" ht="15.75" x14ac:dyDescent="0.25">
      <c r="B2" s="289" t="s">
        <v>220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4" spans="2:15" ht="25.5" x14ac:dyDescent="0.2">
      <c r="B4" s="115" t="s">
        <v>80</v>
      </c>
      <c r="C4" s="226" t="s">
        <v>81</v>
      </c>
      <c r="D4" s="227" t="s">
        <v>101</v>
      </c>
      <c r="E4" s="228" t="s">
        <v>114</v>
      </c>
      <c r="F4" s="332" t="s">
        <v>221</v>
      </c>
      <c r="G4" s="333"/>
      <c r="I4" s="332" t="s">
        <v>222</v>
      </c>
      <c r="J4" s="333"/>
      <c r="K4" s="229"/>
      <c r="L4" s="332" t="s">
        <v>223</v>
      </c>
      <c r="M4" s="333"/>
    </row>
    <row r="5" spans="2:15" x14ac:dyDescent="0.2">
      <c r="F5" s="230" t="s">
        <v>224</v>
      </c>
      <c r="G5" s="230" t="s">
        <v>225</v>
      </c>
      <c r="I5" s="230" t="s">
        <v>224</v>
      </c>
      <c r="J5" s="230" t="s">
        <v>225</v>
      </c>
      <c r="K5" s="230"/>
      <c r="L5" s="230" t="s">
        <v>224</v>
      </c>
      <c r="M5" s="230" t="s">
        <v>225</v>
      </c>
    </row>
    <row r="6" spans="2:15" x14ac:dyDescent="0.2">
      <c r="B6" t="s">
        <v>69</v>
      </c>
      <c r="C6" s="230" t="s">
        <v>73</v>
      </c>
      <c r="D6" s="231">
        <v>8039</v>
      </c>
      <c r="E6" s="231">
        <v>106119297</v>
      </c>
      <c r="F6" s="232">
        <v>22.32</v>
      </c>
      <c r="G6" s="233">
        <v>3.1300000000000001E-2</v>
      </c>
      <c r="I6" s="232">
        <f>'Tariff Sheet'!J7</f>
        <v>23.159232000000003</v>
      </c>
      <c r="J6" s="233">
        <f>'Tariff Sheet'!J8</f>
        <v>3.2476880000000007E-2</v>
      </c>
      <c r="K6" s="233"/>
      <c r="L6" s="234">
        <f>(I6-F6)*D6*2</f>
        <v>13493.172096000042</v>
      </c>
      <c r="M6" s="234">
        <f>(J6-G6)*(E6/12*2)</f>
        <v>20814.946375560092</v>
      </c>
      <c r="O6" s="235"/>
    </row>
    <row r="7" spans="2:15" x14ac:dyDescent="0.2">
      <c r="B7" t="s">
        <v>70</v>
      </c>
      <c r="C7" s="230" t="s">
        <v>72</v>
      </c>
      <c r="D7" s="231">
        <v>48</v>
      </c>
      <c r="E7" s="231">
        <v>151952</v>
      </c>
      <c r="F7" s="232">
        <v>596.12</v>
      </c>
      <c r="G7" s="233">
        <v>2.8948999999999998</v>
      </c>
      <c r="I7" s="232">
        <f>'Tariff Sheet'!J13</f>
        <v>596.12</v>
      </c>
      <c r="J7" s="233">
        <f>'Tariff Sheet'!J14</f>
        <v>3.0887127584795206</v>
      </c>
      <c r="K7" s="233"/>
      <c r="L7" s="234">
        <f>(I7-F7)*D7*2</f>
        <v>0</v>
      </c>
      <c r="M7" s="234">
        <f>(J7-G7)*(E7/12*2)</f>
        <v>4908.3727127466918</v>
      </c>
    </row>
    <row r="8" spans="2:15" x14ac:dyDescent="0.2">
      <c r="B8" t="s">
        <v>16</v>
      </c>
      <c r="C8" s="230" t="s">
        <v>73</v>
      </c>
      <c r="D8" s="231">
        <v>3660</v>
      </c>
      <c r="E8" s="231">
        <v>12622297</v>
      </c>
      <c r="F8" s="232">
        <v>26.38</v>
      </c>
      <c r="G8" s="233">
        <v>0.10150000000000001</v>
      </c>
      <c r="I8" s="232">
        <f>'Tariff Sheet'!J19</f>
        <v>26.750027989630773</v>
      </c>
      <c r="J8" s="233">
        <f>'Tariff Sheet'!J20</f>
        <v>0.10287595295763337</v>
      </c>
      <c r="K8" s="233"/>
      <c r="L8" s="234">
        <f t="shared" ref="L8:L9" si="0">(I8-F8)*D8*2</f>
        <v>2708.6048840972662</v>
      </c>
      <c r="M8" s="234">
        <f>(J8-G8)*(E8/12*2)</f>
        <v>2894.6144815461171</v>
      </c>
    </row>
    <row r="9" spans="2:15" ht="15" x14ac:dyDescent="0.35">
      <c r="B9" t="s">
        <v>71</v>
      </c>
      <c r="C9" s="230" t="s">
        <v>73</v>
      </c>
      <c r="D9" s="231">
        <v>1052</v>
      </c>
      <c r="E9" s="231">
        <v>791996</v>
      </c>
      <c r="F9" s="232">
        <v>0.97</v>
      </c>
      <c r="G9" s="233">
        <v>0.15570000000000001</v>
      </c>
      <c r="I9" s="232">
        <f>'Tariff Sheet'!J27</f>
        <v>0.98358000000000001</v>
      </c>
      <c r="J9" s="233">
        <f>'Tariff Sheet'!J28</f>
        <v>0.15788572345589999</v>
      </c>
      <c r="K9" s="233"/>
      <c r="L9" s="236">
        <f t="shared" si="0"/>
        <v>28.572320000000076</v>
      </c>
      <c r="M9" s="236">
        <f>(J9-G9)*(E9/12*2)</f>
        <v>288.51403902982742</v>
      </c>
    </row>
    <row r="10" spans="2:15" ht="15" x14ac:dyDescent="0.35">
      <c r="C10" s="230"/>
      <c r="D10" s="231"/>
      <c r="E10" s="231"/>
      <c r="F10" s="232"/>
      <c r="G10" s="233"/>
      <c r="I10" s="232"/>
      <c r="J10" s="233"/>
      <c r="K10" s="233"/>
      <c r="L10" s="236"/>
      <c r="M10" s="236"/>
    </row>
    <row r="11" spans="2:15" ht="15" x14ac:dyDescent="0.35">
      <c r="B11" s="115" t="s">
        <v>226</v>
      </c>
      <c r="C11" s="67"/>
      <c r="L11" s="237">
        <f>SUM(L6:L9)</f>
        <v>16230.349300097307</v>
      </c>
      <c r="M11" s="244">
        <f>SUM(M6:M9)</f>
        <v>28906.447608882725</v>
      </c>
    </row>
    <row r="12" spans="2:15" x14ac:dyDescent="0.2">
      <c r="I12" s="334" t="s">
        <v>226</v>
      </c>
      <c r="J12" s="334"/>
      <c r="K12" s="334"/>
      <c r="L12" s="334"/>
      <c r="M12" s="239">
        <f>L11+M11</f>
        <v>45136.796908980032</v>
      </c>
    </row>
    <row r="14" spans="2:15" ht="15.75" x14ac:dyDescent="0.25">
      <c r="B14" s="289" t="s">
        <v>227</v>
      </c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</row>
    <row r="16" spans="2:15" ht="25.5" x14ac:dyDescent="0.2">
      <c r="B16" s="115" t="s">
        <v>80</v>
      </c>
      <c r="C16" s="226" t="s">
        <v>81</v>
      </c>
      <c r="D16" s="227" t="s">
        <v>101</v>
      </c>
      <c r="E16" s="228" t="s">
        <v>114</v>
      </c>
      <c r="F16" s="332" t="s">
        <v>228</v>
      </c>
      <c r="G16" s="333"/>
      <c r="I16" s="332" t="s">
        <v>229</v>
      </c>
      <c r="J16" s="333"/>
    </row>
    <row r="17" spans="2:15" x14ac:dyDescent="0.2">
      <c r="F17" s="230" t="s">
        <v>224</v>
      </c>
      <c r="G17" s="230" t="s">
        <v>225</v>
      </c>
      <c r="I17" s="230" t="s">
        <v>224</v>
      </c>
      <c r="J17" s="230" t="s">
        <v>225</v>
      </c>
    </row>
    <row r="18" spans="2:15" x14ac:dyDescent="0.2">
      <c r="B18" t="s">
        <v>69</v>
      </c>
      <c r="C18" s="230" t="s">
        <v>73</v>
      </c>
      <c r="D18" s="231">
        <v>8039</v>
      </c>
      <c r="E18" s="231">
        <v>106119297</v>
      </c>
      <c r="F18" s="234">
        <f>L6</f>
        <v>13493.172096000042</v>
      </c>
      <c r="G18" s="234">
        <f>M6</f>
        <v>20814.946375560092</v>
      </c>
      <c r="I18" s="240"/>
      <c r="J18" s="233">
        <f>(F18+G18)/(E18*10/12)</f>
        <v>3.8795717018246136E-4</v>
      </c>
      <c r="O18" s="241"/>
    </row>
    <row r="19" spans="2:15" x14ac:dyDescent="0.2">
      <c r="B19" t="s">
        <v>70</v>
      </c>
      <c r="C19" s="230" t="s">
        <v>72</v>
      </c>
      <c r="D19" s="231">
        <v>48</v>
      </c>
      <c r="E19" s="231">
        <v>151952</v>
      </c>
      <c r="F19" s="234">
        <f t="shared" ref="F19:G19" si="1">L7</f>
        <v>0</v>
      </c>
      <c r="G19" s="234">
        <f t="shared" si="1"/>
        <v>4908.3727127466918</v>
      </c>
      <c r="I19" s="240"/>
      <c r="J19" s="233">
        <f t="shared" ref="J19:J21" si="2">(F19+G19)/(E19*10/12)</f>
        <v>3.8762551695904167E-2</v>
      </c>
    </row>
    <row r="20" spans="2:15" x14ac:dyDescent="0.2">
      <c r="B20" t="s">
        <v>16</v>
      </c>
      <c r="C20" s="230" t="s">
        <v>73</v>
      </c>
      <c r="D20" s="231">
        <v>3660</v>
      </c>
      <c r="E20" s="231">
        <v>12622297</v>
      </c>
      <c r="F20" s="234">
        <f t="shared" ref="F20:G20" si="3">L8</f>
        <v>2708.6048840972662</v>
      </c>
      <c r="G20" s="234">
        <f t="shared" si="3"/>
        <v>2894.6144815461171</v>
      </c>
      <c r="I20" s="240"/>
      <c r="J20" s="233">
        <f t="shared" si="2"/>
        <v>5.326972767929687E-4</v>
      </c>
      <c r="O20" s="240"/>
    </row>
    <row r="21" spans="2:15" x14ac:dyDescent="0.2">
      <c r="B21" t="s">
        <v>71</v>
      </c>
      <c r="C21" s="230" t="s">
        <v>73</v>
      </c>
      <c r="D21" s="231">
        <v>1052</v>
      </c>
      <c r="E21" s="231">
        <v>791996</v>
      </c>
      <c r="F21" s="234">
        <f t="shared" ref="F21:G21" si="4">L9</f>
        <v>28.572320000000076</v>
      </c>
      <c r="G21" s="234">
        <f t="shared" si="4"/>
        <v>288.51403902982742</v>
      </c>
      <c r="I21" s="240"/>
      <c r="J21" s="233">
        <f t="shared" si="2"/>
        <v>4.8043630376389901E-4</v>
      </c>
    </row>
    <row r="24" spans="2:15" ht="15.75" x14ac:dyDescent="0.25">
      <c r="B24" s="289" t="s">
        <v>230</v>
      </c>
      <c r="C24" s="289"/>
      <c r="D24" s="289"/>
      <c r="E24" s="289"/>
      <c r="F24" s="289"/>
      <c r="G24" s="289"/>
      <c r="H24" s="289"/>
      <c r="I24" s="289"/>
      <c r="J24" s="289"/>
    </row>
    <row r="26" spans="2:15" ht="25.5" x14ac:dyDescent="0.2">
      <c r="B26" s="115" t="s">
        <v>80</v>
      </c>
      <c r="C26" s="226" t="s">
        <v>81</v>
      </c>
      <c r="D26" s="227" t="s">
        <v>101</v>
      </c>
      <c r="E26" s="228" t="s">
        <v>114</v>
      </c>
      <c r="F26" s="332" t="s">
        <v>229</v>
      </c>
      <c r="G26" s="333"/>
      <c r="I26" s="332" t="s">
        <v>228</v>
      </c>
      <c r="J26" s="333"/>
    </row>
    <row r="27" spans="2:15" x14ac:dyDescent="0.2">
      <c r="F27" s="230" t="s">
        <v>224</v>
      </c>
      <c r="G27" s="230" t="s">
        <v>225</v>
      </c>
      <c r="I27" s="230" t="s">
        <v>224</v>
      </c>
      <c r="J27" s="230" t="s">
        <v>225</v>
      </c>
    </row>
    <row r="28" spans="2:15" x14ac:dyDescent="0.2">
      <c r="B28" t="s">
        <v>69</v>
      </c>
      <c r="C28" s="230" t="s">
        <v>73</v>
      </c>
      <c r="D28" s="231">
        <v>8039</v>
      </c>
      <c r="E28" s="231">
        <v>106119297</v>
      </c>
      <c r="F28" s="240"/>
      <c r="G28" s="242">
        <f>J18</f>
        <v>3.8795717018246136E-4</v>
      </c>
      <c r="I28" s="234"/>
      <c r="J28" s="234">
        <f>G28*(E28*10/12)</f>
        <v>34308.118471560134</v>
      </c>
    </row>
    <row r="29" spans="2:15" x14ac:dyDescent="0.2">
      <c r="B29" t="s">
        <v>70</v>
      </c>
      <c r="C29" s="230" t="s">
        <v>72</v>
      </c>
      <c r="D29" s="231">
        <v>48</v>
      </c>
      <c r="E29" s="231">
        <v>151952</v>
      </c>
      <c r="F29" s="240"/>
      <c r="G29" s="242">
        <f t="shared" ref="G29:G31" si="5">J19</f>
        <v>3.8762551695904167E-2</v>
      </c>
      <c r="I29" s="234"/>
      <c r="J29" s="234">
        <f t="shared" ref="J29:J31" si="6">G29*(E29*10/12)</f>
        <v>4908.3727127466918</v>
      </c>
    </row>
    <row r="30" spans="2:15" x14ac:dyDescent="0.2">
      <c r="B30" t="s">
        <v>16</v>
      </c>
      <c r="C30" s="230" t="s">
        <v>73</v>
      </c>
      <c r="D30" s="231">
        <v>3660</v>
      </c>
      <c r="E30" s="231">
        <v>12622297</v>
      </c>
      <c r="F30" s="240"/>
      <c r="G30" s="242">
        <f t="shared" si="5"/>
        <v>5.326972767929687E-4</v>
      </c>
      <c r="I30" s="234"/>
      <c r="J30" s="234">
        <f t="shared" si="6"/>
        <v>5603.2193656433819</v>
      </c>
    </row>
    <row r="31" spans="2:15" ht="15" x14ac:dyDescent="0.35">
      <c r="B31" t="s">
        <v>71</v>
      </c>
      <c r="C31" s="230" t="s">
        <v>73</v>
      </c>
      <c r="D31" s="231">
        <v>1052</v>
      </c>
      <c r="E31" s="231">
        <v>791996</v>
      </c>
      <c r="F31" s="240"/>
      <c r="G31" s="242">
        <f t="shared" si="5"/>
        <v>4.8043630376389901E-4</v>
      </c>
      <c r="I31" s="236"/>
      <c r="J31" s="236">
        <f t="shared" si="6"/>
        <v>317.08635902982746</v>
      </c>
    </row>
    <row r="33" spans="2:10" ht="15" x14ac:dyDescent="0.35">
      <c r="I33" s="237"/>
      <c r="J33" s="238">
        <f>SUM(J28:J31)</f>
        <v>45136.796908980032</v>
      </c>
    </row>
    <row r="34" spans="2:10" x14ac:dyDescent="0.2">
      <c r="B34" s="115"/>
      <c r="J34" s="239"/>
    </row>
  </sheetData>
  <mergeCells count="11">
    <mergeCell ref="B14:M14"/>
    <mergeCell ref="B2:M2"/>
    <mergeCell ref="F4:G4"/>
    <mergeCell ref="I4:J4"/>
    <mergeCell ref="L4:M4"/>
    <mergeCell ref="I12:L12"/>
    <mergeCell ref="F16:G16"/>
    <mergeCell ref="I16:J16"/>
    <mergeCell ref="B24:J24"/>
    <mergeCell ref="F26:G26"/>
    <mergeCell ref="I26:J26"/>
  </mergeCells>
  <pageMargins left="0.70866141732283472" right="0.70866141732283472" top="0.74803149606299213" bottom="0.74803149606299213" header="0.31496062992125984" footer="0.31496062992125984"/>
  <pageSetup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5"/>
  <sheetViews>
    <sheetView showGridLines="0" topLeftCell="A4" workbookViewId="0">
      <selection activeCell="O29" sqref="O29"/>
    </sheetView>
  </sheetViews>
  <sheetFormatPr defaultRowHeight="12.75" x14ac:dyDescent="0.2"/>
  <cols>
    <col min="1" max="1" width="3.42578125" customWidth="1"/>
    <col min="2" max="2" width="44.28515625" customWidth="1"/>
    <col min="3" max="3" width="6.5703125" style="67" bestFit="1" customWidth="1"/>
    <col min="4" max="4" width="2.85546875" customWidth="1"/>
    <col min="5" max="5" width="5.5703125" customWidth="1"/>
    <col min="6" max="6" width="11.28515625" bestFit="1" customWidth="1"/>
    <col min="7" max="7" width="7" customWidth="1"/>
    <col min="8" max="8" width="1.85546875" customWidth="1"/>
    <col min="9" max="9" width="6.28515625" customWidth="1"/>
    <col min="10" max="10" width="12.28515625" bestFit="1" customWidth="1"/>
    <col min="11" max="11" width="8.85546875" customWidth="1"/>
  </cols>
  <sheetData>
    <row r="1" spans="2:11" ht="13.5" thickBot="1" x14ac:dyDescent="0.25"/>
    <row r="2" spans="2:11" ht="19.5" thickBot="1" x14ac:dyDescent="0.3">
      <c r="B2" s="265"/>
      <c r="C2" s="266"/>
      <c r="D2" s="267"/>
      <c r="E2" s="285" t="s">
        <v>138</v>
      </c>
      <c r="F2" s="285"/>
      <c r="G2" s="286"/>
      <c r="H2" s="170"/>
      <c r="I2" s="271" t="s">
        <v>185</v>
      </c>
      <c r="J2" s="272"/>
      <c r="K2" s="273"/>
    </row>
    <row r="3" spans="2:11" ht="16.5" thickBot="1" x14ac:dyDescent="0.3">
      <c r="B3" s="177"/>
      <c r="C3" s="176"/>
      <c r="D3" s="178"/>
      <c r="E3" s="283" t="s">
        <v>163</v>
      </c>
      <c r="F3" s="269"/>
      <c r="G3" s="284"/>
      <c r="H3" s="86"/>
      <c r="I3" s="280" t="s">
        <v>215</v>
      </c>
      <c r="J3" s="281"/>
      <c r="K3" s="282"/>
    </row>
    <row r="4" spans="2:11" ht="33.75" customHeight="1" x14ac:dyDescent="0.25">
      <c r="B4" s="268" t="s">
        <v>118</v>
      </c>
      <c r="C4" s="269"/>
      <c r="D4" s="270"/>
      <c r="E4" s="287" t="s">
        <v>118</v>
      </c>
      <c r="F4" s="287"/>
      <c r="G4" s="288"/>
      <c r="H4" s="86"/>
      <c r="I4" s="274" t="s">
        <v>186</v>
      </c>
      <c r="J4" s="275"/>
      <c r="K4" s="276"/>
    </row>
    <row r="5" spans="2:11" ht="26.25" customHeight="1" x14ac:dyDescent="0.2">
      <c r="B5" s="161" t="s">
        <v>94</v>
      </c>
      <c r="C5" s="179" t="s">
        <v>81</v>
      </c>
      <c r="D5" s="131"/>
      <c r="E5" s="277" t="s">
        <v>177</v>
      </c>
      <c r="F5" s="278"/>
      <c r="G5" s="279"/>
      <c r="H5" s="86"/>
      <c r="I5" s="277" t="s">
        <v>219</v>
      </c>
      <c r="J5" s="278"/>
      <c r="K5" s="279"/>
    </row>
    <row r="6" spans="2:11" x14ac:dyDescent="0.2">
      <c r="B6" s="161" t="s">
        <v>69</v>
      </c>
      <c r="C6" s="71"/>
      <c r="D6" s="128"/>
      <c r="E6" s="132"/>
      <c r="F6" s="133"/>
      <c r="G6" s="124"/>
      <c r="H6" s="86"/>
      <c r="I6" s="123"/>
      <c r="J6" s="117"/>
      <c r="K6" s="124"/>
    </row>
    <row r="7" spans="2:11" x14ac:dyDescent="0.2">
      <c r="B7" s="142" t="s">
        <v>85</v>
      </c>
      <c r="C7" s="71" t="s">
        <v>95</v>
      </c>
      <c r="D7" s="129"/>
      <c r="E7" s="134"/>
      <c r="F7" s="119">
        <v>22.32</v>
      </c>
      <c r="G7" s="124"/>
      <c r="H7" s="86"/>
      <c r="I7" s="121"/>
      <c r="J7" s="116">
        <f>'2014 RRRP Rate Design'!I16</f>
        <v>23.159232000000003</v>
      </c>
      <c r="K7" s="122"/>
    </row>
    <row r="8" spans="2:11" x14ac:dyDescent="0.2">
      <c r="B8" s="142" t="s">
        <v>96</v>
      </c>
      <c r="C8" s="71" t="s">
        <v>97</v>
      </c>
      <c r="D8" s="130"/>
      <c r="E8" s="134"/>
      <c r="F8" s="118">
        <v>3.1300000000000001E-2</v>
      </c>
      <c r="G8" s="124"/>
      <c r="H8" s="86"/>
      <c r="I8" s="123"/>
      <c r="J8" s="118">
        <f>'2014 RRRP Rate Design'!J16</f>
        <v>3.2476880000000007E-2</v>
      </c>
      <c r="K8" s="124"/>
    </row>
    <row r="9" spans="2:11" ht="25.5" x14ac:dyDescent="0.2">
      <c r="B9" s="243" t="s">
        <v>231</v>
      </c>
      <c r="C9" s="71" t="s">
        <v>97</v>
      </c>
      <c r="D9" s="130"/>
      <c r="E9" s="134"/>
      <c r="F9" s="118">
        <v>4.0000000000000002E-4</v>
      </c>
      <c r="G9" s="124"/>
      <c r="H9" s="86"/>
      <c r="I9" s="123"/>
      <c r="J9" s="118">
        <v>4.0000000000000002E-4</v>
      </c>
      <c r="K9" s="124"/>
    </row>
    <row r="10" spans="2:11" ht="25.5" x14ac:dyDescent="0.2">
      <c r="B10" s="243" t="s">
        <v>232</v>
      </c>
      <c r="C10" s="71"/>
      <c r="D10" s="130"/>
      <c r="E10" s="134"/>
      <c r="F10" s="118"/>
      <c r="G10" s="124"/>
      <c r="H10" s="86"/>
      <c r="I10" s="123"/>
      <c r="J10" s="118">
        <f>'Foregone Revenue 2014'!J18</f>
        <v>3.8795717018246136E-4</v>
      </c>
      <c r="K10" s="124"/>
    </row>
    <row r="11" spans="2:11" x14ac:dyDescent="0.2">
      <c r="B11" s="142"/>
      <c r="C11" s="71"/>
      <c r="D11" s="128"/>
      <c r="E11" s="132"/>
      <c r="F11" s="117"/>
      <c r="G11" s="124"/>
      <c r="H11" s="86"/>
      <c r="I11" s="123"/>
      <c r="J11" s="117"/>
      <c r="K11" s="124"/>
    </row>
    <row r="12" spans="2:11" x14ac:dyDescent="0.2">
      <c r="B12" s="161" t="s">
        <v>70</v>
      </c>
      <c r="C12" s="71"/>
      <c r="D12" s="128"/>
      <c r="E12" s="132"/>
      <c r="F12" s="117"/>
      <c r="G12" s="124"/>
      <c r="H12" s="86"/>
      <c r="I12" s="123"/>
      <c r="J12" s="117"/>
      <c r="K12" s="124"/>
    </row>
    <row r="13" spans="2:11" x14ac:dyDescent="0.2">
      <c r="B13" s="142" t="s">
        <v>85</v>
      </c>
      <c r="C13" s="71" t="s">
        <v>95</v>
      </c>
      <c r="D13" s="129"/>
      <c r="E13" s="134"/>
      <c r="F13" s="120">
        <v>596.12</v>
      </c>
      <c r="G13" s="124"/>
      <c r="H13" s="86"/>
      <c r="I13" s="123"/>
      <c r="J13" s="119">
        <f>'2014 RRRP Rate Design'!I18</f>
        <v>596.12</v>
      </c>
      <c r="K13" s="124"/>
    </row>
    <row r="14" spans="2:11" x14ac:dyDescent="0.2">
      <c r="B14" s="142" t="s">
        <v>96</v>
      </c>
      <c r="C14" s="71" t="s">
        <v>98</v>
      </c>
      <c r="D14" s="130"/>
      <c r="E14" s="134"/>
      <c r="F14" s="118">
        <v>2.8948999999999998</v>
      </c>
      <c r="G14" s="124"/>
      <c r="H14" s="86"/>
      <c r="I14" s="123"/>
      <c r="J14" s="118">
        <f>'2014 RRRP Rate Design'!J18</f>
        <v>3.0887127584795206</v>
      </c>
      <c r="K14" s="124"/>
    </row>
    <row r="15" spans="2:11" ht="25.5" x14ac:dyDescent="0.2">
      <c r="B15" s="243" t="s">
        <v>231</v>
      </c>
      <c r="C15" s="71" t="s">
        <v>98</v>
      </c>
      <c r="D15" s="130"/>
      <c r="E15" s="134"/>
      <c r="F15" s="118">
        <v>3.73E-2</v>
      </c>
      <c r="G15" s="124"/>
      <c r="H15" s="86"/>
      <c r="I15" s="123"/>
      <c r="J15" s="118">
        <v>3.73E-2</v>
      </c>
      <c r="K15" s="124"/>
    </row>
    <row r="16" spans="2:11" ht="25.5" x14ac:dyDescent="0.2">
      <c r="B16" s="243" t="s">
        <v>232</v>
      </c>
      <c r="C16" s="71"/>
      <c r="D16" s="130"/>
      <c r="E16" s="134"/>
      <c r="F16" s="118"/>
      <c r="G16" s="124"/>
      <c r="H16" s="86"/>
      <c r="I16" s="123"/>
      <c r="J16" s="118">
        <f>'Foregone Revenue 2014'!J19</f>
        <v>3.8762551695904167E-2</v>
      </c>
      <c r="K16" s="124"/>
    </row>
    <row r="17" spans="2:11" x14ac:dyDescent="0.2">
      <c r="B17" s="142"/>
      <c r="C17" s="71"/>
      <c r="D17" s="128"/>
      <c r="E17" s="132"/>
      <c r="F17" s="117"/>
      <c r="G17" s="124"/>
      <c r="H17" s="86"/>
      <c r="I17" s="123"/>
      <c r="J17" s="117"/>
      <c r="K17" s="124"/>
    </row>
    <row r="18" spans="2:11" x14ac:dyDescent="0.2">
      <c r="B18" s="161" t="s">
        <v>16</v>
      </c>
      <c r="C18" s="71"/>
      <c r="D18" s="128"/>
      <c r="E18" s="132"/>
      <c r="F18" s="117"/>
      <c r="G18" s="124"/>
      <c r="H18" s="86"/>
      <c r="I18" s="123"/>
      <c r="J18" s="117"/>
      <c r="K18" s="124"/>
    </row>
    <row r="19" spans="2:11" x14ac:dyDescent="0.2">
      <c r="B19" s="142" t="s">
        <v>85</v>
      </c>
      <c r="C19" s="71" t="s">
        <v>95</v>
      </c>
      <c r="D19" s="129"/>
      <c r="E19" s="134"/>
      <c r="F19" s="120">
        <v>26.38</v>
      </c>
      <c r="G19" s="124"/>
      <c r="H19" s="86"/>
      <c r="I19" s="123"/>
      <c r="J19" s="120">
        <f>'2014 Non-RRRP Rate Design'!I7</f>
        <v>26.750027989630773</v>
      </c>
      <c r="K19" s="124"/>
    </row>
    <row r="20" spans="2:11" x14ac:dyDescent="0.2">
      <c r="B20" s="142" t="s">
        <v>96</v>
      </c>
      <c r="C20" s="71" t="s">
        <v>97</v>
      </c>
      <c r="D20" s="130"/>
      <c r="E20" s="134"/>
      <c r="F20" s="118">
        <v>0.10150000000000001</v>
      </c>
      <c r="G20" s="124"/>
      <c r="H20" s="86"/>
      <c r="I20" s="123"/>
      <c r="J20" s="118">
        <f>'2014 Non-RRRP Rate Design'!J7</f>
        <v>0.10287595295763337</v>
      </c>
      <c r="K20" s="124"/>
    </row>
    <row r="21" spans="2:11" ht="25.5" x14ac:dyDescent="0.2">
      <c r="B21" s="243" t="s">
        <v>231</v>
      </c>
      <c r="C21" s="71" t="s">
        <v>97</v>
      </c>
      <c r="D21" s="130"/>
      <c r="E21" s="134"/>
      <c r="F21" s="118">
        <v>2.9999999999999997E-4</v>
      </c>
      <c r="G21" s="124"/>
      <c r="H21" s="86"/>
      <c r="I21" s="123"/>
      <c r="J21" s="118">
        <v>2.9999999999999997E-4</v>
      </c>
      <c r="K21" s="124"/>
    </row>
    <row r="22" spans="2:11" ht="25.5" x14ac:dyDescent="0.2">
      <c r="B22" s="243" t="s">
        <v>232</v>
      </c>
      <c r="C22" s="71"/>
      <c r="D22" s="130"/>
      <c r="E22" s="134"/>
      <c r="F22" s="118"/>
      <c r="G22" s="124"/>
      <c r="H22" s="86"/>
      <c r="I22" s="123"/>
      <c r="J22" s="118">
        <f>'Foregone Revenue 2014'!J20</f>
        <v>5.326972767929687E-4</v>
      </c>
      <c r="K22" s="124"/>
    </row>
    <row r="23" spans="2:11" ht="38.25" x14ac:dyDescent="0.2">
      <c r="B23" s="205" t="s">
        <v>181</v>
      </c>
      <c r="C23" s="180" t="s">
        <v>97</v>
      </c>
      <c r="D23" s="130"/>
      <c r="E23" s="134"/>
      <c r="F23" s="221">
        <v>3.57</v>
      </c>
      <c r="G23" s="222"/>
      <c r="H23" s="223"/>
      <c r="I23" s="224"/>
      <c r="J23" s="225">
        <v>3.57</v>
      </c>
      <c r="K23" s="124"/>
    </row>
    <row r="24" spans="2:11" ht="38.25" x14ac:dyDescent="0.2">
      <c r="B24" s="206" t="s">
        <v>183</v>
      </c>
      <c r="C24" s="180" t="s">
        <v>97</v>
      </c>
      <c r="D24" s="130"/>
      <c r="E24" s="134"/>
      <c r="F24" s="221">
        <v>4.6900000000000004</v>
      </c>
      <c r="G24" s="222"/>
      <c r="H24" s="223"/>
      <c r="I24" s="224"/>
      <c r="J24" s="225">
        <v>4.6900000000000004</v>
      </c>
      <c r="K24" s="124"/>
    </row>
    <row r="25" spans="2:11" x14ac:dyDescent="0.2">
      <c r="B25" s="142"/>
      <c r="C25" s="71"/>
      <c r="D25" s="128"/>
      <c r="E25" s="132"/>
      <c r="F25" s="117"/>
      <c r="G25" s="124"/>
      <c r="H25" s="86"/>
      <c r="I25" s="123"/>
      <c r="J25" s="117"/>
      <c r="K25" s="124"/>
    </row>
    <row r="26" spans="2:11" x14ac:dyDescent="0.2">
      <c r="B26" s="161" t="s">
        <v>71</v>
      </c>
      <c r="C26" s="71"/>
      <c r="D26" s="128"/>
      <c r="E26" s="132"/>
      <c r="F26" s="117"/>
      <c r="G26" s="124"/>
      <c r="H26" s="86"/>
      <c r="I26" s="123"/>
      <c r="J26" s="117"/>
      <c r="K26" s="124"/>
    </row>
    <row r="27" spans="2:11" x14ac:dyDescent="0.2">
      <c r="B27" s="207" t="s">
        <v>85</v>
      </c>
      <c r="C27" s="71" t="s">
        <v>95</v>
      </c>
      <c r="D27" s="129"/>
      <c r="E27" s="134"/>
      <c r="F27" s="120">
        <v>0.97</v>
      </c>
      <c r="G27" s="124"/>
      <c r="H27" s="86"/>
      <c r="I27" s="123"/>
      <c r="J27" s="120">
        <f>'2014 Non-RRRP Rate Design'!I9</f>
        <v>0.98358000000000001</v>
      </c>
      <c r="K27" s="124"/>
    </row>
    <row r="28" spans="2:11" x14ac:dyDescent="0.2">
      <c r="B28" s="142" t="s">
        <v>96</v>
      </c>
      <c r="C28" s="71" t="s">
        <v>97</v>
      </c>
      <c r="D28" s="130"/>
      <c r="E28" s="134"/>
      <c r="F28" s="118">
        <v>0.15570000000000001</v>
      </c>
      <c r="G28" s="124"/>
      <c r="H28" s="86"/>
      <c r="I28" s="123"/>
      <c r="J28" s="118">
        <f>'2014 Non-RRRP Rate Design'!J9</f>
        <v>0.15788572345589999</v>
      </c>
      <c r="K28" s="124"/>
    </row>
    <row r="29" spans="2:11" ht="25.5" x14ac:dyDescent="0.2">
      <c r="B29" s="243" t="s">
        <v>231</v>
      </c>
      <c r="C29" s="71" t="s">
        <v>97</v>
      </c>
      <c r="D29" s="130"/>
      <c r="E29" s="134"/>
      <c r="F29" s="118">
        <v>2.9999999999999997E-4</v>
      </c>
      <c r="G29" s="124"/>
      <c r="H29" s="86"/>
      <c r="I29" s="123"/>
      <c r="J29" s="118">
        <v>2.9999999999999997E-4</v>
      </c>
      <c r="K29" s="124"/>
    </row>
    <row r="30" spans="2:11" ht="25.5" x14ac:dyDescent="0.2">
      <c r="B30" s="243" t="s">
        <v>232</v>
      </c>
      <c r="C30" s="71"/>
      <c r="D30" s="130"/>
      <c r="E30" s="134"/>
      <c r="F30" s="118"/>
      <c r="G30" s="124"/>
      <c r="H30" s="86"/>
      <c r="I30" s="123"/>
      <c r="J30" s="118">
        <f>'Foregone Revenue 2014'!J21</f>
        <v>4.8043630376389901E-4</v>
      </c>
      <c r="K30" s="124"/>
    </row>
    <row r="31" spans="2:11" ht="12" customHeight="1" x14ac:dyDescent="0.2">
      <c r="B31" s="142"/>
      <c r="C31" s="71"/>
      <c r="D31" s="128"/>
      <c r="E31" s="132"/>
      <c r="F31" s="117"/>
      <c r="G31" s="124"/>
      <c r="H31" s="86"/>
      <c r="I31" s="123"/>
      <c r="J31" s="117"/>
      <c r="K31" s="124"/>
    </row>
    <row r="32" spans="2:11" ht="13.5" thickBot="1" x14ac:dyDescent="0.25">
      <c r="B32" s="162" t="s">
        <v>119</v>
      </c>
      <c r="C32" s="163" t="s">
        <v>95</v>
      </c>
      <c r="D32" s="164"/>
      <c r="E32" s="165"/>
      <c r="F32" s="126">
        <v>12117516</v>
      </c>
      <c r="G32" s="127"/>
      <c r="H32" s="171"/>
      <c r="I32" s="125"/>
      <c r="J32" s="126">
        <f>'2014 RRRP Rate Design'!M21</f>
        <v>12130403.58347786</v>
      </c>
      <c r="K32" s="127"/>
    </row>
    <row r="34" spans="2:7" x14ac:dyDescent="0.2">
      <c r="G34" s="85"/>
    </row>
    <row r="35" spans="2:7" x14ac:dyDescent="0.2">
      <c r="B35" s="112"/>
      <c r="G35" s="113"/>
    </row>
  </sheetData>
  <mergeCells count="10">
    <mergeCell ref="B2:D2"/>
    <mergeCell ref="B4:D4"/>
    <mergeCell ref="I2:K2"/>
    <mergeCell ref="I4:K4"/>
    <mergeCell ref="I5:K5"/>
    <mergeCell ref="I3:K3"/>
    <mergeCell ref="E3:G3"/>
    <mergeCell ref="E5:G5"/>
    <mergeCell ref="E2:G2"/>
    <mergeCell ref="E4:G4"/>
  </mergeCells>
  <phoneticPr fontId="3" type="noConversion"/>
  <pageMargins left="0.75" right="0.75" top="1" bottom="1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workbookViewId="0">
      <selection activeCell="D6" sqref="D6"/>
    </sheetView>
  </sheetViews>
  <sheetFormatPr defaultRowHeight="12.75" x14ac:dyDescent="0.2"/>
  <cols>
    <col min="1" max="1" width="35.5703125" bestFit="1" customWidth="1"/>
    <col min="2" max="11" width="12.28515625" bestFit="1" customWidth="1"/>
  </cols>
  <sheetData>
    <row r="1" spans="1:11" ht="15.75" x14ac:dyDescent="0.25">
      <c r="A1" s="283" t="s">
        <v>142</v>
      </c>
      <c r="B1" s="269"/>
      <c r="C1" s="269"/>
      <c r="D1" s="269"/>
      <c r="E1" s="269"/>
      <c r="F1" s="269"/>
      <c r="G1" s="269"/>
      <c r="H1" s="269"/>
      <c r="I1" s="269"/>
      <c r="J1" s="269"/>
      <c r="K1" s="270"/>
    </row>
    <row r="2" spans="1:11" ht="25.5" x14ac:dyDescent="0.2">
      <c r="A2" s="77"/>
      <c r="B2" s="68">
        <v>2003</v>
      </c>
      <c r="C2" s="68">
        <v>2004</v>
      </c>
      <c r="D2" s="68">
        <v>2005</v>
      </c>
      <c r="E2" s="68">
        <v>2006</v>
      </c>
      <c r="F2" s="69" t="s">
        <v>120</v>
      </c>
      <c r="G2" s="69">
        <v>2007</v>
      </c>
      <c r="H2" s="69">
        <v>2008</v>
      </c>
      <c r="I2" s="98">
        <v>2009</v>
      </c>
      <c r="J2" s="98" t="s">
        <v>99</v>
      </c>
      <c r="K2" s="98" t="s">
        <v>100</v>
      </c>
    </row>
    <row r="3" spans="1:11" x14ac:dyDescent="0.2">
      <c r="A3" s="70" t="s">
        <v>5</v>
      </c>
      <c r="B3" s="77"/>
      <c r="C3" s="77"/>
      <c r="D3" s="77"/>
      <c r="E3" s="77"/>
      <c r="F3" s="77"/>
      <c r="G3" s="77"/>
      <c r="H3" s="77"/>
      <c r="I3" s="99"/>
      <c r="J3" s="99"/>
      <c r="K3" s="77"/>
    </row>
    <row r="4" spans="1:11" x14ac:dyDescent="0.2">
      <c r="A4" s="77" t="s">
        <v>101</v>
      </c>
      <c r="B4" s="73">
        <v>7837</v>
      </c>
      <c r="C4" s="73">
        <v>7763</v>
      </c>
      <c r="D4" s="73">
        <v>7758</v>
      </c>
      <c r="E4" s="73">
        <v>7740</v>
      </c>
      <c r="F4" s="73">
        <v>7740</v>
      </c>
      <c r="G4" s="73">
        <v>7814.5</v>
      </c>
      <c r="H4" s="73">
        <v>7923</v>
      </c>
      <c r="I4" s="100">
        <v>7997</v>
      </c>
      <c r="J4" s="100">
        <v>8024</v>
      </c>
      <c r="K4" s="100">
        <v>8049</v>
      </c>
    </row>
    <row r="5" spans="1:11" x14ac:dyDescent="0.2">
      <c r="A5" s="77" t="s">
        <v>102</v>
      </c>
      <c r="B5" s="73"/>
      <c r="C5" s="73">
        <v>-74</v>
      </c>
      <c r="D5" s="73">
        <v>-5</v>
      </c>
      <c r="E5" s="73">
        <v>-18</v>
      </c>
      <c r="F5" s="73"/>
      <c r="G5" s="73">
        <v>74.5</v>
      </c>
      <c r="H5" s="73">
        <v>108.5</v>
      </c>
      <c r="I5" s="100">
        <v>74</v>
      </c>
      <c r="J5" s="100">
        <v>27</v>
      </c>
      <c r="K5" s="100">
        <v>25</v>
      </c>
    </row>
    <row r="6" spans="1:11" x14ac:dyDescent="0.2">
      <c r="A6" s="77" t="s">
        <v>103</v>
      </c>
      <c r="B6" s="73">
        <v>108693027</v>
      </c>
      <c r="C6" s="73">
        <v>105879912</v>
      </c>
      <c r="D6" s="73">
        <v>103661767</v>
      </c>
      <c r="E6" s="73">
        <v>99478516</v>
      </c>
      <c r="F6" s="73">
        <v>104428305.5</v>
      </c>
      <c r="G6" s="73">
        <v>100674579</v>
      </c>
      <c r="H6" s="73">
        <v>103691076</v>
      </c>
      <c r="I6" s="100">
        <v>103761012</v>
      </c>
      <c r="J6" s="100"/>
      <c r="K6" s="77"/>
    </row>
    <row r="7" spans="1:11" x14ac:dyDescent="0.2">
      <c r="A7" s="77" t="s">
        <v>104</v>
      </c>
      <c r="B7" s="73"/>
      <c r="C7" s="73"/>
      <c r="D7" s="73"/>
      <c r="E7" s="73"/>
      <c r="F7" s="73"/>
      <c r="G7" s="73"/>
      <c r="H7" s="73"/>
      <c r="I7" s="100">
        <v>103317932</v>
      </c>
      <c r="J7" s="100">
        <v>104754767</v>
      </c>
      <c r="K7" s="100">
        <v>106119297</v>
      </c>
    </row>
    <row r="8" spans="1:11" x14ac:dyDescent="0.2">
      <c r="A8" s="77" t="s">
        <v>105</v>
      </c>
      <c r="B8" s="73">
        <v>13869.213602143678</v>
      </c>
      <c r="C8" s="73">
        <v>13639.045729743655</v>
      </c>
      <c r="D8" s="73">
        <v>13361.918922402681</v>
      </c>
      <c r="E8" s="73">
        <v>12852.521447028425</v>
      </c>
      <c r="F8" s="73">
        <v>13492.029134366925</v>
      </c>
      <c r="G8" s="73">
        <v>12883.048051698765</v>
      </c>
      <c r="H8" s="73">
        <v>13087.350246118895</v>
      </c>
      <c r="I8" s="100">
        <v>12974.992122045767</v>
      </c>
      <c r="J8" s="100"/>
      <c r="K8" s="77"/>
    </row>
    <row r="9" spans="1:11" x14ac:dyDescent="0.2">
      <c r="A9" s="77" t="s">
        <v>106</v>
      </c>
      <c r="B9" s="73"/>
      <c r="C9" s="73"/>
      <c r="D9" s="73"/>
      <c r="E9" s="73"/>
      <c r="F9" s="73"/>
      <c r="G9" s="73"/>
      <c r="H9" s="73"/>
      <c r="I9" s="100">
        <v>12919.58634487933</v>
      </c>
      <c r="J9" s="100">
        <v>13055.180333998005</v>
      </c>
      <c r="K9" s="100">
        <v>13184.159150204994</v>
      </c>
    </row>
    <row r="10" spans="1:11" x14ac:dyDescent="0.2">
      <c r="A10" s="77"/>
      <c r="B10" s="73"/>
      <c r="C10" s="73"/>
      <c r="D10" s="73"/>
      <c r="E10" s="73"/>
      <c r="F10" s="73"/>
      <c r="G10" s="73"/>
      <c r="H10" s="73"/>
      <c r="I10" s="100"/>
      <c r="J10" s="100"/>
      <c r="K10" s="100"/>
    </row>
    <row r="11" spans="1:11" x14ac:dyDescent="0.2">
      <c r="A11" s="70" t="s">
        <v>16</v>
      </c>
      <c r="B11" s="73"/>
      <c r="C11" s="73"/>
      <c r="D11" s="73"/>
      <c r="E11" s="73"/>
      <c r="F11" s="73"/>
      <c r="G11" s="73"/>
      <c r="H11" s="73"/>
      <c r="I11" s="100"/>
      <c r="J11" s="100"/>
      <c r="K11" s="77"/>
    </row>
    <row r="12" spans="1:11" x14ac:dyDescent="0.2">
      <c r="A12" s="77" t="s">
        <v>101</v>
      </c>
      <c r="B12" s="73">
        <v>3577</v>
      </c>
      <c r="C12" s="73">
        <v>3646</v>
      </c>
      <c r="D12" s="73">
        <v>3652</v>
      </c>
      <c r="E12" s="73">
        <v>3707</v>
      </c>
      <c r="F12" s="73">
        <v>3707</v>
      </c>
      <c r="G12" s="73">
        <v>3717.5</v>
      </c>
      <c r="H12" s="73">
        <v>3688</v>
      </c>
      <c r="I12" s="100">
        <v>3643</v>
      </c>
      <c r="J12" s="100">
        <v>3654</v>
      </c>
      <c r="K12" s="100">
        <v>3665</v>
      </c>
    </row>
    <row r="13" spans="1:11" x14ac:dyDescent="0.2">
      <c r="A13" s="77" t="s">
        <v>102</v>
      </c>
      <c r="B13" s="73"/>
      <c r="C13" s="73">
        <v>69</v>
      </c>
      <c r="D13" s="73">
        <v>6</v>
      </c>
      <c r="E13" s="73">
        <v>55</v>
      </c>
      <c r="F13" s="73"/>
      <c r="G13" s="73">
        <v>10.5</v>
      </c>
      <c r="H13" s="73">
        <v>-29.5</v>
      </c>
      <c r="I13" s="100">
        <v>-45</v>
      </c>
      <c r="J13" s="100">
        <v>11</v>
      </c>
      <c r="K13" s="100">
        <v>11</v>
      </c>
    </row>
    <row r="14" spans="1:11" x14ac:dyDescent="0.2">
      <c r="A14" s="77" t="s">
        <v>103</v>
      </c>
      <c r="B14" s="73">
        <v>11867258</v>
      </c>
      <c r="C14" s="73">
        <v>11692754</v>
      </c>
      <c r="D14" s="73">
        <v>11678117</v>
      </c>
      <c r="E14" s="73">
        <v>11746043</v>
      </c>
      <c r="F14" s="73">
        <v>11746043</v>
      </c>
      <c r="G14" s="73">
        <v>11665350.75</v>
      </c>
      <c r="H14" s="73">
        <v>11591418</v>
      </c>
      <c r="I14" s="100">
        <v>12341792</v>
      </c>
      <c r="J14" s="100"/>
      <c r="K14" s="77"/>
    </row>
    <row r="15" spans="1:11" x14ac:dyDescent="0.2">
      <c r="A15" s="77" t="s">
        <v>104</v>
      </c>
      <c r="B15" s="73"/>
      <c r="C15" s="73"/>
      <c r="D15" s="73"/>
      <c r="E15" s="73"/>
      <c r="F15" s="73"/>
      <c r="G15" s="73"/>
      <c r="H15" s="73"/>
      <c r="I15" s="100">
        <v>12289090</v>
      </c>
      <c r="J15" s="100">
        <v>12459994</v>
      </c>
      <c r="K15" s="100">
        <v>12622297</v>
      </c>
    </row>
    <row r="16" spans="1:11" x14ac:dyDescent="0.2">
      <c r="A16" s="77" t="s">
        <v>105</v>
      </c>
      <c r="B16" s="73">
        <v>3317.6566955549342</v>
      </c>
      <c r="C16" s="73">
        <v>3207.0087767416348</v>
      </c>
      <c r="D16" s="73">
        <v>3197.7319277108436</v>
      </c>
      <c r="E16" s="73">
        <v>3168.6115457243054</v>
      </c>
      <c r="F16" s="73">
        <v>3168.6115457243054</v>
      </c>
      <c r="G16" s="73">
        <v>3137.9558170813721</v>
      </c>
      <c r="H16" s="73">
        <v>3143.0092190889372</v>
      </c>
      <c r="I16" s="100">
        <v>3387.8100466648366</v>
      </c>
      <c r="J16" s="100"/>
      <c r="K16" s="77"/>
    </row>
    <row r="17" spans="1:11" x14ac:dyDescent="0.2">
      <c r="A17" s="77" t="s">
        <v>106</v>
      </c>
      <c r="B17" s="73"/>
      <c r="C17" s="73"/>
      <c r="D17" s="73"/>
      <c r="E17" s="73"/>
      <c r="F17" s="73"/>
      <c r="G17" s="73"/>
      <c r="H17" s="73"/>
      <c r="I17" s="100">
        <v>3373.343398298106</v>
      </c>
      <c r="J17" s="100">
        <v>3409.9600437876302</v>
      </c>
      <c r="K17" s="100">
        <v>3444.0100954979534</v>
      </c>
    </row>
    <row r="18" spans="1:11" x14ac:dyDescent="0.2">
      <c r="A18" s="77"/>
      <c r="B18" s="73"/>
      <c r="C18" s="73"/>
      <c r="D18" s="73"/>
      <c r="E18" s="73"/>
      <c r="F18" s="73"/>
      <c r="G18" s="73"/>
      <c r="H18" s="73"/>
      <c r="I18" s="100"/>
      <c r="J18" s="100"/>
      <c r="K18" s="77"/>
    </row>
    <row r="19" spans="1:11" x14ac:dyDescent="0.2">
      <c r="A19" s="101" t="s">
        <v>70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77"/>
    </row>
    <row r="20" spans="1:11" x14ac:dyDescent="0.2">
      <c r="A20" s="99" t="s">
        <v>101</v>
      </c>
      <c r="B20" s="100">
        <v>49</v>
      </c>
      <c r="C20" s="100">
        <v>49</v>
      </c>
      <c r="D20" s="100">
        <v>47</v>
      </c>
      <c r="E20" s="100">
        <v>45</v>
      </c>
      <c r="F20" s="100">
        <v>47</v>
      </c>
      <c r="G20" s="100">
        <v>47</v>
      </c>
      <c r="H20" s="100">
        <v>48</v>
      </c>
      <c r="I20" s="100">
        <v>48</v>
      </c>
      <c r="J20" s="100">
        <v>48</v>
      </c>
      <c r="K20" s="100">
        <v>48</v>
      </c>
    </row>
    <row r="21" spans="1:11" x14ac:dyDescent="0.2">
      <c r="A21" s="99" t="s">
        <v>103</v>
      </c>
      <c r="B21" s="100"/>
      <c r="C21" s="100">
        <v>30337868</v>
      </c>
      <c r="D21" s="100">
        <v>66360103</v>
      </c>
      <c r="E21" s="100">
        <v>68290099</v>
      </c>
      <c r="F21" s="100">
        <v>50139889</v>
      </c>
      <c r="G21" s="100">
        <v>75340938</v>
      </c>
      <c r="H21" s="100">
        <v>66017652</v>
      </c>
      <c r="I21" s="100">
        <v>69931763</v>
      </c>
      <c r="J21" s="100"/>
      <c r="K21" s="77"/>
    </row>
    <row r="22" spans="1:11" x14ac:dyDescent="0.2">
      <c r="A22" s="99" t="s">
        <v>107</v>
      </c>
      <c r="B22" s="100"/>
      <c r="C22" s="100">
        <v>163453</v>
      </c>
      <c r="D22" s="100">
        <v>182693</v>
      </c>
      <c r="E22" s="100">
        <v>180802</v>
      </c>
      <c r="F22" s="100">
        <v>197392</v>
      </c>
      <c r="G22" s="100">
        <v>191492</v>
      </c>
      <c r="H22" s="100">
        <v>159280</v>
      </c>
      <c r="I22" s="100">
        <v>150499</v>
      </c>
      <c r="J22" s="100"/>
      <c r="K22" s="77"/>
    </row>
    <row r="23" spans="1:11" x14ac:dyDescent="0.2">
      <c r="A23" s="99" t="s">
        <v>104</v>
      </c>
      <c r="B23" s="100"/>
      <c r="C23" s="100"/>
      <c r="D23" s="100"/>
      <c r="E23" s="100"/>
      <c r="F23" s="100"/>
      <c r="G23" s="100"/>
      <c r="H23" s="100"/>
      <c r="I23" s="100">
        <v>69808980</v>
      </c>
      <c r="J23" s="100">
        <v>70228773</v>
      </c>
      <c r="K23" s="100">
        <v>70606900</v>
      </c>
    </row>
    <row r="24" spans="1:11" x14ac:dyDescent="0.2">
      <c r="A24" s="99" t="s">
        <v>108</v>
      </c>
      <c r="B24" s="100"/>
      <c r="C24" s="100"/>
      <c r="D24" s="100"/>
      <c r="E24" s="100"/>
      <c r="F24" s="100"/>
      <c r="G24" s="100"/>
      <c r="H24" s="100"/>
      <c r="I24" s="100">
        <v>150235</v>
      </c>
      <c r="J24" s="100">
        <v>151138</v>
      </c>
      <c r="K24" s="100">
        <v>151952</v>
      </c>
    </row>
    <row r="25" spans="1:11" x14ac:dyDescent="0.2">
      <c r="A25" s="77" t="s">
        <v>105</v>
      </c>
      <c r="B25" s="100"/>
      <c r="C25" s="100">
        <v>619140.16326530615</v>
      </c>
      <c r="D25" s="100">
        <v>1411917.0851063831</v>
      </c>
      <c r="E25" s="100">
        <v>1517557.7555555555</v>
      </c>
      <c r="F25" s="100">
        <v>1066806.1489361702</v>
      </c>
      <c r="G25" s="100">
        <v>1602998.6808510639</v>
      </c>
      <c r="H25" s="100">
        <v>1375367.75</v>
      </c>
      <c r="I25" s="100">
        <v>1456911.7291666667</v>
      </c>
      <c r="J25" s="100"/>
      <c r="K25" s="100"/>
    </row>
    <row r="26" spans="1:11" x14ac:dyDescent="0.2">
      <c r="A26" s="77" t="s">
        <v>109</v>
      </c>
      <c r="B26" s="100"/>
      <c r="C26" s="100">
        <v>3335.7755102040815</v>
      </c>
      <c r="D26" s="100">
        <v>3887.0851063829787</v>
      </c>
      <c r="E26" s="100">
        <v>4017.8222222222221</v>
      </c>
      <c r="F26" s="100">
        <v>4199.8297872340427</v>
      </c>
      <c r="G26" s="100">
        <v>4074.2978723404253</v>
      </c>
      <c r="H26" s="100">
        <v>3318.3333333333335</v>
      </c>
      <c r="I26" s="100">
        <v>3135.3958333333335</v>
      </c>
      <c r="J26" s="100"/>
      <c r="K26" s="100"/>
    </row>
    <row r="27" spans="1:11" x14ac:dyDescent="0.2">
      <c r="A27" s="77" t="s">
        <v>106</v>
      </c>
      <c r="B27" s="100"/>
      <c r="C27" s="100"/>
      <c r="D27" s="100"/>
      <c r="E27" s="100"/>
      <c r="F27" s="100"/>
      <c r="G27" s="100"/>
      <c r="H27" s="100"/>
      <c r="I27" s="100">
        <v>1454353.75</v>
      </c>
      <c r="J27" s="100">
        <v>1463099.4375</v>
      </c>
      <c r="K27" s="100">
        <v>1470977.0833333333</v>
      </c>
    </row>
    <row r="28" spans="1:11" x14ac:dyDescent="0.2">
      <c r="A28" s="77" t="s">
        <v>110</v>
      </c>
      <c r="B28" s="100"/>
      <c r="C28" s="100"/>
      <c r="D28" s="100"/>
      <c r="E28" s="100"/>
      <c r="F28" s="100"/>
      <c r="G28" s="100"/>
      <c r="H28" s="100"/>
      <c r="I28" s="100">
        <v>3129.8958333333335</v>
      </c>
      <c r="J28" s="100">
        <v>3148.7083333333335</v>
      </c>
      <c r="K28" s="100">
        <v>3165.6666666666665</v>
      </c>
    </row>
    <row r="29" spans="1:11" x14ac:dyDescent="0.2">
      <c r="A29" s="77"/>
      <c r="B29" s="73"/>
      <c r="C29" s="73"/>
      <c r="D29" s="73"/>
      <c r="E29" s="73"/>
      <c r="F29" s="73"/>
      <c r="G29" s="73"/>
      <c r="H29" s="73"/>
      <c r="I29" s="100"/>
      <c r="J29" s="100"/>
      <c r="K29" s="77"/>
    </row>
    <row r="30" spans="1:11" x14ac:dyDescent="0.2">
      <c r="A30" s="70" t="s">
        <v>11</v>
      </c>
      <c r="B30" s="73"/>
      <c r="C30" s="73"/>
      <c r="D30" s="73"/>
      <c r="E30" s="73"/>
      <c r="F30" s="73"/>
      <c r="G30" s="73"/>
      <c r="H30" s="73"/>
      <c r="I30" s="100"/>
      <c r="J30" s="100"/>
      <c r="K30" s="77"/>
    </row>
    <row r="31" spans="1:11" x14ac:dyDescent="0.2">
      <c r="A31" s="77" t="s">
        <v>101</v>
      </c>
      <c r="B31" s="73">
        <v>104</v>
      </c>
      <c r="C31" s="73">
        <v>103</v>
      </c>
      <c r="D31" s="73">
        <v>100</v>
      </c>
      <c r="E31" s="73">
        <v>99</v>
      </c>
      <c r="F31" s="73">
        <v>99</v>
      </c>
      <c r="G31" s="100">
        <v>32</v>
      </c>
      <c r="H31" s="100">
        <v>32</v>
      </c>
      <c r="I31" s="100">
        <v>32</v>
      </c>
      <c r="J31" s="100">
        <v>32</v>
      </c>
      <c r="K31" s="100">
        <v>32</v>
      </c>
    </row>
    <row r="32" spans="1:11" x14ac:dyDescent="0.2">
      <c r="A32" s="77" t="s">
        <v>103</v>
      </c>
      <c r="B32" s="73">
        <v>935668</v>
      </c>
      <c r="C32" s="73">
        <v>1002422</v>
      </c>
      <c r="D32" s="73">
        <v>1046222</v>
      </c>
      <c r="E32" s="73">
        <v>1056913</v>
      </c>
      <c r="F32" s="73">
        <v>1010306.25</v>
      </c>
      <c r="G32" s="73">
        <v>816298</v>
      </c>
      <c r="H32" s="73">
        <v>791996</v>
      </c>
      <c r="I32" s="100">
        <v>791996</v>
      </c>
      <c r="J32" s="100">
        <v>791996</v>
      </c>
      <c r="K32" s="100">
        <v>791996</v>
      </c>
    </row>
    <row r="33" spans="1:11" x14ac:dyDescent="0.2">
      <c r="A33" s="77" t="s">
        <v>107</v>
      </c>
      <c r="B33" s="73"/>
      <c r="C33" s="73"/>
      <c r="D33" s="73"/>
      <c r="E33" s="73"/>
      <c r="F33" s="73"/>
      <c r="G33" s="73"/>
      <c r="H33" s="73">
        <v>2304</v>
      </c>
      <c r="I33" s="100">
        <v>2304</v>
      </c>
      <c r="J33" s="100">
        <v>2304</v>
      </c>
      <c r="K33" s="100">
        <v>2304</v>
      </c>
    </row>
    <row r="34" spans="1:11" x14ac:dyDescent="0.2">
      <c r="A34" s="77"/>
      <c r="B34" s="77"/>
      <c r="C34" s="77"/>
      <c r="D34" s="77"/>
      <c r="E34" s="77"/>
      <c r="F34" s="77"/>
      <c r="G34" s="77"/>
      <c r="H34" s="77"/>
      <c r="I34" s="99"/>
      <c r="J34" s="99"/>
      <c r="K34" s="77"/>
    </row>
    <row r="35" spans="1:11" x14ac:dyDescent="0.2">
      <c r="A35" s="70" t="s">
        <v>111</v>
      </c>
      <c r="B35" s="77"/>
      <c r="C35" s="77"/>
      <c r="D35" s="77"/>
      <c r="E35" s="77"/>
      <c r="F35" s="77"/>
      <c r="G35" s="77"/>
      <c r="H35" s="77"/>
      <c r="I35" s="99"/>
      <c r="J35" s="99"/>
      <c r="K35" s="77"/>
    </row>
    <row r="36" spans="1:11" x14ac:dyDescent="0.2">
      <c r="A36" s="77" t="s">
        <v>101</v>
      </c>
      <c r="B36" s="76">
        <v>11567</v>
      </c>
      <c r="C36" s="76">
        <v>11561</v>
      </c>
      <c r="D36" s="76">
        <v>11557</v>
      </c>
      <c r="E36" s="76">
        <v>11591</v>
      </c>
      <c r="F36" s="76">
        <v>11593</v>
      </c>
      <c r="G36" s="76">
        <v>11611</v>
      </c>
      <c r="H36" s="76">
        <v>11691</v>
      </c>
      <c r="I36" s="100">
        <v>11720</v>
      </c>
      <c r="J36" s="76">
        <v>11758</v>
      </c>
      <c r="K36" s="76">
        <v>11794</v>
      </c>
    </row>
    <row r="37" spans="1:11" x14ac:dyDescent="0.2">
      <c r="A37" s="77" t="s">
        <v>103</v>
      </c>
      <c r="B37" s="76"/>
      <c r="C37" s="76">
        <v>148912956</v>
      </c>
      <c r="D37" s="76">
        <v>182746209</v>
      </c>
      <c r="E37" s="76">
        <v>180571571</v>
      </c>
      <c r="F37" s="76">
        <v>167324543.75</v>
      </c>
      <c r="G37" s="76">
        <v>188497165.75</v>
      </c>
      <c r="H37" s="76">
        <v>182092142</v>
      </c>
      <c r="I37" s="100">
        <v>186826563</v>
      </c>
      <c r="J37" s="76"/>
      <c r="K37" s="76"/>
    </row>
    <row r="38" spans="1:11" x14ac:dyDescent="0.2">
      <c r="A38" s="77" t="s">
        <v>107</v>
      </c>
      <c r="B38" s="76"/>
      <c r="C38" s="76">
        <v>163453</v>
      </c>
      <c r="D38" s="76">
        <v>182693</v>
      </c>
      <c r="E38" s="76">
        <v>180802</v>
      </c>
      <c r="F38" s="76">
        <v>197392</v>
      </c>
      <c r="G38" s="76">
        <v>191492</v>
      </c>
      <c r="H38" s="76">
        <v>161584</v>
      </c>
      <c r="I38" s="100">
        <v>152803</v>
      </c>
      <c r="J38" s="76"/>
      <c r="K38" s="77"/>
    </row>
    <row r="39" spans="1:11" x14ac:dyDescent="0.2">
      <c r="A39" s="77" t="s">
        <v>112</v>
      </c>
      <c r="B39" s="77"/>
      <c r="C39" s="77"/>
      <c r="D39" s="77"/>
      <c r="E39" s="77"/>
      <c r="F39" s="77"/>
      <c r="G39" s="77"/>
      <c r="H39" s="77"/>
      <c r="I39" s="100">
        <v>186207998</v>
      </c>
      <c r="J39" s="76">
        <v>188235530</v>
      </c>
      <c r="K39" s="76">
        <v>190140490</v>
      </c>
    </row>
    <row r="40" spans="1:11" x14ac:dyDescent="0.2">
      <c r="A40" s="77" t="s">
        <v>113</v>
      </c>
      <c r="B40" s="77"/>
      <c r="C40" s="77"/>
      <c r="D40" s="77"/>
      <c r="E40" s="77"/>
      <c r="F40" s="77"/>
      <c r="G40" s="77"/>
      <c r="H40" s="77"/>
      <c r="I40" s="100">
        <v>152539</v>
      </c>
      <c r="J40" s="76">
        <v>153442</v>
      </c>
      <c r="K40" s="76">
        <v>154256</v>
      </c>
    </row>
  </sheetData>
  <mergeCells count="1">
    <mergeCell ref="A1:K1"/>
  </mergeCells>
  <phoneticPr fontId="3" type="noConversion"/>
  <pageMargins left="0.75" right="0.75" top="1" bottom="1" header="0.5" footer="0.5"/>
  <pageSetup scale="76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opLeftCell="A10" workbookViewId="0">
      <selection activeCell="A6" sqref="A6:E6"/>
    </sheetView>
  </sheetViews>
  <sheetFormatPr defaultRowHeight="12.75" x14ac:dyDescent="0.2"/>
  <cols>
    <col min="1" max="1" width="10.5703125" customWidth="1"/>
    <col min="2" max="2" width="46.85546875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7.5" customHeight="1" x14ac:dyDescent="0.2"/>
    <row r="2" spans="1:15" ht="15.75" x14ac:dyDescent="0.25">
      <c r="A2" s="289" t="s">
        <v>141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</row>
    <row r="3" spans="1:15" ht="8.25" customHeight="1" x14ac:dyDescent="0.2"/>
    <row r="4" spans="1:15" ht="21.75" x14ac:dyDescent="0.2">
      <c r="A4" s="296" t="s">
        <v>0</v>
      </c>
      <c r="B4" s="296"/>
      <c r="C4" s="296"/>
      <c r="D4" s="296"/>
      <c r="E4" s="296"/>
      <c r="F4" s="296"/>
      <c r="G4" s="1"/>
      <c r="H4" s="1"/>
      <c r="I4" s="1"/>
      <c r="J4" s="1"/>
      <c r="K4" s="1"/>
      <c r="L4" s="1"/>
      <c r="M4" s="1"/>
      <c r="N4" s="1"/>
      <c r="O4" s="1"/>
    </row>
    <row r="5" spans="1:15" ht="20.25" x14ac:dyDescent="0.3">
      <c r="A5" s="297" t="s">
        <v>1</v>
      </c>
      <c r="B5" s="297"/>
      <c r="C5" s="297"/>
      <c r="D5" s="297"/>
      <c r="E5" s="297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0" x14ac:dyDescent="0.25">
      <c r="A6" s="298" t="s">
        <v>134</v>
      </c>
      <c r="B6" s="298"/>
      <c r="C6" s="298"/>
      <c r="D6" s="298"/>
      <c r="E6" s="298"/>
      <c r="F6" s="1"/>
      <c r="G6" s="2"/>
      <c r="H6" s="1"/>
      <c r="I6" s="1"/>
      <c r="J6" s="1"/>
      <c r="K6" s="1"/>
      <c r="L6" s="1"/>
      <c r="M6" s="1"/>
      <c r="N6" s="1"/>
      <c r="O6" s="1"/>
    </row>
    <row r="7" spans="1:15" ht="18" x14ac:dyDescent="0.25">
      <c r="A7" s="299">
        <v>40330</v>
      </c>
      <c r="B7" s="299"/>
      <c r="C7" s="299"/>
      <c r="D7" s="299"/>
      <c r="E7" s="299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0.25" x14ac:dyDescent="0.3">
      <c r="A8" s="3" t="s">
        <v>2</v>
      </c>
      <c r="B8" s="4"/>
      <c r="C8" s="5"/>
      <c r="D8" s="5"/>
      <c r="E8" s="6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">
      <c r="A9" s="7"/>
      <c r="B9" s="7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15" x14ac:dyDescent="0.2">
      <c r="A10" s="9"/>
      <c r="B10" s="10"/>
      <c r="C10" s="11"/>
      <c r="D10" s="12"/>
      <c r="E10" s="13"/>
      <c r="F10" s="13"/>
      <c r="G10" s="13"/>
      <c r="H10" s="12"/>
      <c r="I10" s="12"/>
      <c r="J10" s="12"/>
      <c r="K10" s="12"/>
      <c r="L10" s="12"/>
      <c r="M10" s="10"/>
      <c r="N10" s="10"/>
      <c r="O10" s="10"/>
    </row>
    <row r="11" spans="1:15" x14ac:dyDescent="0.2">
      <c r="A11" s="14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0"/>
      <c r="N11" s="10"/>
      <c r="O11" s="10"/>
    </row>
    <row r="12" spans="1:15" x14ac:dyDescent="0.2">
      <c r="A12" s="9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0"/>
    </row>
    <row r="13" spans="1:15" x14ac:dyDescent="0.2">
      <c r="A13" s="15"/>
      <c r="B13" s="16"/>
      <c r="C13" s="17"/>
      <c r="D13" s="18"/>
      <c r="E13" s="18"/>
      <c r="F13" s="18"/>
      <c r="G13" s="12"/>
      <c r="H13" s="12"/>
      <c r="I13" s="12"/>
      <c r="J13" s="12"/>
      <c r="K13" s="12"/>
      <c r="L13" s="12"/>
      <c r="M13" s="10"/>
      <c r="N13" s="10"/>
      <c r="O13" s="10"/>
    </row>
    <row r="14" spans="1:15" x14ac:dyDescent="0.2">
      <c r="A14" s="15"/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0"/>
      <c r="N14" s="10"/>
      <c r="O14" s="10"/>
    </row>
    <row r="15" spans="1:15" x14ac:dyDescent="0.2">
      <c r="A15" s="15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0"/>
      <c r="N15" s="10"/>
      <c r="O15" s="10"/>
    </row>
    <row r="16" spans="1:15" x14ac:dyDescent="0.2">
      <c r="A16" s="19"/>
      <c r="B16" s="20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0"/>
      <c r="N16" s="10"/>
      <c r="O16" s="10"/>
    </row>
    <row r="17" spans="1:15" x14ac:dyDescent="0.2">
      <c r="A17" s="1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0"/>
      <c r="N17" s="10"/>
      <c r="O17" s="10"/>
    </row>
    <row r="18" spans="1:15" ht="13.5" thickBot="1" x14ac:dyDescent="0.25">
      <c r="A18" s="22"/>
      <c r="B18" s="23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10"/>
      <c r="N18" s="10"/>
      <c r="O18" s="10"/>
    </row>
    <row r="19" spans="1:15" x14ac:dyDescent="0.2">
      <c r="A19" s="24"/>
      <c r="B19" s="25"/>
      <c r="C19" s="26"/>
      <c r="D19" s="27">
        <v>1</v>
      </c>
      <c r="E19" s="27">
        <v>2</v>
      </c>
      <c r="F19" s="27">
        <v>3</v>
      </c>
      <c r="G19" s="27">
        <v>4</v>
      </c>
      <c r="H19" s="27">
        <v>5</v>
      </c>
      <c r="I19" s="27">
        <v>6</v>
      </c>
      <c r="J19" s="27">
        <v>7</v>
      </c>
      <c r="K19" s="27">
        <v>8</v>
      </c>
      <c r="L19" s="27">
        <v>9</v>
      </c>
      <c r="M19" s="27">
        <v>10</v>
      </c>
      <c r="N19" s="27">
        <v>11</v>
      </c>
      <c r="O19" s="27">
        <v>12</v>
      </c>
    </row>
    <row r="20" spans="1:15" ht="51.75" thickBot="1" x14ac:dyDescent="0.25">
      <c r="A20" s="28" t="s">
        <v>3</v>
      </c>
      <c r="B20" s="29"/>
      <c r="C20" s="30" t="s">
        <v>4</v>
      </c>
      <c r="D20" s="31" t="s">
        <v>5</v>
      </c>
      <c r="E20" s="31" t="s">
        <v>6</v>
      </c>
      <c r="F20" s="31" t="s">
        <v>7</v>
      </c>
      <c r="G20" s="31" t="s">
        <v>8</v>
      </c>
      <c r="H20" s="31" t="s">
        <v>9</v>
      </c>
      <c r="I20" s="31" t="s">
        <v>10</v>
      </c>
      <c r="J20" s="31" t="s">
        <v>11</v>
      </c>
      <c r="K20" s="31" t="s">
        <v>12</v>
      </c>
      <c r="L20" s="31" t="s">
        <v>13</v>
      </c>
      <c r="M20" s="31" t="s">
        <v>14</v>
      </c>
      <c r="N20" s="31" t="s">
        <v>15</v>
      </c>
      <c r="O20" s="31" t="s">
        <v>16</v>
      </c>
    </row>
    <row r="21" spans="1:15" x14ac:dyDescent="0.2">
      <c r="A21" s="32" t="s">
        <v>17</v>
      </c>
      <c r="B21" s="33" t="s">
        <v>18</v>
      </c>
      <c r="C21" s="34">
        <v>18585008</v>
      </c>
      <c r="D21" s="35">
        <v>13865405</v>
      </c>
      <c r="E21" s="35">
        <v>1717567</v>
      </c>
      <c r="F21" s="35">
        <v>0</v>
      </c>
      <c r="G21" s="35">
        <v>0</v>
      </c>
      <c r="H21" s="35">
        <v>0</v>
      </c>
      <c r="I21" s="35">
        <v>0</v>
      </c>
      <c r="J21" s="35">
        <v>42237</v>
      </c>
      <c r="K21" s="35">
        <v>0</v>
      </c>
      <c r="L21" s="35">
        <v>0</v>
      </c>
      <c r="M21" s="35">
        <v>0</v>
      </c>
      <c r="N21" s="35">
        <v>0</v>
      </c>
      <c r="O21" s="35">
        <v>2959799</v>
      </c>
    </row>
    <row r="22" spans="1:15" ht="13.5" thickBot="1" x14ac:dyDescent="0.25">
      <c r="A22" s="32" t="s">
        <v>19</v>
      </c>
      <c r="B22" s="33" t="s">
        <v>20</v>
      </c>
      <c r="C22" s="36">
        <v>343057</v>
      </c>
      <c r="D22" s="37">
        <v>217489.68270909949</v>
      </c>
      <c r="E22" s="37">
        <v>88132.624542482896</v>
      </c>
      <c r="F22" s="37">
        <v>0</v>
      </c>
      <c r="G22" s="37">
        <v>0</v>
      </c>
      <c r="H22" s="37">
        <v>0</v>
      </c>
      <c r="I22" s="37">
        <v>0</v>
      </c>
      <c r="J22" s="37">
        <v>5003.2895272679543</v>
      </c>
      <c r="K22" s="37">
        <v>0</v>
      </c>
      <c r="L22" s="37">
        <v>0</v>
      </c>
      <c r="M22" s="37">
        <v>0</v>
      </c>
      <c r="N22" s="37">
        <v>0</v>
      </c>
      <c r="O22" s="37">
        <v>32431.403221149769</v>
      </c>
    </row>
    <row r="23" spans="1:15" ht="13.5" thickBot="1" x14ac:dyDescent="0.25">
      <c r="A23" s="32"/>
      <c r="B23" s="38" t="s">
        <v>21</v>
      </c>
      <c r="C23" s="39">
        <v>18928065</v>
      </c>
      <c r="D23" s="40">
        <v>14082894.6827091</v>
      </c>
      <c r="E23" s="40">
        <v>1805699.6245424829</v>
      </c>
      <c r="F23" s="40">
        <v>0</v>
      </c>
      <c r="G23" s="40">
        <v>0</v>
      </c>
      <c r="H23" s="40">
        <v>0</v>
      </c>
      <c r="I23" s="40">
        <v>0</v>
      </c>
      <c r="J23" s="40">
        <v>47240.289527267953</v>
      </c>
      <c r="K23" s="40">
        <v>0</v>
      </c>
      <c r="L23" s="40">
        <v>0</v>
      </c>
      <c r="M23" s="40">
        <v>0</v>
      </c>
      <c r="N23" s="40">
        <v>0</v>
      </c>
      <c r="O23" s="40">
        <v>2992230.4032211499</v>
      </c>
    </row>
    <row r="24" spans="1:15" ht="13.5" thickTop="1" x14ac:dyDescent="0.2">
      <c r="A24" s="32"/>
      <c r="B24" s="33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 x14ac:dyDescent="0.2">
      <c r="A25" s="32"/>
      <c r="B25" s="44" t="s">
        <v>22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 x14ac:dyDescent="0.2">
      <c r="A26" s="32" t="s">
        <v>23</v>
      </c>
      <c r="B26" s="33" t="s">
        <v>24</v>
      </c>
      <c r="C26" s="41">
        <v>4712464.3508517938</v>
      </c>
      <c r="D26" s="42">
        <v>2835058.6867799037</v>
      </c>
      <c r="E26" s="42">
        <v>1290516.5675966546</v>
      </c>
      <c r="F26" s="42">
        <v>0</v>
      </c>
      <c r="G26" s="42">
        <v>0</v>
      </c>
      <c r="H26" s="42">
        <v>0</v>
      </c>
      <c r="I26" s="42">
        <v>0</v>
      </c>
      <c r="J26" s="42">
        <v>87388.00029362386</v>
      </c>
      <c r="K26" s="42">
        <v>0</v>
      </c>
      <c r="L26" s="42">
        <v>0</v>
      </c>
      <c r="M26" s="42">
        <v>0</v>
      </c>
      <c r="N26" s="42">
        <v>0</v>
      </c>
      <c r="O26" s="42">
        <v>499501.0961816113</v>
      </c>
    </row>
    <row r="27" spans="1:15" x14ac:dyDescent="0.2">
      <c r="A27" s="32" t="s">
        <v>25</v>
      </c>
      <c r="B27" s="33" t="s">
        <v>26</v>
      </c>
      <c r="C27" s="41">
        <v>1693808.4044454272</v>
      </c>
      <c r="D27" s="42">
        <v>1394715.018301195</v>
      </c>
      <c r="E27" s="42">
        <v>91659.222664461937</v>
      </c>
      <c r="F27" s="42">
        <v>0</v>
      </c>
      <c r="G27" s="42">
        <v>0</v>
      </c>
      <c r="H27" s="42">
        <v>0</v>
      </c>
      <c r="I27" s="42">
        <v>0</v>
      </c>
      <c r="J27" s="42">
        <v>11235.291425316285</v>
      </c>
      <c r="K27" s="42">
        <v>0</v>
      </c>
      <c r="L27" s="42">
        <v>0</v>
      </c>
      <c r="M27" s="42">
        <v>0</v>
      </c>
      <c r="N27" s="42">
        <v>0</v>
      </c>
      <c r="O27" s="42">
        <v>196198.87205445388</v>
      </c>
    </row>
    <row r="28" spans="1:15" x14ac:dyDescent="0.2">
      <c r="A28" s="32" t="s">
        <v>27</v>
      </c>
      <c r="B28" s="33" t="s">
        <v>28</v>
      </c>
      <c r="C28" s="41">
        <v>2632963.9007266099</v>
      </c>
      <c r="D28" s="42">
        <v>1725449.2149465042</v>
      </c>
      <c r="E28" s="42">
        <v>583912.1785581687</v>
      </c>
      <c r="F28" s="42">
        <v>0</v>
      </c>
      <c r="G28" s="42">
        <v>0</v>
      </c>
      <c r="H28" s="42">
        <v>0</v>
      </c>
      <c r="I28" s="42">
        <v>0</v>
      </c>
      <c r="J28" s="42">
        <v>40419.72860932102</v>
      </c>
      <c r="K28" s="42">
        <v>0</v>
      </c>
      <c r="L28" s="42">
        <v>0</v>
      </c>
      <c r="M28" s="42">
        <v>0</v>
      </c>
      <c r="N28" s="42">
        <v>0</v>
      </c>
      <c r="O28" s="42">
        <v>283182.77861261601</v>
      </c>
    </row>
    <row r="29" spans="1:15" x14ac:dyDescent="0.2">
      <c r="A29" s="32" t="s">
        <v>29</v>
      </c>
      <c r="B29" s="33" t="s">
        <v>30</v>
      </c>
      <c r="C29" s="45">
        <v>4056672.0247569596</v>
      </c>
      <c r="D29" s="46">
        <v>2563127.9349853685</v>
      </c>
      <c r="E29" s="46">
        <v>975345.29367472359</v>
      </c>
      <c r="F29" s="46">
        <v>0</v>
      </c>
      <c r="G29" s="46">
        <v>0</v>
      </c>
      <c r="H29" s="46">
        <v>0</v>
      </c>
      <c r="I29" s="46">
        <v>0</v>
      </c>
      <c r="J29" s="46">
        <v>70644.214183055301</v>
      </c>
      <c r="K29" s="46">
        <v>0</v>
      </c>
      <c r="L29" s="46">
        <v>0</v>
      </c>
      <c r="M29" s="46">
        <v>0</v>
      </c>
      <c r="N29" s="46">
        <v>0</v>
      </c>
      <c r="O29" s="46">
        <v>447554.5819138122</v>
      </c>
    </row>
    <row r="30" spans="1:15" x14ac:dyDescent="0.2">
      <c r="A30" s="32" t="s">
        <v>31</v>
      </c>
      <c r="B30" s="33" t="s">
        <v>32</v>
      </c>
      <c r="C30" s="41">
        <v>751038</v>
      </c>
      <c r="D30" s="42">
        <v>456887.51527834096</v>
      </c>
      <c r="E30" s="42">
        <v>209627.82992079962</v>
      </c>
      <c r="F30" s="42">
        <v>0</v>
      </c>
      <c r="G30" s="42">
        <v>0</v>
      </c>
      <c r="H30" s="42">
        <v>0</v>
      </c>
      <c r="I30" s="42">
        <v>0</v>
      </c>
      <c r="J30" s="42">
        <v>11218.929030918629</v>
      </c>
      <c r="K30" s="42">
        <v>0</v>
      </c>
      <c r="L30" s="42">
        <v>0</v>
      </c>
      <c r="M30" s="42">
        <v>0</v>
      </c>
      <c r="N30" s="42">
        <v>0</v>
      </c>
      <c r="O30" s="42">
        <v>73303.72576994088</v>
      </c>
    </row>
    <row r="31" spans="1:15" ht="13.5" thickBot="1" x14ac:dyDescent="0.25">
      <c r="A31" s="32" t="s">
        <v>33</v>
      </c>
      <c r="B31" s="33" t="s">
        <v>34</v>
      </c>
      <c r="C31" s="36">
        <v>2342458</v>
      </c>
      <c r="D31" s="37">
        <v>1425014.2006980632</v>
      </c>
      <c r="E31" s="37">
        <v>653820.96141688759</v>
      </c>
      <c r="F31" s="37">
        <v>0</v>
      </c>
      <c r="G31" s="37">
        <v>0</v>
      </c>
      <c r="H31" s="37">
        <v>0</v>
      </c>
      <c r="I31" s="37">
        <v>0</v>
      </c>
      <c r="J31" s="37">
        <v>34991.398650810734</v>
      </c>
      <c r="K31" s="37">
        <v>0</v>
      </c>
      <c r="L31" s="37">
        <v>0</v>
      </c>
      <c r="M31" s="37">
        <v>0</v>
      </c>
      <c r="N31" s="37">
        <v>0</v>
      </c>
      <c r="O31" s="37">
        <v>228631.4392342387</v>
      </c>
    </row>
    <row r="32" spans="1:15" ht="13.5" thickBot="1" x14ac:dyDescent="0.25">
      <c r="A32" s="32"/>
      <c r="B32" s="38" t="s">
        <v>35</v>
      </c>
      <c r="C32" s="39">
        <v>16189404.680780791</v>
      </c>
      <c r="D32" s="40">
        <v>10400252.570989376</v>
      </c>
      <c r="E32" s="40">
        <v>3804882.053831696</v>
      </c>
      <c r="F32" s="40">
        <v>0</v>
      </c>
      <c r="G32" s="40">
        <v>0</v>
      </c>
      <c r="H32" s="40">
        <v>0</v>
      </c>
      <c r="I32" s="40">
        <v>0</v>
      </c>
      <c r="J32" s="40">
        <v>255897.56219304583</v>
      </c>
      <c r="K32" s="40">
        <v>0</v>
      </c>
      <c r="L32" s="40">
        <v>0</v>
      </c>
      <c r="M32" s="40">
        <v>0</v>
      </c>
      <c r="N32" s="40">
        <v>0</v>
      </c>
      <c r="O32" s="40">
        <v>1728372.4937666729</v>
      </c>
    </row>
    <row r="33" spans="1:15" ht="13.5" thickTop="1" x14ac:dyDescent="0.2">
      <c r="A33" s="32"/>
      <c r="B33" s="44"/>
      <c r="C33" s="41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x14ac:dyDescent="0.2">
      <c r="A34" s="32"/>
      <c r="B34" s="44" t="s">
        <v>36</v>
      </c>
      <c r="C34" s="41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</row>
    <row r="35" spans="1:15" x14ac:dyDescent="0.2">
      <c r="A35" s="32"/>
      <c r="B35" s="33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3"/>
      <c r="O35" s="43"/>
    </row>
    <row r="36" spans="1:15" x14ac:dyDescent="0.2">
      <c r="A36" s="32" t="s">
        <v>37</v>
      </c>
      <c r="B36" s="33" t="s">
        <v>38</v>
      </c>
      <c r="C36" s="41">
        <v>2738660</v>
      </c>
      <c r="D36" s="42">
        <v>1666040.2837035959</v>
      </c>
      <c r="E36" s="42">
        <v>764407.86310532503</v>
      </c>
      <c r="F36" s="42">
        <v>0</v>
      </c>
      <c r="G36" s="42">
        <v>0</v>
      </c>
      <c r="H36" s="42">
        <v>0</v>
      </c>
      <c r="I36" s="42">
        <v>0</v>
      </c>
      <c r="J36" s="42">
        <v>40909.823710405617</v>
      </c>
      <c r="K36" s="42">
        <v>0</v>
      </c>
      <c r="L36" s="42">
        <v>0</v>
      </c>
      <c r="M36" s="42">
        <v>0</v>
      </c>
      <c r="N36" s="42">
        <v>0</v>
      </c>
      <c r="O36" s="42">
        <v>267302.02948067378</v>
      </c>
    </row>
    <row r="37" spans="1:15" x14ac:dyDescent="0.2">
      <c r="A37" s="32"/>
      <c r="B37" s="33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3"/>
      <c r="O37" s="43"/>
    </row>
    <row r="38" spans="1:15" x14ac:dyDescent="0.2">
      <c r="A38" s="32"/>
      <c r="B38" s="44" t="s">
        <v>39</v>
      </c>
      <c r="C38" s="41">
        <v>18928064.680780791</v>
      </c>
      <c r="D38" s="48">
        <v>12066292.854692971</v>
      </c>
      <c r="E38" s="48">
        <v>4569289.9169370215</v>
      </c>
      <c r="F38" s="48">
        <v>0</v>
      </c>
      <c r="G38" s="48">
        <v>0</v>
      </c>
      <c r="H38" s="48">
        <v>0</v>
      </c>
      <c r="I38" s="48">
        <v>0</v>
      </c>
      <c r="J38" s="48">
        <v>296807.38590345148</v>
      </c>
      <c r="K38" s="48">
        <v>0</v>
      </c>
      <c r="L38" s="48">
        <v>0</v>
      </c>
      <c r="M38" s="48">
        <v>0</v>
      </c>
      <c r="N38" s="48">
        <v>0</v>
      </c>
      <c r="O38" s="48">
        <v>1995674.5232473467</v>
      </c>
    </row>
    <row r="39" spans="1:15" x14ac:dyDescent="0.2">
      <c r="A39" s="49"/>
      <c r="B39" s="33"/>
      <c r="C39" s="291" t="s">
        <v>135</v>
      </c>
      <c r="D39" s="291"/>
      <c r="E39" s="292"/>
      <c r="F39" s="42"/>
      <c r="G39" s="42"/>
      <c r="H39" s="42"/>
      <c r="I39" s="42"/>
      <c r="J39" s="42"/>
      <c r="K39" s="42"/>
      <c r="L39" s="42"/>
      <c r="M39" s="43"/>
      <c r="N39" s="43"/>
      <c r="O39" s="43"/>
    </row>
    <row r="40" spans="1:15" x14ac:dyDescent="0.2">
      <c r="A40" s="32"/>
      <c r="B40" s="33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3"/>
      <c r="O40" s="43"/>
    </row>
    <row r="41" spans="1:15" x14ac:dyDescent="0.2">
      <c r="A41" s="32"/>
      <c r="B41" s="33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3"/>
      <c r="O41" s="43"/>
    </row>
    <row r="42" spans="1:15" x14ac:dyDescent="0.2">
      <c r="A42" s="32"/>
      <c r="B42" s="44" t="s">
        <v>40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3"/>
      <c r="O42" s="43"/>
    </row>
    <row r="43" spans="1:15" x14ac:dyDescent="0.2">
      <c r="A43" s="32"/>
      <c r="B43" s="44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3"/>
      <c r="O43" s="43"/>
    </row>
    <row r="44" spans="1:15" x14ac:dyDescent="0.2">
      <c r="A44" s="32"/>
      <c r="B44" s="50" t="s">
        <v>41</v>
      </c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</row>
    <row r="45" spans="1:15" x14ac:dyDescent="0.2">
      <c r="A45" s="32" t="s">
        <v>42</v>
      </c>
      <c r="B45" s="33" t="s">
        <v>43</v>
      </c>
      <c r="C45" s="41">
        <v>101557857.99858268</v>
      </c>
      <c r="D45" s="42">
        <v>61697988.792122856</v>
      </c>
      <c r="E45" s="42">
        <v>27444170.372349057</v>
      </c>
      <c r="F45" s="42">
        <v>0</v>
      </c>
      <c r="G45" s="42">
        <v>0</v>
      </c>
      <c r="H45" s="42">
        <v>0</v>
      </c>
      <c r="I45" s="42">
        <v>0</v>
      </c>
      <c r="J45" s="42">
        <v>1706422.4545467549</v>
      </c>
      <c r="K45" s="42">
        <v>0</v>
      </c>
      <c r="L45" s="42">
        <v>0</v>
      </c>
      <c r="M45" s="42">
        <v>0</v>
      </c>
      <c r="N45" s="42">
        <v>0</v>
      </c>
      <c r="O45" s="42">
        <v>10709276.379564019</v>
      </c>
    </row>
    <row r="46" spans="1:15" x14ac:dyDescent="0.2">
      <c r="A46" s="32" t="s">
        <v>44</v>
      </c>
      <c r="B46" s="33" t="s">
        <v>45</v>
      </c>
      <c r="C46" s="41">
        <v>10530381.620285748</v>
      </c>
      <c r="D46" s="42">
        <v>6406067.1942365952</v>
      </c>
      <c r="E46" s="42">
        <v>2939213.5248793997</v>
      </c>
      <c r="F46" s="42">
        <v>0</v>
      </c>
      <c r="G46" s="42">
        <v>0</v>
      </c>
      <c r="H46" s="42">
        <v>0</v>
      </c>
      <c r="I46" s="42">
        <v>0</v>
      </c>
      <c r="J46" s="42">
        <v>157301.76644387591</v>
      </c>
      <c r="K46" s="42">
        <v>0</v>
      </c>
      <c r="L46" s="42">
        <v>0</v>
      </c>
      <c r="M46" s="42">
        <v>0</v>
      </c>
      <c r="N46" s="42">
        <v>0</v>
      </c>
      <c r="O46" s="42">
        <v>1027799.1347258753</v>
      </c>
    </row>
    <row r="47" spans="1:15" x14ac:dyDescent="0.2">
      <c r="A47" s="32" t="s">
        <v>46</v>
      </c>
      <c r="B47" s="33" t="s">
        <v>47</v>
      </c>
      <c r="C47" s="45">
        <v>-46509937.492378518</v>
      </c>
      <c r="D47" s="46">
        <v>-28210059.258172177</v>
      </c>
      <c r="E47" s="46">
        <v>-12079333.816318255</v>
      </c>
      <c r="F47" s="46">
        <v>0</v>
      </c>
      <c r="G47" s="46">
        <v>0</v>
      </c>
      <c r="H47" s="46">
        <v>0</v>
      </c>
      <c r="I47" s="46">
        <v>0</v>
      </c>
      <c r="J47" s="46">
        <v>-884122.23344109172</v>
      </c>
      <c r="K47" s="46">
        <v>0</v>
      </c>
      <c r="L47" s="46">
        <v>0</v>
      </c>
      <c r="M47" s="46">
        <v>0</v>
      </c>
      <c r="N47" s="46">
        <v>0</v>
      </c>
      <c r="O47" s="46">
        <v>-5336422.1844469989</v>
      </c>
    </row>
    <row r="48" spans="1:15" ht="13.5" thickBot="1" x14ac:dyDescent="0.25">
      <c r="A48" s="32" t="s">
        <v>48</v>
      </c>
      <c r="B48" s="33" t="s">
        <v>49</v>
      </c>
      <c r="C48" s="51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</row>
    <row r="49" spans="1:15" ht="13.5" thickBot="1" x14ac:dyDescent="0.25">
      <c r="A49" s="32"/>
      <c r="B49" s="38" t="s">
        <v>50</v>
      </c>
      <c r="C49" s="39">
        <v>65578302.126489908</v>
      </c>
      <c r="D49" s="40">
        <v>39893996.72818727</v>
      </c>
      <c r="E49" s="40">
        <v>18304050.080910202</v>
      </c>
      <c r="F49" s="40">
        <v>0</v>
      </c>
      <c r="G49" s="40">
        <v>0</v>
      </c>
      <c r="H49" s="40">
        <v>0</v>
      </c>
      <c r="I49" s="40">
        <v>0</v>
      </c>
      <c r="J49" s="40">
        <v>979601.98754953907</v>
      </c>
      <c r="K49" s="40">
        <v>0</v>
      </c>
      <c r="L49" s="40">
        <v>0</v>
      </c>
      <c r="M49" s="40">
        <v>0</v>
      </c>
      <c r="N49" s="40">
        <v>0</v>
      </c>
      <c r="O49" s="40">
        <v>6400653.3298428962</v>
      </c>
    </row>
    <row r="50" spans="1:15" ht="13.5" thickTop="1" x14ac:dyDescent="0.2">
      <c r="A50" s="32"/>
      <c r="B50" s="44"/>
      <c r="C50" s="41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5" x14ac:dyDescent="0.2">
      <c r="A51" s="32"/>
      <c r="B51" s="44" t="s">
        <v>51</v>
      </c>
      <c r="C51" s="4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</row>
    <row r="52" spans="1:15" x14ac:dyDescent="0.2">
      <c r="A52" s="32"/>
      <c r="B52" s="33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43"/>
      <c r="O52" s="43"/>
    </row>
    <row r="53" spans="1:15" x14ac:dyDescent="0.2">
      <c r="A53" s="32"/>
      <c r="B53" s="44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43"/>
      <c r="O53" s="43"/>
    </row>
    <row r="54" spans="1:15" x14ac:dyDescent="0.2">
      <c r="A54" s="32" t="s">
        <v>52</v>
      </c>
      <c r="B54" s="33" t="s">
        <v>53</v>
      </c>
      <c r="C54" s="41">
        <v>17166389</v>
      </c>
      <c r="D54" s="42">
        <v>9553250.0156923775</v>
      </c>
      <c r="E54" s="42">
        <v>6404606.1671284735</v>
      </c>
      <c r="F54" s="42">
        <v>0</v>
      </c>
      <c r="G54" s="42">
        <v>0</v>
      </c>
      <c r="H54" s="42">
        <v>0</v>
      </c>
      <c r="I54" s="42">
        <v>0</v>
      </c>
      <c r="J54" s="42">
        <v>72227.126422115965</v>
      </c>
      <c r="K54" s="42">
        <v>0</v>
      </c>
      <c r="L54" s="42">
        <v>0</v>
      </c>
      <c r="M54" s="42">
        <v>0</v>
      </c>
      <c r="N54" s="42">
        <v>0</v>
      </c>
      <c r="O54" s="42">
        <v>1136305.690757032</v>
      </c>
    </row>
    <row r="55" spans="1:15" x14ac:dyDescent="0.2">
      <c r="A55" s="32"/>
      <c r="B55" s="33" t="s">
        <v>54</v>
      </c>
      <c r="C55" s="41">
        <v>9039236.6560238302</v>
      </c>
      <c r="D55" s="42">
        <v>5955222.9200276025</v>
      </c>
      <c r="E55" s="42">
        <v>1966087.9688192853</v>
      </c>
      <c r="F55" s="42">
        <v>0</v>
      </c>
      <c r="G55" s="42">
        <v>0</v>
      </c>
      <c r="H55" s="42">
        <v>0</v>
      </c>
      <c r="I55" s="42">
        <v>0</v>
      </c>
      <c r="J55" s="42">
        <v>139043.02032826116</v>
      </c>
      <c r="K55" s="42">
        <v>0</v>
      </c>
      <c r="L55" s="42">
        <v>0</v>
      </c>
      <c r="M55" s="42">
        <v>0</v>
      </c>
      <c r="N55" s="42">
        <v>0</v>
      </c>
      <c r="O55" s="42">
        <v>978882.74684868124</v>
      </c>
    </row>
    <row r="56" spans="1:15" x14ac:dyDescent="0.2">
      <c r="A56" s="32"/>
      <c r="B56" s="53" t="s">
        <v>55</v>
      </c>
      <c r="C56" s="41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</row>
    <row r="57" spans="1:15" x14ac:dyDescent="0.2">
      <c r="A57" s="32"/>
      <c r="B57" s="54" t="s">
        <v>56</v>
      </c>
      <c r="C57" s="55">
        <v>26205625.656023826</v>
      </c>
      <c r="D57" s="56">
        <v>15508472.93571998</v>
      </c>
      <c r="E57" s="56">
        <v>8370694.1359477583</v>
      </c>
      <c r="F57" s="56">
        <v>0</v>
      </c>
      <c r="G57" s="56">
        <v>0</v>
      </c>
      <c r="H57" s="56">
        <v>0</v>
      </c>
      <c r="I57" s="56">
        <v>0</v>
      </c>
      <c r="J57" s="56">
        <v>211270.14675037714</v>
      </c>
      <c r="K57" s="56">
        <v>0</v>
      </c>
      <c r="L57" s="56">
        <v>0</v>
      </c>
      <c r="M57" s="56">
        <v>0</v>
      </c>
      <c r="N57" s="56">
        <v>0</v>
      </c>
      <c r="O57" s="56">
        <v>2115188.4376057135</v>
      </c>
    </row>
    <row r="58" spans="1:15" x14ac:dyDescent="0.2">
      <c r="A58" s="32"/>
      <c r="B58" s="44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1:15" x14ac:dyDescent="0.2">
      <c r="A59" s="32"/>
      <c r="B59" s="44" t="s">
        <v>57</v>
      </c>
      <c r="C59" s="41">
        <v>3930843.8484035744</v>
      </c>
      <c r="D59" s="47">
        <v>2326270.9403579971</v>
      </c>
      <c r="E59" s="47">
        <v>1255604.1203921637</v>
      </c>
      <c r="F59" s="47">
        <v>0</v>
      </c>
      <c r="G59" s="47">
        <v>0</v>
      </c>
      <c r="H59" s="47">
        <v>0</v>
      </c>
      <c r="I59" s="47">
        <v>0</v>
      </c>
      <c r="J59" s="47">
        <v>31690.522012556568</v>
      </c>
      <c r="K59" s="47">
        <v>0</v>
      </c>
      <c r="L59" s="47">
        <v>0</v>
      </c>
      <c r="M59" s="47">
        <v>0</v>
      </c>
      <c r="N59" s="47">
        <v>0</v>
      </c>
      <c r="O59" s="47">
        <v>317278.26564085699</v>
      </c>
    </row>
    <row r="60" spans="1:15" x14ac:dyDescent="0.2">
      <c r="A60" s="32"/>
      <c r="B60" s="57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3"/>
      <c r="O60" s="43"/>
    </row>
    <row r="61" spans="1:15" ht="13.5" thickBot="1" x14ac:dyDescent="0.25">
      <c r="A61" s="32"/>
      <c r="B61" s="38" t="s">
        <v>58</v>
      </c>
      <c r="C61" s="58">
        <v>69509145.974893481</v>
      </c>
      <c r="D61" s="59">
        <v>42220267.668545268</v>
      </c>
      <c r="E61" s="59">
        <v>19559654.201302364</v>
      </c>
      <c r="F61" s="59">
        <v>0</v>
      </c>
      <c r="G61" s="59">
        <v>0</v>
      </c>
      <c r="H61" s="59">
        <v>0</v>
      </c>
      <c r="I61" s="59">
        <v>0</v>
      </c>
      <c r="J61" s="59">
        <v>1011292.5095620956</v>
      </c>
      <c r="K61" s="59">
        <v>0</v>
      </c>
      <c r="L61" s="59">
        <v>0</v>
      </c>
      <c r="M61" s="59">
        <v>0</v>
      </c>
      <c r="N61" s="59">
        <v>0</v>
      </c>
      <c r="O61" s="59">
        <v>6717931.5954837529</v>
      </c>
    </row>
    <row r="62" spans="1:15" ht="13.5" thickTop="1" x14ac:dyDescent="0.2">
      <c r="A62" s="49"/>
      <c r="B62" s="44"/>
      <c r="C62" s="293" t="s">
        <v>59</v>
      </c>
      <c r="D62" s="294"/>
      <c r="E62" s="295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32"/>
      <c r="B63" s="44" t="s">
        <v>60</v>
      </c>
      <c r="C63" s="4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</row>
    <row r="64" spans="1:15" x14ac:dyDescent="0.2">
      <c r="A64" s="32"/>
      <c r="B64" s="44"/>
      <c r="C64" s="41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 x14ac:dyDescent="0.2">
      <c r="A65" s="32"/>
      <c r="B65" s="44" t="s">
        <v>61</v>
      </c>
      <c r="C65" s="41">
        <v>2738660.3192192097</v>
      </c>
      <c r="D65" s="47">
        <v>3682642.1117197238</v>
      </c>
      <c r="E65" s="47">
        <v>-1999182.4292892131</v>
      </c>
      <c r="F65" s="47">
        <v>0</v>
      </c>
      <c r="G65" s="47">
        <v>0</v>
      </c>
      <c r="H65" s="47">
        <v>0</v>
      </c>
      <c r="I65" s="47">
        <v>0</v>
      </c>
      <c r="J65" s="47">
        <v>-208657.27266577788</v>
      </c>
      <c r="K65" s="47">
        <v>0</v>
      </c>
      <c r="L65" s="47">
        <v>0</v>
      </c>
      <c r="M65" s="47">
        <v>0</v>
      </c>
      <c r="N65" s="47">
        <v>0</v>
      </c>
      <c r="O65" s="47">
        <v>1263857.909454477</v>
      </c>
    </row>
    <row r="66" spans="1:15" x14ac:dyDescent="0.2">
      <c r="A66" s="32"/>
      <c r="B66" s="44"/>
      <c r="C66" s="41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x14ac:dyDescent="0.2">
      <c r="A67" s="32"/>
      <c r="B67" s="44" t="s">
        <v>62</v>
      </c>
      <c r="C67" s="4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1:15" x14ac:dyDescent="0.2">
      <c r="A68" s="32"/>
      <c r="B68" s="33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3"/>
      <c r="O68" s="43"/>
    </row>
    <row r="69" spans="1:15" x14ac:dyDescent="0.2">
      <c r="A69" s="32"/>
      <c r="B69" s="38" t="s">
        <v>63</v>
      </c>
      <c r="C69" s="60">
        <v>2738660.3192192097</v>
      </c>
      <c r="D69" s="61">
        <v>3682642.1117197238</v>
      </c>
      <c r="E69" s="61">
        <v>-1999182.4292892131</v>
      </c>
      <c r="F69" s="61">
        <v>0</v>
      </c>
      <c r="G69" s="61">
        <v>0</v>
      </c>
      <c r="H69" s="61">
        <v>0</v>
      </c>
      <c r="I69" s="61">
        <v>0</v>
      </c>
      <c r="J69" s="61">
        <v>-208657.27266577788</v>
      </c>
      <c r="K69" s="61">
        <v>0</v>
      </c>
      <c r="L69" s="61">
        <v>0</v>
      </c>
      <c r="M69" s="61">
        <v>0</v>
      </c>
      <c r="N69" s="61">
        <v>0</v>
      </c>
      <c r="O69" s="61">
        <v>1263857.909454477</v>
      </c>
    </row>
    <row r="70" spans="1:15" x14ac:dyDescent="0.2">
      <c r="A70" s="32"/>
      <c r="B70" s="33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3"/>
      <c r="N70" s="43"/>
      <c r="O70" s="43"/>
    </row>
    <row r="71" spans="1:15" x14ac:dyDescent="0.2">
      <c r="A71" s="32"/>
      <c r="B71" s="44" t="s">
        <v>64</v>
      </c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43"/>
    </row>
    <row r="72" spans="1:15" x14ac:dyDescent="0.2">
      <c r="A72" s="32"/>
      <c r="B72" s="33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3"/>
      <c r="N72" s="43"/>
      <c r="O72" s="43"/>
    </row>
    <row r="73" spans="1:15" x14ac:dyDescent="0.2">
      <c r="A73" s="62"/>
      <c r="B73" s="63" t="s">
        <v>65</v>
      </c>
      <c r="C73" s="64">
        <v>1.0000000168648626</v>
      </c>
      <c r="D73" s="65">
        <v>1.1671268758599544</v>
      </c>
      <c r="E73" s="65">
        <v>0.3951816709745824</v>
      </c>
      <c r="F73" s="65" t="s">
        <v>66</v>
      </c>
      <c r="G73" s="65" t="s">
        <v>66</v>
      </c>
      <c r="H73" s="65" t="s">
        <v>66</v>
      </c>
      <c r="I73" s="65" t="s">
        <v>66</v>
      </c>
      <c r="J73" s="65">
        <v>0.15916143523003418</v>
      </c>
      <c r="K73" s="65" t="s">
        <v>66</v>
      </c>
      <c r="L73" s="65" t="s">
        <v>66</v>
      </c>
      <c r="M73" s="65" t="s">
        <v>66</v>
      </c>
      <c r="N73" s="65" t="s">
        <v>66</v>
      </c>
      <c r="O73" s="65">
        <v>1.4993579205251439</v>
      </c>
    </row>
    <row r="74" spans="1:15" x14ac:dyDescent="0.2">
      <c r="A74" s="32"/>
      <c r="B74" s="33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43"/>
    </row>
    <row r="75" spans="1:15" x14ac:dyDescent="0.2">
      <c r="A75" s="32"/>
      <c r="B75" s="33" t="s">
        <v>67</v>
      </c>
      <c r="C75" s="41">
        <v>0.31921920960303396</v>
      </c>
      <c r="D75" s="42">
        <v>2016601.8280161284</v>
      </c>
      <c r="E75" s="42">
        <v>-2763590.2923945384</v>
      </c>
      <c r="F75" s="42">
        <v>0</v>
      </c>
      <c r="G75" s="42">
        <v>0</v>
      </c>
      <c r="H75" s="42">
        <v>0</v>
      </c>
      <c r="I75" s="42">
        <v>0</v>
      </c>
      <c r="J75" s="42">
        <v>-249567.09637618353</v>
      </c>
      <c r="K75" s="42">
        <v>0</v>
      </c>
      <c r="L75" s="42">
        <v>0</v>
      </c>
      <c r="M75" s="42">
        <v>0</v>
      </c>
      <c r="N75" s="42">
        <v>0</v>
      </c>
      <c r="O75" s="42">
        <v>996555.87997380318</v>
      </c>
    </row>
    <row r="76" spans="1:15" x14ac:dyDescent="0.2">
      <c r="A76" s="32"/>
      <c r="B76" s="33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3"/>
      <c r="N76" s="43"/>
      <c r="O76" s="43"/>
    </row>
    <row r="77" spans="1:15" ht="13.5" thickBot="1" x14ac:dyDescent="0.25">
      <c r="A77" s="32"/>
      <c r="B77" s="33" t="s">
        <v>68</v>
      </c>
      <c r="C77" s="66" t="s">
        <v>66</v>
      </c>
      <c r="D77" s="66" t="s">
        <v>66</v>
      </c>
      <c r="E77" s="66" t="s">
        <v>66</v>
      </c>
      <c r="F77" s="66" t="s">
        <v>66</v>
      </c>
      <c r="G77" s="66" t="s">
        <v>66</v>
      </c>
      <c r="H77" s="66" t="s">
        <v>66</v>
      </c>
      <c r="I77" s="66" t="s">
        <v>66</v>
      </c>
      <c r="J77" s="66" t="s">
        <v>66</v>
      </c>
      <c r="K77" s="66" t="s">
        <v>66</v>
      </c>
      <c r="L77" s="66" t="s">
        <v>66</v>
      </c>
      <c r="M77" s="66" t="s">
        <v>66</v>
      </c>
      <c r="N77" s="66" t="s">
        <v>66</v>
      </c>
      <c r="O77" s="66" t="s">
        <v>66</v>
      </c>
    </row>
  </sheetData>
  <mergeCells count="8">
    <mergeCell ref="A2:O2"/>
    <mergeCell ref="C18:L18"/>
    <mergeCell ref="C39:E39"/>
    <mergeCell ref="C62:E62"/>
    <mergeCell ref="A4:F4"/>
    <mergeCell ref="A5:E5"/>
    <mergeCell ref="A6:E6"/>
    <mergeCell ref="A7:E7"/>
  </mergeCells>
  <phoneticPr fontId="3" type="noConversion"/>
  <conditionalFormatting sqref="C39 C62">
    <cfRule type="cellIs" dxfId="0" priority="1" stopIfTrue="1" operator="equal">
      <formula>"Error"</formula>
    </cfRule>
  </conditionalFormatting>
  <pageMargins left="0.75" right="0.75" top="1" bottom="1" header="0.5" footer="0.5"/>
  <pageSetup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showGridLines="0" workbookViewId="0">
      <selection activeCell="K18" sqref="K18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 x14ac:dyDescent="0.2"/>
    <row r="2" spans="2:12" ht="15.75" x14ac:dyDescent="0.25">
      <c r="B2" s="289" t="s">
        <v>141</v>
      </c>
      <c r="C2" s="289"/>
      <c r="D2" s="289"/>
      <c r="E2" s="289"/>
      <c r="F2" s="289"/>
      <c r="G2" s="289"/>
      <c r="H2" s="289"/>
      <c r="I2" s="289"/>
      <c r="J2" s="289"/>
      <c r="K2" s="289"/>
    </row>
    <row r="3" spans="2:12" ht="8.25" customHeight="1" x14ac:dyDescent="0.2"/>
    <row r="4" spans="2:12" x14ac:dyDescent="0.2">
      <c r="B4" s="300" t="s">
        <v>129</v>
      </c>
      <c r="C4" s="300"/>
      <c r="D4" s="300"/>
      <c r="E4" s="300"/>
      <c r="F4" s="300"/>
      <c r="G4" s="300"/>
      <c r="H4" s="300"/>
      <c r="I4" s="300"/>
      <c r="J4" s="300"/>
      <c r="K4" s="300"/>
    </row>
    <row r="5" spans="2:12" ht="51" x14ac:dyDescent="0.2">
      <c r="B5" s="77"/>
      <c r="C5" s="88" t="s">
        <v>121</v>
      </c>
      <c r="D5" s="88" t="s">
        <v>122</v>
      </c>
      <c r="E5" s="88" t="s">
        <v>123</v>
      </c>
      <c r="F5" s="88" t="s">
        <v>124</v>
      </c>
      <c r="G5" s="88" t="s">
        <v>131</v>
      </c>
      <c r="H5" s="88" t="s">
        <v>132</v>
      </c>
      <c r="I5" s="89" t="s">
        <v>133</v>
      </c>
      <c r="J5" s="77"/>
      <c r="K5" s="77"/>
    </row>
    <row r="6" spans="2:12" x14ac:dyDescent="0.2">
      <c r="B6" s="77" t="s">
        <v>69</v>
      </c>
      <c r="C6" s="80">
        <f>'Cost Allocation Sheet O1'!D38</f>
        <v>12066292.854692971</v>
      </c>
      <c r="D6" s="82">
        <f>C6/C$10</f>
        <v>0.63748159456285369</v>
      </c>
      <c r="E6" s="80">
        <f>'Cost Allocation Sheet O1'!D22</f>
        <v>217489.68270909949</v>
      </c>
      <c r="F6" s="82">
        <f>E6/E$10</f>
        <v>0.63397535310196096</v>
      </c>
      <c r="G6" s="80">
        <f>D6*G$10</f>
        <v>12876371.519516898</v>
      </c>
      <c r="H6" s="80">
        <f>F6*H$10</f>
        <v>234622.86662667993</v>
      </c>
      <c r="I6" s="76">
        <f>G6-H6</f>
        <v>12641748.652890218</v>
      </c>
      <c r="J6" s="77"/>
      <c r="K6" s="77"/>
    </row>
    <row r="7" spans="2:12" x14ac:dyDescent="0.2">
      <c r="B7" s="77" t="s">
        <v>70</v>
      </c>
      <c r="C7" s="80">
        <f>'Cost Allocation Sheet O1'!E38</f>
        <v>4569289.9169370215</v>
      </c>
      <c r="D7" s="82">
        <f>C7/C$10</f>
        <v>0.2414029111796408</v>
      </c>
      <c r="E7" s="80">
        <f>'Cost Allocation Sheet O1'!E22</f>
        <v>88132.624542482896</v>
      </c>
      <c r="F7" s="82">
        <f>E7/E$10</f>
        <v>0.25690373478017609</v>
      </c>
      <c r="G7" s="80">
        <f>D7*G$10</f>
        <v>4876052.2605731739</v>
      </c>
      <c r="H7" s="80">
        <f>F7*H$10</f>
        <v>95075.44797491713</v>
      </c>
      <c r="I7" s="76">
        <f>G7-H7</f>
        <v>4780976.8125982564</v>
      </c>
      <c r="J7" s="77"/>
      <c r="K7" s="77"/>
    </row>
    <row r="8" spans="2:12" x14ac:dyDescent="0.2">
      <c r="B8" s="77" t="s">
        <v>16</v>
      </c>
      <c r="C8" s="80">
        <f>'Cost Allocation Sheet O1'!O38</f>
        <v>1995674.5232473467</v>
      </c>
      <c r="D8" s="82">
        <f>C8/C$10</f>
        <v>0.1054346842587514</v>
      </c>
      <c r="E8" s="80">
        <f>'Cost Allocation Sheet O1'!O22</f>
        <v>32431.403221149769</v>
      </c>
      <c r="F8" s="82">
        <f>E8/E$10</f>
        <v>9.4536485835152048E-2</v>
      </c>
      <c r="G8" s="80">
        <f>D8*G$10</f>
        <v>2129655.4710565628</v>
      </c>
      <c r="H8" s="80">
        <f>F8*H$10</f>
        <v>34986.251750844742</v>
      </c>
      <c r="I8" s="76">
        <f>G8-H8</f>
        <v>2094669.2193057181</v>
      </c>
      <c r="J8" s="77"/>
      <c r="K8" s="77"/>
    </row>
    <row r="9" spans="2:12" x14ac:dyDescent="0.2">
      <c r="B9" s="77" t="s">
        <v>71</v>
      </c>
      <c r="C9" s="80">
        <f>'Cost Allocation Sheet O1'!J38</f>
        <v>296807.38590345148</v>
      </c>
      <c r="D9" s="82">
        <f>C9/C$10</f>
        <v>1.5680809998754087E-2</v>
      </c>
      <c r="E9" s="80">
        <f>'Cost Allocation Sheet O1'!J22</f>
        <v>5003.2895272679543</v>
      </c>
      <c r="F9" s="82">
        <f>E9/E$10</f>
        <v>1.4584426282710899E-2</v>
      </c>
      <c r="G9" s="80">
        <f>D9*G$10</f>
        <v>316733.74885336403</v>
      </c>
      <c r="H9" s="80">
        <f>F9*H$10</f>
        <v>5397.4336475582149</v>
      </c>
      <c r="I9" s="76">
        <f>G9-H9</f>
        <v>311336.31520580582</v>
      </c>
      <c r="J9" s="77"/>
      <c r="K9" s="77"/>
    </row>
    <row r="10" spans="2:12" x14ac:dyDescent="0.2">
      <c r="B10" s="77"/>
      <c r="C10" s="76">
        <f>SUM(C6:C9)</f>
        <v>18928064.680780791</v>
      </c>
      <c r="D10" s="82">
        <f>SUM(D6:D9)</f>
        <v>1</v>
      </c>
      <c r="E10" s="76">
        <f>SUM(E6:E9)</f>
        <v>343057.00000000012</v>
      </c>
      <c r="F10" s="82">
        <f>SUM(F6:F9)</f>
        <v>1</v>
      </c>
      <c r="G10" s="102">
        <v>20198813</v>
      </c>
      <c r="H10" s="102">
        <v>370082</v>
      </c>
      <c r="I10" s="76">
        <f>SUM(I6:I9)</f>
        <v>19828730.999999996</v>
      </c>
      <c r="J10" s="77"/>
      <c r="K10" s="77"/>
    </row>
    <row r="11" spans="2:12" x14ac:dyDescent="0.2">
      <c r="B11" s="301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2:12" x14ac:dyDescent="0.2">
      <c r="B12" s="301"/>
      <c r="C12" s="302"/>
      <c r="D12" s="302"/>
      <c r="E12" s="302"/>
      <c r="F12" s="302"/>
      <c r="G12" s="302"/>
      <c r="H12" s="302"/>
      <c r="I12" s="302"/>
      <c r="J12" s="302"/>
      <c r="K12" s="303"/>
    </row>
    <row r="13" spans="2:12" x14ac:dyDescent="0.2">
      <c r="B13" s="300" t="s">
        <v>130</v>
      </c>
      <c r="C13" s="300"/>
      <c r="D13" s="300"/>
      <c r="E13" s="300"/>
      <c r="F13" s="300"/>
      <c r="G13" s="300"/>
      <c r="H13" s="300"/>
      <c r="I13" s="300"/>
      <c r="J13" s="300"/>
      <c r="K13" s="300"/>
      <c r="L13" s="87"/>
    </row>
    <row r="14" spans="2:12" ht="51" x14ac:dyDescent="0.2">
      <c r="B14" s="77"/>
      <c r="C14" s="88" t="s">
        <v>146</v>
      </c>
      <c r="D14" s="88" t="s">
        <v>125</v>
      </c>
      <c r="E14" s="90" t="s">
        <v>147</v>
      </c>
      <c r="F14" s="88" t="s">
        <v>148</v>
      </c>
      <c r="G14" s="88" t="s">
        <v>127</v>
      </c>
      <c r="H14" s="90" t="s">
        <v>149</v>
      </c>
      <c r="I14" s="91" t="s">
        <v>150</v>
      </c>
      <c r="J14" s="92" t="s">
        <v>76</v>
      </c>
      <c r="K14" s="92" t="s">
        <v>136</v>
      </c>
    </row>
    <row r="15" spans="2:12" x14ac:dyDescent="0.2">
      <c r="B15" s="77" t="s">
        <v>69</v>
      </c>
      <c r="C15" s="80">
        <f>I6</f>
        <v>12641748.652890218</v>
      </c>
      <c r="D15" s="82">
        <f>C15/C$19</f>
        <v>0.63754703479966623</v>
      </c>
      <c r="E15" s="93">
        <f>1-(E16+E17+E18)</f>
        <v>0.72757959569365926</v>
      </c>
      <c r="F15" s="80">
        <f>E15*C$19</f>
        <v>14426980.084098326</v>
      </c>
      <c r="G15" s="80">
        <f>F15-C15</f>
        <v>1785231.4312081076</v>
      </c>
      <c r="H15" s="93">
        <f>F15/C15</f>
        <v>1.1412171274897132</v>
      </c>
      <c r="I15" s="94">
        <f>'Cost Allocation Sheet O1'!D73</f>
        <v>1.1671268758599544</v>
      </c>
      <c r="J15" s="71" t="s">
        <v>77</v>
      </c>
      <c r="K15" s="95" t="s">
        <v>92</v>
      </c>
    </row>
    <row r="16" spans="2:12" x14ac:dyDescent="0.2">
      <c r="B16" s="77" t="s">
        <v>70</v>
      </c>
      <c r="C16" s="80">
        <f>I7</f>
        <v>4780976.8125982564</v>
      </c>
      <c r="D16" s="82">
        <f>C16/C$19</f>
        <v>0.2411136049300511</v>
      </c>
      <c r="E16" s="93">
        <v>0.14418811810364002</v>
      </c>
      <c r="F16" s="80">
        <f>E16*C$19</f>
        <v>2859067.4072733074</v>
      </c>
      <c r="G16" s="80">
        <f>F16-C16</f>
        <v>-1921909.405324949</v>
      </c>
      <c r="H16" s="93">
        <f>F16/C16</f>
        <v>0.59800905115026626</v>
      </c>
      <c r="I16" s="94">
        <f>'Cost Allocation Sheet O1'!E73</f>
        <v>0.3951816709745824</v>
      </c>
      <c r="J16" s="71" t="s">
        <v>78</v>
      </c>
      <c r="K16" s="82">
        <f>I16+((0.8-I16)*1/2)</f>
        <v>0.59759083548729119</v>
      </c>
    </row>
    <row r="17" spans="2:12" x14ac:dyDescent="0.2">
      <c r="B17" s="77" t="s">
        <v>16</v>
      </c>
      <c r="C17" s="80">
        <f>I8</f>
        <v>2094669.2193057181</v>
      </c>
      <c r="D17" s="82">
        <f>C17/C$19</f>
        <v>0.10563808744521869</v>
      </c>
      <c r="E17" s="93">
        <v>0.12148084988219474</v>
      </c>
      <c r="F17" s="80">
        <f>E17*C$19</f>
        <v>2408811.0939654205</v>
      </c>
      <c r="G17" s="80">
        <f>F17-C17</f>
        <v>314141.87465970241</v>
      </c>
      <c r="H17" s="93">
        <f>F17/C17</f>
        <v>1.1499720680307821</v>
      </c>
      <c r="I17" s="94">
        <f>'Cost Allocation Sheet O1'!O73</f>
        <v>1.4993579205251439</v>
      </c>
      <c r="J17" s="71" t="s">
        <v>77</v>
      </c>
      <c r="K17" s="95">
        <v>1.1499999999999999</v>
      </c>
    </row>
    <row r="18" spans="2:12" x14ac:dyDescent="0.2">
      <c r="B18" s="77" t="s">
        <v>71</v>
      </c>
      <c r="C18" s="80">
        <f>I9</f>
        <v>311336.31520580582</v>
      </c>
      <c r="D18" s="82">
        <f>C18/C$19</f>
        <v>1.5701272825064089E-2</v>
      </c>
      <c r="E18" s="93">
        <v>6.7514363205059469E-3</v>
      </c>
      <c r="F18" s="80">
        <f>E18*C$19</f>
        <v>133872.41466294217</v>
      </c>
      <c r="G18" s="80">
        <f>F18-C18</f>
        <v>-177463.90054286364</v>
      </c>
      <c r="H18" s="93">
        <f>F18/C18</f>
        <v>0.42999293087427698</v>
      </c>
      <c r="I18" s="94">
        <f>'Cost Allocation Sheet O1'!J73</f>
        <v>0.15916143523003418</v>
      </c>
      <c r="J18" s="71" t="s">
        <v>79</v>
      </c>
      <c r="K18" s="82">
        <f>I18+((0.7-I18)*1/2)</f>
        <v>0.42958071761501709</v>
      </c>
    </row>
    <row r="19" spans="2:12" x14ac:dyDescent="0.2">
      <c r="B19" s="77"/>
      <c r="C19" s="80">
        <f>SUM(C15:C18)</f>
        <v>19828730.999999996</v>
      </c>
      <c r="D19" s="82">
        <f>SUM(D15:D18)</f>
        <v>1</v>
      </c>
      <c r="E19" s="93">
        <f>SUM(E15:E18)</f>
        <v>0.99999999999999989</v>
      </c>
      <c r="F19" s="80">
        <f>SUM(F15:F18)</f>
        <v>19828730.999999993</v>
      </c>
      <c r="G19" s="77"/>
      <c r="H19" s="96"/>
      <c r="I19" s="77"/>
      <c r="J19" s="97"/>
      <c r="K19" s="77"/>
      <c r="L19" s="86"/>
    </row>
  </sheetData>
  <mergeCells count="5">
    <mergeCell ref="B2:K2"/>
    <mergeCell ref="B4:K4"/>
    <mergeCell ref="B13:K13"/>
    <mergeCell ref="B11:K11"/>
    <mergeCell ref="B12:K12"/>
  </mergeCells>
  <phoneticPr fontId="3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D44" sqref="D44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3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1" max="11" width="9.5703125" customWidth="1"/>
  </cols>
  <sheetData>
    <row r="1" spans="2:10" ht="15.75" x14ac:dyDescent="0.25">
      <c r="B1" s="289" t="s">
        <v>160</v>
      </c>
      <c r="C1" s="289"/>
      <c r="D1" s="289"/>
      <c r="E1" s="289"/>
      <c r="F1" s="289"/>
      <c r="G1" s="289"/>
      <c r="H1" s="289"/>
      <c r="I1" s="289"/>
      <c r="J1" s="289"/>
    </row>
    <row r="2" spans="2:10" ht="6" customHeight="1" thickBot="1" x14ac:dyDescent="0.25"/>
    <row r="3" spans="2:10" x14ac:dyDescent="0.2">
      <c r="B3" s="304" t="s">
        <v>145</v>
      </c>
      <c r="C3" s="305"/>
      <c r="D3" s="305"/>
      <c r="E3" s="305"/>
      <c r="F3" s="305"/>
      <c r="G3" s="305"/>
      <c r="H3" s="305"/>
      <c r="I3" s="305"/>
      <c r="J3" s="306"/>
    </row>
    <row r="4" spans="2:10" ht="51" x14ac:dyDescent="0.2">
      <c r="B4" s="142"/>
      <c r="C4" s="88" t="s">
        <v>121</v>
      </c>
      <c r="D4" s="88" t="s">
        <v>122</v>
      </c>
      <c r="E4" s="88" t="s">
        <v>123</v>
      </c>
      <c r="F4" s="88" t="s">
        <v>124</v>
      </c>
      <c r="G4" s="88" t="s">
        <v>131</v>
      </c>
      <c r="H4" s="88" t="s">
        <v>132</v>
      </c>
      <c r="I4" s="89" t="s">
        <v>133</v>
      </c>
      <c r="J4" s="143"/>
    </row>
    <row r="5" spans="2:10" x14ac:dyDescent="0.2">
      <c r="B5" s="142" t="s">
        <v>69</v>
      </c>
      <c r="C5" s="80">
        <f>'Cost Allocation Sheet O1'!D38</f>
        <v>12066292.854692971</v>
      </c>
      <c r="D5" s="82">
        <f>C5/C$9</f>
        <v>0.63748159456285369</v>
      </c>
      <c r="E5" s="80">
        <f>'Cost Allocation Sheet O1'!D22</f>
        <v>217489.68270909949</v>
      </c>
      <c r="F5" s="82">
        <f>E5/E$9</f>
        <v>0.63397535310196096</v>
      </c>
      <c r="G5" s="80">
        <f>D5*G$9</f>
        <v>12876371.519516898</v>
      </c>
      <c r="H5" s="80">
        <f>F5*H$9</f>
        <v>234622.86662667993</v>
      </c>
      <c r="I5" s="76">
        <f>G5-H5</f>
        <v>12641748.652890218</v>
      </c>
      <c r="J5" s="143"/>
    </row>
    <row r="6" spans="2:10" x14ac:dyDescent="0.2">
      <c r="B6" s="142" t="s">
        <v>70</v>
      </c>
      <c r="C6" s="80">
        <f>'Cost Allocation Sheet O1'!E38</f>
        <v>4569289.9169370215</v>
      </c>
      <c r="D6" s="82">
        <f>C6/C$9</f>
        <v>0.2414029111796408</v>
      </c>
      <c r="E6" s="80">
        <f>'Cost Allocation Sheet O1'!E22</f>
        <v>88132.624542482896</v>
      </c>
      <c r="F6" s="82">
        <f>E6/E$9</f>
        <v>0.25690373478017609</v>
      </c>
      <c r="G6" s="80">
        <f>D6*G$9</f>
        <v>4876052.2605731739</v>
      </c>
      <c r="H6" s="80">
        <f>F6*H$9</f>
        <v>95075.44797491713</v>
      </c>
      <c r="I6" s="76">
        <f>G6-H6</f>
        <v>4780976.8125982564</v>
      </c>
      <c r="J6" s="143"/>
    </row>
    <row r="7" spans="2:10" x14ac:dyDescent="0.2">
      <c r="B7" s="142" t="s">
        <v>16</v>
      </c>
      <c r="C7" s="80">
        <f>'Cost Allocation Sheet O1'!O38</f>
        <v>1995674.5232473467</v>
      </c>
      <c r="D7" s="82">
        <f>C7/C$9</f>
        <v>0.1054346842587514</v>
      </c>
      <c r="E7" s="80">
        <f>'Cost Allocation Sheet O1'!O22</f>
        <v>32431.403221149769</v>
      </c>
      <c r="F7" s="82">
        <f>E7/E$9</f>
        <v>9.4536485835152048E-2</v>
      </c>
      <c r="G7" s="80">
        <f>D7*G$9</f>
        <v>2129655.4710565628</v>
      </c>
      <c r="H7" s="80">
        <f>F7*H$9</f>
        <v>34986.251750844742</v>
      </c>
      <c r="I7" s="76">
        <f>G7-H7</f>
        <v>2094669.2193057181</v>
      </c>
      <c r="J7" s="143"/>
    </row>
    <row r="8" spans="2:10" x14ac:dyDescent="0.2">
      <c r="B8" s="142" t="s">
        <v>71</v>
      </c>
      <c r="C8" s="80">
        <f>'Cost Allocation Sheet O1'!J38</f>
        <v>296807.38590345148</v>
      </c>
      <c r="D8" s="82">
        <f>C8/C$9</f>
        <v>1.5680809998754087E-2</v>
      </c>
      <c r="E8" s="80">
        <f>'Cost Allocation Sheet O1'!J22</f>
        <v>5003.2895272679543</v>
      </c>
      <c r="F8" s="82">
        <f>E8/E$9</f>
        <v>1.4584426282710899E-2</v>
      </c>
      <c r="G8" s="80">
        <f>D8*G$9</f>
        <v>316733.74885336403</v>
      </c>
      <c r="H8" s="80">
        <f>F8*H$9</f>
        <v>5397.4336475582149</v>
      </c>
      <c r="I8" s="76">
        <f>G8-H8</f>
        <v>311336.31520580582</v>
      </c>
      <c r="J8" s="143"/>
    </row>
    <row r="9" spans="2:10" ht="13.5" thickBot="1" x14ac:dyDescent="0.25">
      <c r="B9" s="144"/>
      <c r="C9" s="145">
        <f>SUM(C5:C8)</f>
        <v>18928064.680780791</v>
      </c>
      <c r="D9" s="146">
        <f>SUM(D5:D8)</f>
        <v>1</v>
      </c>
      <c r="E9" s="145">
        <f>SUM(E5:E8)</f>
        <v>343057.00000000012</v>
      </c>
      <c r="F9" s="146">
        <f>SUM(F5:F8)</f>
        <v>1</v>
      </c>
      <c r="G9" s="147">
        <v>20198813</v>
      </c>
      <c r="H9" s="147">
        <v>370082</v>
      </c>
      <c r="I9" s="145">
        <f>SUM(I5:I8)</f>
        <v>19828730.999999996</v>
      </c>
      <c r="J9" s="149"/>
    </row>
    <row r="10" spans="2:10" ht="6" customHeight="1" thickBot="1" x14ac:dyDescent="0.25">
      <c r="B10" s="307"/>
      <c r="C10" s="307"/>
      <c r="D10" s="307"/>
      <c r="E10" s="307"/>
      <c r="F10" s="307"/>
      <c r="G10" s="307"/>
      <c r="H10" s="307"/>
      <c r="I10" s="307"/>
      <c r="J10" s="307"/>
    </row>
    <row r="11" spans="2:10" x14ac:dyDescent="0.2">
      <c r="B11" s="304" t="s">
        <v>153</v>
      </c>
      <c r="C11" s="305"/>
      <c r="D11" s="305"/>
      <c r="E11" s="305"/>
      <c r="F11" s="305"/>
      <c r="G11" s="305"/>
      <c r="H11" s="305"/>
      <c r="I11" s="305"/>
      <c r="J11" s="306"/>
    </row>
    <row r="12" spans="2:10" ht="51" x14ac:dyDescent="0.2">
      <c r="B12" s="142"/>
      <c r="C12" s="88" t="s">
        <v>146</v>
      </c>
      <c r="D12" s="88" t="s">
        <v>125</v>
      </c>
      <c r="E12" s="90" t="s">
        <v>147</v>
      </c>
      <c r="F12" s="88" t="s">
        <v>148</v>
      </c>
      <c r="G12" s="88" t="s">
        <v>127</v>
      </c>
      <c r="H12" s="90" t="s">
        <v>149</v>
      </c>
      <c r="I12" s="91" t="s">
        <v>150</v>
      </c>
      <c r="J12" s="152" t="s">
        <v>76</v>
      </c>
    </row>
    <row r="13" spans="2:10" x14ac:dyDescent="0.2">
      <c r="B13" s="142" t="s">
        <v>69</v>
      </c>
      <c r="C13" s="150">
        <f>'2011 Cost Allocation Design'!C15</f>
        <v>12641748.652890218</v>
      </c>
      <c r="D13" s="151">
        <f>'2011 Cost Allocation Design'!D15</f>
        <v>0.63754703479966623</v>
      </c>
      <c r="E13" s="151">
        <f>'2011 Cost Allocation Design'!E15</f>
        <v>0.72757959569365926</v>
      </c>
      <c r="F13" s="150">
        <f>'2011 Cost Allocation Design'!F15</f>
        <v>14426980.084098326</v>
      </c>
      <c r="G13" s="150">
        <f>'2011 Cost Allocation Design'!G15</f>
        <v>1785231.4312081076</v>
      </c>
      <c r="H13" s="151">
        <f>'2011 Cost Allocation Design'!H15</f>
        <v>1.1412171274897132</v>
      </c>
      <c r="I13" s="151">
        <f>'2011 Cost Allocation Design'!I15</f>
        <v>1.1671268758599544</v>
      </c>
      <c r="J13" s="172" t="str">
        <f>'2011 Cost Allocation Design'!J15</f>
        <v>85-115%</v>
      </c>
    </row>
    <row r="14" spans="2:10" x14ac:dyDescent="0.2">
      <c r="B14" s="142" t="s">
        <v>70</v>
      </c>
      <c r="C14" s="150">
        <f>'2011 Cost Allocation Design'!C16</f>
        <v>4780976.8125982564</v>
      </c>
      <c r="D14" s="151">
        <f>'2011 Cost Allocation Design'!D16</f>
        <v>0.2411136049300511</v>
      </c>
      <c r="E14" s="151">
        <f>'2011 Cost Allocation Design'!E16</f>
        <v>0.14418811810364002</v>
      </c>
      <c r="F14" s="150">
        <f>'2011 Cost Allocation Design'!F16</f>
        <v>2859067.4072733074</v>
      </c>
      <c r="G14" s="150">
        <f>'2011 Cost Allocation Design'!G16</f>
        <v>-1921909.405324949</v>
      </c>
      <c r="H14" s="151">
        <f>'2011 Cost Allocation Design'!H16</f>
        <v>0.59800905115026626</v>
      </c>
      <c r="I14" s="151">
        <f>'2011 Cost Allocation Design'!I16</f>
        <v>0.3951816709745824</v>
      </c>
      <c r="J14" s="172" t="str">
        <f>'2011 Cost Allocation Design'!J16</f>
        <v>80-180%</v>
      </c>
    </row>
    <row r="15" spans="2:10" x14ac:dyDescent="0.2">
      <c r="B15" s="142" t="s">
        <v>16</v>
      </c>
      <c r="C15" s="150">
        <f>'2011 Cost Allocation Design'!C17</f>
        <v>2094669.2193057181</v>
      </c>
      <c r="D15" s="151">
        <f>'2011 Cost Allocation Design'!D17</f>
        <v>0.10563808744521869</v>
      </c>
      <c r="E15" s="151">
        <f>'2011 Cost Allocation Design'!E17</f>
        <v>0.12148084988219474</v>
      </c>
      <c r="F15" s="150">
        <f>'2011 Cost Allocation Design'!F17</f>
        <v>2408811.0939654205</v>
      </c>
      <c r="G15" s="150">
        <f>'2011 Cost Allocation Design'!G17</f>
        <v>314141.87465970241</v>
      </c>
      <c r="H15" s="151">
        <f>'2011 Cost Allocation Design'!H17</f>
        <v>1.1499720680307821</v>
      </c>
      <c r="I15" s="151">
        <f>'2011 Cost Allocation Design'!I17</f>
        <v>1.4993579205251439</v>
      </c>
      <c r="J15" s="172" t="str">
        <f>'2011 Cost Allocation Design'!J17</f>
        <v>85-115%</v>
      </c>
    </row>
    <row r="16" spans="2:10" x14ac:dyDescent="0.2">
      <c r="B16" s="142" t="s">
        <v>71</v>
      </c>
      <c r="C16" s="150">
        <f>'2011 Cost Allocation Design'!C18</f>
        <v>311336.31520580582</v>
      </c>
      <c r="D16" s="151">
        <f>'2011 Cost Allocation Design'!D18</f>
        <v>1.5701272825064089E-2</v>
      </c>
      <c r="E16" s="151">
        <f>'2011 Cost Allocation Design'!E18</f>
        <v>6.7514363205059469E-3</v>
      </c>
      <c r="F16" s="150">
        <f>'2011 Cost Allocation Design'!F18</f>
        <v>133872.41466294217</v>
      </c>
      <c r="G16" s="150">
        <f>'2011 Cost Allocation Design'!G18</f>
        <v>-177463.90054286364</v>
      </c>
      <c r="H16" s="151">
        <f>'2011 Cost Allocation Design'!H18</f>
        <v>0.42999293087427698</v>
      </c>
      <c r="I16" s="151">
        <f>'2011 Cost Allocation Design'!I18</f>
        <v>0.15916143523003418</v>
      </c>
      <c r="J16" s="172" t="str">
        <f>'2011 Cost Allocation Design'!J18</f>
        <v>70-120%</v>
      </c>
    </row>
    <row r="17" spans="2:11" ht="13.5" thickBot="1" x14ac:dyDescent="0.25">
      <c r="B17" s="144"/>
      <c r="C17" s="154">
        <f>SUM(C13:C16)</f>
        <v>19828730.999999996</v>
      </c>
      <c r="D17" s="146">
        <f>SUM(D13:D16)</f>
        <v>1</v>
      </c>
      <c r="E17" s="148"/>
      <c r="F17" s="154">
        <f>SUM(F13:F16)</f>
        <v>19828730.999999993</v>
      </c>
      <c r="G17" s="148"/>
      <c r="H17" s="148"/>
      <c r="I17" s="148"/>
      <c r="J17" s="149"/>
    </row>
    <row r="18" spans="2:11" ht="6" customHeight="1" thickBot="1" x14ac:dyDescent="0.25">
      <c r="B18" s="153"/>
      <c r="C18" s="153"/>
      <c r="D18" s="153"/>
      <c r="E18" s="153"/>
      <c r="F18" s="153"/>
      <c r="G18" s="153"/>
      <c r="H18" s="153"/>
      <c r="I18" s="153"/>
      <c r="J18" s="153"/>
    </row>
    <row r="19" spans="2:11" x14ac:dyDescent="0.2">
      <c r="B19" s="304" t="s">
        <v>198</v>
      </c>
      <c r="C19" s="305"/>
      <c r="D19" s="305"/>
      <c r="E19" s="305"/>
      <c r="F19" s="305"/>
      <c r="G19" s="305"/>
      <c r="H19" s="305"/>
      <c r="I19" s="305"/>
      <c r="J19" s="306"/>
      <c r="K19" s="87"/>
    </row>
    <row r="20" spans="2:11" ht="51" x14ac:dyDescent="0.2">
      <c r="B20" s="142"/>
      <c r="C20" s="88" t="s">
        <v>154</v>
      </c>
      <c r="D20" s="88" t="s">
        <v>125</v>
      </c>
      <c r="E20" s="90" t="s">
        <v>75</v>
      </c>
      <c r="F20" s="88" t="s">
        <v>126</v>
      </c>
      <c r="G20" s="88" t="s">
        <v>127</v>
      </c>
      <c r="H20" s="90" t="s">
        <v>74</v>
      </c>
      <c r="I20" s="91" t="s">
        <v>128</v>
      </c>
      <c r="J20" s="152" t="s">
        <v>76</v>
      </c>
    </row>
    <row r="21" spans="2:11" x14ac:dyDescent="0.2">
      <c r="B21" s="142" t="s">
        <v>69</v>
      </c>
      <c r="C21" s="80">
        <f>C13/C17*C25</f>
        <v>12689787.297771201</v>
      </c>
      <c r="D21" s="82">
        <f>C21/C$25</f>
        <v>0.63754703479966623</v>
      </c>
      <c r="E21" s="93">
        <v>0.72757959569365926</v>
      </c>
      <c r="F21" s="80">
        <f>E21*C$25</f>
        <v>14481802.608417898</v>
      </c>
      <c r="G21" s="80">
        <f>F21-C21</f>
        <v>1792015.3106466979</v>
      </c>
      <c r="H21" s="93">
        <f>F21/C21</f>
        <v>1.1412171274897132</v>
      </c>
      <c r="I21" s="94">
        <f>'Cost Allocation Sheet O1'!D73</f>
        <v>1.1671268758599544</v>
      </c>
      <c r="J21" s="173" t="s">
        <v>77</v>
      </c>
    </row>
    <row r="22" spans="2:11" x14ac:dyDescent="0.2">
      <c r="B22" s="142" t="s">
        <v>70</v>
      </c>
      <c r="C22" s="80">
        <f>C14/C17*C25</f>
        <v>4799144.5244861292</v>
      </c>
      <c r="D22" s="82">
        <f>C22/C$25</f>
        <v>0.24111360493005107</v>
      </c>
      <c r="E22" s="93">
        <v>0.14418811810364002</v>
      </c>
      <c r="F22" s="80">
        <f>E22*C$25</f>
        <v>2869931.8634209461</v>
      </c>
      <c r="G22" s="80">
        <f>F22-C22</f>
        <v>-1929212.6610651831</v>
      </c>
      <c r="H22" s="93">
        <f>F22/C22</f>
        <v>0.59800905115026626</v>
      </c>
      <c r="I22" s="94">
        <f>'Cost Allocation Sheet O1'!E73</f>
        <v>0.3951816709745824</v>
      </c>
      <c r="J22" s="173" t="s">
        <v>78</v>
      </c>
    </row>
    <row r="23" spans="2:11" x14ac:dyDescent="0.2">
      <c r="B23" s="142" t="s">
        <v>16</v>
      </c>
      <c r="C23" s="80">
        <f>C15/C17*C25</f>
        <v>2102628.9623390799</v>
      </c>
      <c r="D23" s="82">
        <f>C23/C$25</f>
        <v>0.10563808744521869</v>
      </c>
      <c r="E23" s="93">
        <v>0.12148084988219474</v>
      </c>
      <c r="F23" s="80">
        <f>E23*C$25</f>
        <v>2417964.5761224893</v>
      </c>
      <c r="G23" s="80">
        <f>F23-C23</f>
        <v>315335.61378340935</v>
      </c>
      <c r="H23" s="93">
        <f>F23/C23</f>
        <v>1.1499720680307821</v>
      </c>
      <c r="I23" s="94">
        <f>'Cost Allocation Sheet O1'!O73</f>
        <v>1.4993579205251439</v>
      </c>
      <c r="J23" s="173" t="s">
        <v>77</v>
      </c>
    </row>
    <row r="24" spans="2:11" x14ac:dyDescent="0.2">
      <c r="B24" s="142" t="s">
        <v>71</v>
      </c>
      <c r="C24" s="80">
        <f>C16/C17*C25</f>
        <v>312519.39320358785</v>
      </c>
      <c r="D24" s="82">
        <f>C24/C$25</f>
        <v>1.5701272825064089E-2</v>
      </c>
      <c r="E24" s="93">
        <v>6.7514363205059469E-3</v>
      </c>
      <c r="F24" s="80">
        <f>E24*C$25</f>
        <v>134381.12983866135</v>
      </c>
      <c r="G24" s="80">
        <f>F24-C24</f>
        <v>-178138.2633649265</v>
      </c>
      <c r="H24" s="93">
        <f>F24/C24</f>
        <v>0.42999293087427704</v>
      </c>
      <c r="I24" s="94">
        <f>'Cost Allocation Sheet O1'!J73</f>
        <v>0.15916143523003418</v>
      </c>
      <c r="J24" s="173" t="s">
        <v>79</v>
      </c>
    </row>
    <row r="25" spans="2:11" ht="13.5" thickBot="1" x14ac:dyDescent="0.25">
      <c r="B25" s="144"/>
      <c r="C25" s="154">
        <f>'Allocated Revenues'!M32</f>
        <v>19904080.177799996</v>
      </c>
      <c r="D25" s="146">
        <f>SUM(D21:D24)</f>
        <v>1</v>
      </c>
      <c r="E25" s="155">
        <f>SUM(E21:E24)</f>
        <v>0.99999999999999989</v>
      </c>
      <c r="F25" s="154">
        <f>SUM(F21:F24)</f>
        <v>19904080.177799992</v>
      </c>
      <c r="G25" s="148"/>
      <c r="H25" s="156"/>
      <c r="I25" s="148"/>
      <c r="J25" s="174"/>
      <c r="K25" s="86"/>
    </row>
    <row r="26" spans="2:11" ht="6" customHeight="1" thickBot="1" x14ac:dyDescent="0.25"/>
    <row r="27" spans="2:11" x14ac:dyDescent="0.2">
      <c r="B27" s="304" t="s">
        <v>199</v>
      </c>
      <c r="C27" s="305"/>
      <c r="D27" s="305"/>
      <c r="E27" s="305"/>
      <c r="F27" s="305"/>
      <c r="G27" s="305"/>
      <c r="H27" s="305"/>
      <c r="I27" s="305"/>
      <c r="J27" s="306"/>
    </row>
    <row r="28" spans="2:11" ht="51" x14ac:dyDescent="0.2">
      <c r="B28" s="142"/>
      <c r="C28" s="88" t="s">
        <v>165</v>
      </c>
      <c r="D28" s="88" t="s">
        <v>125</v>
      </c>
      <c r="E28" s="90" t="s">
        <v>75</v>
      </c>
      <c r="F28" s="88" t="s">
        <v>126</v>
      </c>
      <c r="G28" s="88" t="s">
        <v>127</v>
      </c>
      <c r="H28" s="90" t="s">
        <v>74</v>
      </c>
      <c r="I28" s="91" t="s">
        <v>128</v>
      </c>
      <c r="J28" s="152" t="s">
        <v>76</v>
      </c>
    </row>
    <row r="29" spans="2:11" ht="12.75" customHeight="1" x14ac:dyDescent="0.2">
      <c r="B29" s="142" t="s">
        <v>69</v>
      </c>
      <c r="C29" s="80">
        <f>C13/C17*C33</f>
        <v>12801457.425991585</v>
      </c>
      <c r="D29" s="82">
        <f>C29/C$33</f>
        <v>0.63754703479966623</v>
      </c>
      <c r="E29" s="93">
        <v>0.72757959569365926</v>
      </c>
      <c r="F29" s="80">
        <f>E29*C$33</f>
        <v>14609242.471371973</v>
      </c>
      <c r="G29" s="80">
        <f>F29-C29</f>
        <v>1807785.0453803875</v>
      </c>
      <c r="H29" s="93">
        <f>F29/C29</f>
        <v>1.1412171274897129</v>
      </c>
      <c r="I29" s="94">
        <f>'Cost Allocation Sheet O1'!D82</f>
        <v>0</v>
      </c>
      <c r="J29" s="173" t="s">
        <v>77</v>
      </c>
    </row>
    <row r="30" spans="2:11" x14ac:dyDescent="0.2">
      <c r="B30" s="142" t="s">
        <v>70</v>
      </c>
      <c r="C30" s="80">
        <f>C14/C17*C33</f>
        <v>4841376.9963016063</v>
      </c>
      <c r="D30" s="82">
        <f>C30/C$33</f>
        <v>0.2411136049300511</v>
      </c>
      <c r="E30" s="93">
        <v>0.14418811810364002</v>
      </c>
      <c r="F30" s="80">
        <f>E30*C$33</f>
        <v>2895187.2638190496</v>
      </c>
      <c r="G30" s="80">
        <f>F30-C30</f>
        <v>-1946189.7324825567</v>
      </c>
      <c r="H30" s="93">
        <f>F30/C30</f>
        <v>0.59800905115026626</v>
      </c>
      <c r="I30" s="94">
        <f>'Cost Allocation Sheet O1'!E82</f>
        <v>0</v>
      </c>
      <c r="J30" s="173" t="s">
        <v>78</v>
      </c>
    </row>
    <row r="31" spans="2:11" x14ac:dyDescent="0.2">
      <c r="B31" s="142" t="s">
        <v>16</v>
      </c>
      <c r="C31" s="80">
        <f>C15/C17*C33</f>
        <v>2121132.0972076636</v>
      </c>
      <c r="D31" s="82">
        <f>C31/C$33</f>
        <v>0.1056380874452187</v>
      </c>
      <c r="E31" s="93">
        <v>0.12148084988219474</v>
      </c>
      <c r="F31" s="80">
        <f>E31*C$33</f>
        <v>2439242.6643923665</v>
      </c>
      <c r="G31" s="80">
        <f>F31-C31</f>
        <v>318110.56718470296</v>
      </c>
      <c r="H31" s="93">
        <f>F31/C31</f>
        <v>1.1499720680307819</v>
      </c>
      <c r="I31" s="94">
        <f>'Cost Allocation Sheet O1'!O82</f>
        <v>0</v>
      </c>
      <c r="J31" s="173" t="s">
        <v>77</v>
      </c>
    </row>
    <row r="32" spans="2:11" x14ac:dyDescent="0.2">
      <c r="B32" s="142" t="s">
        <v>71</v>
      </c>
      <c r="C32" s="80">
        <f>C16/C17*C33</f>
        <v>315269.56386377936</v>
      </c>
      <c r="D32" s="82">
        <f>C32/C$33</f>
        <v>1.5701272825064089E-2</v>
      </c>
      <c r="E32" s="93">
        <v>6.7514363205059469E-3</v>
      </c>
      <c r="F32" s="80">
        <f>E32*C$33</f>
        <v>135563.68378124156</v>
      </c>
      <c r="G32" s="80">
        <f>F32-C32</f>
        <v>-179705.8800825378</v>
      </c>
      <c r="H32" s="93">
        <f>F32/C32</f>
        <v>0.42999293087427709</v>
      </c>
      <c r="I32" s="94">
        <f>'Cost Allocation Sheet O1'!J82</f>
        <v>0</v>
      </c>
      <c r="J32" s="173" t="s">
        <v>79</v>
      </c>
    </row>
    <row r="33" spans="2:10" ht="13.5" thickBot="1" x14ac:dyDescent="0.25">
      <c r="B33" s="144"/>
      <c r="C33" s="154">
        <f>'Allocated Revenues'!M52</f>
        <v>20079236.083364632</v>
      </c>
      <c r="D33" s="146">
        <f>SUM(D29:D32)</f>
        <v>1.0000000000000002</v>
      </c>
      <c r="E33" s="155">
        <f>SUM(E29:E32)</f>
        <v>0.99999999999999989</v>
      </c>
      <c r="F33" s="154">
        <f>SUM(F29:F32)</f>
        <v>20079236.083364628</v>
      </c>
      <c r="G33" s="148"/>
      <c r="H33" s="156"/>
      <c r="I33" s="148"/>
      <c r="J33" s="174"/>
    </row>
    <row r="34" spans="2:10" ht="6" customHeight="1" thickBot="1" x14ac:dyDescent="0.25"/>
    <row r="35" spans="2:10" x14ac:dyDescent="0.2">
      <c r="B35" s="304" t="s">
        <v>200</v>
      </c>
      <c r="C35" s="305"/>
      <c r="D35" s="305"/>
      <c r="E35" s="305"/>
      <c r="F35" s="305"/>
      <c r="G35" s="305"/>
      <c r="H35" s="305"/>
      <c r="I35" s="305"/>
      <c r="J35" s="306"/>
    </row>
    <row r="36" spans="2:10" ht="51" x14ac:dyDescent="0.2">
      <c r="B36" s="142"/>
      <c r="C36" s="211" t="s">
        <v>201</v>
      </c>
      <c r="D36" s="88" t="s">
        <v>125</v>
      </c>
      <c r="E36" s="90" t="s">
        <v>75</v>
      </c>
      <c r="F36" s="88" t="s">
        <v>126</v>
      </c>
      <c r="G36" s="88" t="s">
        <v>127</v>
      </c>
      <c r="H36" s="90" t="s">
        <v>74</v>
      </c>
      <c r="I36" s="91" t="s">
        <v>128</v>
      </c>
      <c r="J36" s="152" t="s">
        <v>76</v>
      </c>
    </row>
    <row r="37" spans="2:10" x14ac:dyDescent="0.2">
      <c r="B37" s="142" t="s">
        <v>69</v>
      </c>
      <c r="C37" s="80">
        <f>C13/C17*C41</f>
        <v>12980677.82995547</v>
      </c>
      <c r="D37" s="82">
        <f>C37/C$41</f>
        <v>0.63754703479966623</v>
      </c>
      <c r="E37" s="93">
        <v>0.72757959569365926</v>
      </c>
      <c r="F37" s="80">
        <f>E37*C$41</f>
        <v>14813771.865971183</v>
      </c>
      <c r="G37" s="80">
        <f>F37-C37</f>
        <v>1833094.0360157136</v>
      </c>
      <c r="H37" s="93">
        <f>F37/C37</f>
        <v>1.1412171274897132</v>
      </c>
      <c r="I37" s="94">
        <f>'Cost Allocation Sheet O1'!D91</f>
        <v>0</v>
      </c>
      <c r="J37" s="173" t="s">
        <v>77</v>
      </c>
    </row>
    <row r="38" spans="2:10" x14ac:dyDescent="0.2">
      <c r="B38" s="142" t="s">
        <v>70</v>
      </c>
      <c r="C38" s="80">
        <f>C14/C17*C41</f>
        <v>4909156.2742498303</v>
      </c>
      <c r="D38" s="82">
        <f>C38/C$41</f>
        <v>0.24111360493005113</v>
      </c>
      <c r="E38" s="93">
        <v>0.14418811810364002</v>
      </c>
      <c r="F38" s="80">
        <f>E38*C$41</f>
        <v>2935719.8855125168</v>
      </c>
      <c r="G38" s="80">
        <f>F38-C38</f>
        <v>-1973436.3887373134</v>
      </c>
      <c r="H38" s="93">
        <f>F38/C38</f>
        <v>0.59800905115026615</v>
      </c>
      <c r="I38" s="94">
        <f>'Cost Allocation Sheet O1'!E91</f>
        <v>0</v>
      </c>
      <c r="J38" s="173" t="s">
        <v>78</v>
      </c>
    </row>
    <row r="39" spans="2:10" x14ac:dyDescent="0.2">
      <c r="B39" s="142" t="s">
        <v>16</v>
      </c>
      <c r="C39" s="212">
        <f>C15/C17*C41</f>
        <v>2150827.946568571</v>
      </c>
      <c r="D39" s="82">
        <f>C39/C$41</f>
        <v>0.10563808744521869</v>
      </c>
      <c r="E39" s="93">
        <v>0.12148084988219474</v>
      </c>
      <c r="F39" s="80">
        <f>E39*C$41</f>
        <v>2473392.0616938602</v>
      </c>
      <c r="G39" s="80">
        <f>F39-C39</f>
        <v>322564.11512528919</v>
      </c>
      <c r="H39" s="93">
        <f>F39/C39</f>
        <v>1.1499720680307821</v>
      </c>
      <c r="I39" s="94">
        <f>'Cost Allocation Sheet O1'!O91</f>
        <v>0</v>
      </c>
      <c r="J39" s="173" t="s">
        <v>77</v>
      </c>
    </row>
    <row r="40" spans="2:10" x14ac:dyDescent="0.2">
      <c r="B40" s="142" t="s">
        <v>71</v>
      </c>
      <c r="C40" s="80">
        <f>C16/C17*C41</f>
        <v>319683.33775787236</v>
      </c>
      <c r="D40" s="82">
        <f>C40/C$41</f>
        <v>1.5701272825064089E-2</v>
      </c>
      <c r="E40" s="93">
        <v>6.7514363205059469E-3</v>
      </c>
      <c r="F40" s="80">
        <f>E40*C$41</f>
        <v>137461.57535417896</v>
      </c>
      <c r="G40" s="80">
        <f>F40-C40</f>
        <v>-182221.7624036934</v>
      </c>
      <c r="H40" s="93">
        <f>F40/C40</f>
        <v>0.42999293087427704</v>
      </c>
      <c r="I40" s="94">
        <f>'Cost Allocation Sheet O1'!J91</f>
        <v>0</v>
      </c>
      <c r="J40" s="173" t="s">
        <v>79</v>
      </c>
    </row>
    <row r="41" spans="2:10" ht="13.5" thickBot="1" x14ac:dyDescent="0.25">
      <c r="B41" s="144"/>
      <c r="C41" s="154">
        <f>'Allocated Revenues'!M72</f>
        <v>20360345.388531741</v>
      </c>
      <c r="D41" s="146">
        <f>SUM(D37:D40)</f>
        <v>1.0000000000000002</v>
      </c>
      <c r="E41" s="155">
        <f>SUM(E37:E40)</f>
        <v>0.99999999999999989</v>
      </c>
      <c r="F41" s="154">
        <f>SUM(F37:F40)</f>
        <v>20360345.388531741</v>
      </c>
      <c r="G41" s="148"/>
      <c r="H41" s="156"/>
      <c r="I41" s="148"/>
      <c r="J41" s="174"/>
    </row>
  </sheetData>
  <mergeCells count="7">
    <mergeCell ref="B35:J35"/>
    <mergeCell ref="B27:J27"/>
    <mergeCell ref="B1:J1"/>
    <mergeCell ref="B3:J3"/>
    <mergeCell ref="B10:J10"/>
    <mergeCell ref="B19:J19"/>
    <mergeCell ref="B11:J11"/>
  </mergeCells>
  <pageMargins left="0.75" right="0.75" top="1" bottom="1" header="0.5" footer="0.5"/>
  <pageSetup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2"/>
  <sheetViews>
    <sheetView showGridLines="0" topLeftCell="A43" workbookViewId="0">
      <selection activeCell="K70" sqref="K70"/>
    </sheetView>
  </sheetViews>
  <sheetFormatPr defaultRowHeight="12.75" x14ac:dyDescent="0.2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 ht="15.75" x14ac:dyDescent="0.25">
      <c r="B2" s="289" t="s">
        <v>141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3" spans="2:13" ht="15.75" x14ac:dyDescent="0.25">
      <c r="B3" s="289" t="s">
        <v>155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</row>
    <row r="5" spans="2:13" x14ac:dyDescent="0.2">
      <c r="B5" s="300" t="s">
        <v>116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</row>
    <row r="6" spans="2:13" x14ac:dyDescent="0.2">
      <c r="B6" s="311" t="s">
        <v>80</v>
      </c>
      <c r="C6" s="311" t="s">
        <v>81</v>
      </c>
      <c r="D6" s="312" t="s">
        <v>82</v>
      </c>
      <c r="E6" s="300" t="s">
        <v>83</v>
      </c>
      <c r="F6" s="300"/>
      <c r="G6" s="313" t="s">
        <v>93</v>
      </c>
      <c r="H6" s="314"/>
      <c r="I6" s="300" t="s">
        <v>91</v>
      </c>
      <c r="J6" s="300"/>
      <c r="K6" s="300" t="s">
        <v>84</v>
      </c>
      <c r="L6" s="300"/>
      <c r="M6" s="300"/>
    </row>
    <row r="7" spans="2:13" ht="38.25" x14ac:dyDescent="0.2">
      <c r="B7" s="311"/>
      <c r="C7" s="311"/>
      <c r="D7" s="312"/>
      <c r="E7" s="68" t="s">
        <v>73</v>
      </c>
      <c r="F7" s="68" t="s">
        <v>72</v>
      </c>
      <c r="G7" s="69" t="s">
        <v>89</v>
      </c>
      <c r="H7" s="69" t="s">
        <v>90</v>
      </c>
      <c r="I7" s="69" t="s">
        <v>85</v>
      </c>
      <c r="J7" s="69" t="s">
        <v>86</v>
      </c>
      <c r="K7" s="69" t="s">
        <v>87</v>
      </c>
      <c r="L7" s="69" t="s">
        <v>88</v>
      </c>
      <c r="M7" s="69" t="s">
        <v>21</v>
      </c>
    </row>
    <row r="8" spans="2:13" x14ac:dyDescent="0.2">
      <c r="B8" s="70" t="s">
        <v>69</v>
      </c>
      <c r="C8" s="71" t="s">
        <v>73</v>
      </c>
      <c r="D8" s="72">
        <v>8039</v>
      </c>
      <c r="E8" s="80">
        <v>106119297</v>
      </c>
      <c r="F8" s="80"/>
      <c r="G8" s="82">
        <v>0.13646721756898086</v>
      </c>
      <c r="H8" s="82">
        <f>1-G8</f>
        <v>0.86353278243101916</v>
      </c>
      <c r="I8" s="83">
        <f>K8/(D8*12)</f>
        <v>20.408942136252438</v>
      </c>
      <c r="J8" s="81">
        <f>L8/E8</f>
        <v>0.11739778349736266</v>
      </c>
      <c r="K8" s="80">
        <f>G8*M8</f>
        <v>1968809.83</v>
      </c>
      <c r="L8" s="80">
        <f>H8*M8</f>
        <v>12458170.254098326</v>
      </c>
      <c r="M8" s="76">
        <f>'2011 Cost Allocation Design'!F15</f>
        <v>14426980.084098326</v>
      </c>
    </row>
    <row r="9" spans="2:13" x14ac:dyDescent="0.2">
      <c r="B9" s="70" t="s">
        <v>70</v>
      </c>
      <c r="C9" s="71" t="s">
        <v>72</v>
      </c>
      <c r="D9" s="72">
        <v>48</v>
      </c>
      <c r="E9" s="80"/>
      <c r="F9" s="80">
        <v>151952</v>
      </c>
      <c r="G9" s="82">
        <v>0.12009689562634947</v>
      </c>
      <c r="H9" s="82">
        <f>1-G9</f>
        <v>0.87990310437365049</v>
      </c>
      <c r="I9" s="83">
        <f>K9/(D9*12)</f>
        <v>596.12</v>
      </c>
      <c r="J9" s="81">
        <f>L9/F9</f>
        <v>16.555901121889196</v>
      </c>
      <c r="K9" s="80">
        <f>G9*M9</f>
        <v>343365.12</v>
      </c>
      <c r="L9" s="80">
        <f>H9*M9</f>
        <v>2515702.2872733073</v>
      </c>
      <c r="M9" s="76">
        <f>'2011 Cost Allocation Design'!F16</f>
        <v>2859067.4072733074</v>
      </c>
    </row>
    <row r="10" spans="2:13" x14ac:dyDescent="0.2">
      <c r="B10" s="70" t="s">
        <v>16</v>
      </c>
      <c r="C10" s="71" t="s">
        <v>73</v>
      </c>
      <c r="D10" s="72">
        <v>3660</v>
      </c>
      <c r="E10" s="80">
        <v>12622297</v>
      </c>
      <c r="F10" s="80"/>
      <c r="G10" s="82">
        <v>0.43756357758419173</v>
      </c>
      <c r="H10" s="82">
        <f>1-G10</f>
        <v>0.56243642241580827</v>
      </c>
      <c r="I10" s="83">
        <f>K10/(D10*12)</f>
        <v>23.998360655737706</v>
      </c>
      <c r="J10" s="81">
        <f>L10/E10</f>
        <v>0.10733411628370181</v>
      </c>
      <c r="K10" s="80">
        <f>G10*M10</f>
        <v>1054008</v>
      </c>
      <c r="L10" s="80">
        <f>H10*M10</f>
        <v>1354803.0939654205</v>
      </c>
      <c r="M10" s="76">
        <f>'2011 Cost Allocation Design'!F17</f>
        <v>2408811.0939654205</v>
      </c>
    </row>
    <row r="11" spans="2:13" x14ac:dyDescent="0.2">
      <c r="B11" s="70" t="s">
        <v>71</v>
      </c>
      <c r="C11" s="71" t="s">
        <v>73</v>
      </c>
      <c r="D11" s="72">
        <v>1052</v>
      </c>
      <c r="E11" s="80">
        <v>791996</v>
      </c>
      <c r="F11" s="80"/>
      <c r="G11" s="82">
        <v>0</v>
      </c>
      <c r="H11" s="82">
        <f>1-G11</f>
        <v>1</v>
      </c>
      <c r="I11" s="83">
        <f>K11/(D11*12)</f>
        <v>0</v>
      </c>
      <c r="J11" s="81">
        <f>L11/E11</f>
        <v>0.16903168028997895</v>
      </c>
      <c r="K11" s="80">
        <f>G11*M11</f>
        <v>0</v>
      </c>
      <c r="L11" s="80">
        <f>H11*M11</f>
        <v>133872.41466294217</v>
      </c>
      <c r="M11" s="76">
        <f>'2011 Cost Allocation Design'!F18</f>
        <v>133872.41466294217</v>
      </c>
    </row>
    <row r="12" spans="2:13" x14ac:dyDescent="0.2">
      <c r="B12" s="77"/>
      <c r="C12" s="77"/>
      <c r="D12" s="77"/>
      <c r="E12" s="77"/>
      <c r="F12" s="77"/>
      <c r="G12" s="77"/>
      <c r="H12" s="77"/>
      <c r="I12" s="77"/>
      <c r="J12" s="77"/>
      <c r="K12" s="78">
        <f>SUM(K8:K11)</f>
        <v>3366182.95</v>
      </c>
      <c r="L12" s="78">
        <f>SUM(L8:L11)</f>
        <v>16462548.049999995</v>
      </c>
      <c r="M12" s="78">
        <f>SUM(M8:M11)</f>
        <v>19828730.999999993</v>
      </c>
    </row>
    <row r="14" spans="2:13" x14ac:dyDescent="0.2">
      <c r="M14" s="79"/>
    </row>
    <row r="15" spans="2:13" ht="33" customHeight="1" x14ac:dyDescent="0.25">
      <c r="B15" s="308" t="s">
        <v>161</v>
      </c>
      <c r="C15" s="309"/>
      <c r="D15" s="309"/>
      <c r="E15" s="310"/>
    </row>
    <row r="16" spans="2:13" ht="12.75" customHeight="1" x14ac:dyDescent="0.2">
      <c r="B16" s="140" t="s">
        <v>156</v>
      </c>
      <c r="C16" s="86"/>
      <c r="D16" s="86"/>
      <c r="E16" s="167">
        <v>2.81E-2</v>
      </c>
    </row>
    <row r="17" spans="2:13" ht="12.75" customHeight="1" x14ac:dyDescent="0.2">
      <c r="B17" s="140" t="s">
        <v>157</v>
      </c>
      <c r="C17" s="86"/>
      <c r="D17" s="86"/>
      <c r="E17" s="167">
        <v>1.7000000000000001E-2</v>
      </c>
    </row>
    <row r="18" spans="2:13" ht="12.75" customHeight="1" x14ac:dyDescent="0.2">
      <c r="B18" s="140" t="s">
        <v>152</v>
      </c>
      <c r="C18" s="86"/>
      <c r="D18" s="86"/>
      <c r="E18" s="167">
        <v>7.1999999999999998E-3</v>
      </c>
    </row>
    <row r="19" spans="2:13" ht="12.75" customHeight="1" x14ac:dyDescent="0.2">
      <c r="B19" s="140" t="s">
        <v>158</v>
      </c>
      <c r="C19" s="86"/>
      <c r="D19" s="86"/>
      <c r="E19" s="167">
        <v>6.0000000000000001E-3</v>
      </c>
    </row>
    <row r="20" spans="2:13" ht="12.75" customHeight="1" x14ac:dyDescent="0.2">
      <c r="B20" s="141" t="s">
        <v>159</v>
      </c>
      <c r="C20" s="139"/>
      <c r="D20" s="139"/>
      <c r="E20" s="168">
        <f>E17-E18-E19</f>
        <v>3.8000000000000013E-3</v>
      </c>
    </row>
    <row r="21" spans="2:13" ht="12.75" customHeight="1" x14ac:dyDescent="0.2">
      <c r="B21" s="115"/>
      <c r="E21" s="138"/>
    </row>
    <row r="22" spans="2:13" ht="15.75" x14ac:dyDescent="0.25">
      <c r="B22" s="289" t="s">
        <v>162</v>
      </c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</row>
    <row r="23" spans="2:13" ht="15.75" x14ac:dyDescent="0.25">
      <c r="B23" s="160"/>
      <c r="C23" s="160"/>
      <c r="E23" s="160"/>
      <c r="F23" s="169" t="s">
        <v>159</v>
      </c>
      <c r="G23" s="160"/>
      <c r="I23" s="166">
        <f>E20</f>
        <v>3.8000000000000013E-3</v>
      </c>
      <c r="J23" s="160"/>
      <c r="K23" s="160"/>
      <c r="L23" s="160"/>
      <c r="M23" s="160"/>
    </row>
    <row r="25" spans="2:13" x14ac:dyDescent="0.2">
      <c r="B25" s="300" t="s">
        <v>151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</row>
    <row r="26" spans="2:13" x14ac:dyDescent="0.2">
      <c r="B26" s="311" t="s">
        <v>80</v>
      </c>
      <c r="C26" s="311" t="s">
        <v>81</v>
      </c>
      <c r="D26" s="312" t="s">
        <v>82</v>
      </c>
      <c r="E26" s="300" t="s">
        <v>83</v>
      </c>
      <c r="F26" s="300"/>
      <c r="G26" s="313" t="s">
        <v>93</v>
      </c>
      <c r="H26" s="314"/>
      <c r="I26" s="300" t="s">
        <v>91</v>
      </c>
      <c r="J26" s="300"/>
      <c r="K26" s="300" t="s">
        <v>84</v>
      </c>
      <c r="L26" s="300"/>
      <c r="M26" s="300"/>
    </row>
    <row r="27" spans="2:13" ht="38.25" x14ac:dyDescent="0.2">
      <c r="B27" s="311"/>
      <c r="C27" s="311"/>
      <c r="D27" s="312"/>
      <c r="E27" s="68" t="s">
        <v>73</v>
      </c>
      <c r="F27" s="68" t="s">
        <v>72</v>
      </c>
      <c r="G27" s="69" t="s">
        <v>89</v>
      </c>
      <c r="H27" s="69" t="s">
        <v>90</v>
      </c>
      <c r="I27" s="69" t="s">
        <v>85</v>
      </c>
      <c r="J27" s="69" t="s">
        <v>86</v>
      </c>
      <c r="K27" s="69" t="s">
        <v>87</v>
      </c>
      <c r="L27" s="69" t="s">
        <v>88</v>
      </c>
      <c r="M27" s="69" t="s">
        <v>21</v>
      </c>
    </row>
    <row r="28" spans="2:13" x14ac:dyDescent="0.2">
      <c r="B28" s="70" t="s">
        <v>69</v>
      </c>
      <c r="C28" s="71" t="s">
        <v>73</v>
      </c>
      <c r="D28" s="72">
        <v>8039</v>
      </c>
      <c r="E28" s="80">
        <v>106119297</v>
      </c>
      <c r="F28" s="80"/>
      <c r="G28" s="82">
        <f>K28/M28</f>
        <v>0.13646721756898086</v>
      </c>
      <c r="H28" s="82">
        <f>1-G28</f>
        <v>0.86353278243101916</v>
      </c>
      <c r="I28" s="83">
        <f>I8*(1+E$20)</f>
        <v>20.486496116370198</v>
      </c>
      <c r="J28" s="81">
        <f>J8*(1+E$20)</f>
        <v>0.11784389507465264</v>
      </c>
      <c r="K28" s="80">
        <f>D28*I28*12</f>
        <v>1976291.3073540002</v>
      </c>
      <c r="L28" s="80">
        <f>E28*J28</f>
        <v>12505511.301063901</v>
      </c>
      <c r="M28" s="76">
        <f>K28+L28</f>
        <v>14481802.6084179</v>
      </c>
    </row>
    <row r="29" spans="2:13" x14ac:dyDescent="0.2">
      <c r="B29" s="70" t="s">
        <v>70</v>
      </c>
      <c r="C29" s="71" t="s">
        <v>72</v>
      </c>
      <c r="D29" s="72">
        <v>48</v>
      </c>
      <c r="E29" s="80"/>
      <c r="F29" s="80">
        <v>151952</v>
      </c>
      <c r="G29" s="82">
        <f>K29/M29</f>
        <v>0.12009689562634948</v>
      </c>
      <c r="H29" s="82">
        <f>1-G29</f>
        <v>0.87990310437365049</v>
      </c>
      <c r="I29" s="83">
        <f>I9*(1+E$20)</f>
        <v>598.38525600000003</v>
      </c>
      <c r="J29" s="81">
        <f>J9*(1+E$20)</f>
        <v>16.618813546152374</v>
      </c>
      <c r="K29" s="80">
        <f>D29*I29*12</f>
        <v>344669.90745599999</v>
      </c>
      <c r="L29" s="80">
        <f>F29*J29</f>
        <v>2525261.9559649457</v>
      </c>
      <c r="M29" s="76">
        <f>K29+L29</f>
        <v>2869931.8634209456</v>
      </c>
    </row>
    <row r="30" spans="2:13" x14ac:dyDescent="0.2">
      <c r="B30" s="70" t="s">
        <v>16</v>
      </c>
      <c r="C30" s="71" t="s">
        <v>73</v>
      </c>
      <c r="D30" s="72">
        <v>3660</v>
      </c>
      <c r="E30" s="80">
        <v>12622297</v>
      </c>
      <c r="F30" s="80"/>
      <c r="G30" s="82">
        <f>K30/M30</f>
        <v>0.43756357758419179</v>
      </c>
      <c r="H30" s="82">
        <f>1-G30</f>
        <v>0.56243642241580827</v>
      </c>
      <c r="I30" s="83">
        <f>I10*(1+E$20)</f>
        <v>24.089554426229508</v>
      </c>
      <c r="J30" s="81">
        <f>J10*(1+E$20)</f>
        <v>0.10774198592557988</v>
      </c>
      <c r="K30" s="80">
        <f>D30*I30*12</f>
        <v>1058013.2304</v>
      </c>
      <c r="L30" s="80">
        <f>E30*J30</f>
        <v>1359951.3457224891</v>
      </c>
      <c r="M30" s="76">
        <f>K30+L30</f>
        <v>2417964.5761224888</v>
      </c>
    </row>
    <row r="31" spans="2:13" x14ac:dyDescent="0.2">
      <c r="B31" s="70" t="s">
        <v>71</v>
      </c>
      <c r="C31" s="71" t="s">
        <v>73</v>
      </c>
      <c r="D31" s="72">
        <v>1052</v>
      </c>
      <c r="E31" s="80">
        <v>791996</v>
      </c>
      <c r="F31" s="80"/>
      <c r="G31" s="82">
        <f>K31/M31</f>
        <v>0</v>
      </c>
      <c r="H31" s="82">
        <f>1-G31</f>
        <v>1</v>
      </c>
      <c r="I31" s="83">
        <f>I11*(1+E$20)</f>
        <v>0</v>
      </c>
      <c r="J31" s="81">
        <f>J11*(1+E$20)</f>
        <v>0.16967400067508087</v>
      </c>
      <c r="K31" s="80">
        <f>D31*I31*12</f>
        <v>0</v>
      </c>
      <c r="L31" s="80">
        <f>E31*J31</f>
        <v>134381.12983866135</v>
      </c>
      <c r="M31" s="76">
        <f>K31+L31</f>
        <v>134381.12983866135</v>
      </c>
    </row>
    <row r="32" spans="2:13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8">
        <f>SUM(K28:K31)</f>
        <v>3378974.4452100005</v>
      </c>
      <c r="L32" s="78">
        <f>SUM(L28:L31)</f>
        <v>16525105.732589997</v>
      </c>
      <c r="M32" s="78">
        <f>SUM(M28:M31)</f>
        <v>19904080.177799996</v>
      </c>
    </row>
    <row r="35" spans="2:13" ht="32.25" customHeight="1" x14ac:dyDescent="0.25">
      <c r="B35" s="308" t="s">
        <v>196</v>
      </c>
      <c r="C35" s="309"/>
      <c r="D35" s="309"/>
      <c r="E35" s="310"/>
    </row>
    <row r="36" spans="2:13" x14ac:dyDescent="0.2">
      <c r="B36" s="140" t="s">
        <v>178</v>
      </c>
      <c r="C36" s="86"/>
      <c r="D36" s="86"/>
      <c r="E36" s="167">
        <v>3.7499999999999999E-2</v>
      </c>
    </row>
    <row r="37" spans="2:13" x14ac:dyDescent="0.2">
      <c r="B37" s="140" t="s">
        <v>157</v>
      </c>
      <c r="C37" s="86"/>
      <c r="D37" s="86"/>
      <c r="E37" s="167">
        <v>2.1999999999999999E-2</v>
      </c>
    </row>
    <row r="38" spans="2:13" x14ac:dyDescent="0.2">
      <c r="B38" s="140" t="s">
        <v>152</v>
      </c>
      <c r="C38" s="86"/>
      <c r="D38" s="86"/>
      <c r="E38" s="167">
        <v>7.1999999999999998E-3</v>
      </c>
    </row>
    <row r="39" spans="2:13" x14ac:dyDescent="0.2">
      <c r="B39" s="140" t="s">
        <v>158</v>
      </c>
      <c r="C39" s="86"/>
      <c r="D39" s="86"/>
      <c r="E39" s="167">
        <v>6.0000000000000001E-3</v>
      </c>
    </row>
    <row r="40" spans="2:13" x14ac:dyDescent="0.2">
      <c r="B40" s="141" t="s">
        <v>179</v>
      </c>
      <c r="C40" s="139"/>
      <c r="D40" s="139"/>
      <c r="E40" s="168">
        <f>E37-E38-E39</f>
        <v>8.7999999999999988E-3</v>
      </c>
    </row>
    <row r="42" spans="2:13" ht="15.75" x14ac:dyDescent="0.25">
      <c r="B42" s="289" t="s">
        <v>197</v>
      </c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</row>
    <row r="43" spans="2:13" ht="15.75" x14ac:dyDescent="0.25">
      <c r="B43" s="160"/>
      <c r="C43" s="160"/>
      <c r="E43" s="160"/>
      <c r="F43" s="169" t="s">
        <v>159</v>
      </c>
      <c r="G43" s="160"/>
      <c r="I43" s="166">
        <f>E40</f>
        <v>8.7999999999999988E-3</v>
      </c>
      <c r="J43" s="160"/>
      <c r="K43" s="160"/>
      <c r="L43" s="160"/>
      <c r="M43" s="160"/>
    </row>
    <row r="45" spans="2:13" x14ac:dyDescent="0.2">
      <c r="B45" s="300" t="s">
        <v>190</v>
      </c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</row>
    <row r="46" spans="2:13" x14ac:dyDescent="0.2">
      <c r="B46" s="311" t="s">
        <v>80</v>
      </c>
      <c r="C46" s="311" t="s">
        <v>81</v>
      </c>
      <c r="D46" s="312" t="s">
        <v>82</v>
      </c>
      <c r="E46" s="300" t="s">
        <v>83</v>
      </c>
      <c r="F46" s="300"/>
      <c r="G46" s="313" t="s">
        <v>93</v>
      </c>
      <c r="H46" s="314"/>
      <c r="I46" s="300" t="s">
        <v>91</v>
      </c>
      <c r="J46" s="300"/>
      <c r="K46" s="300" t="s">
        <v>84</v>
      </c>
      <c r="L46" s="300"/>
      <c r="M46" s="300"/>
    </row>
    <row r="47" spans="2:13" ht="38.25" x14ac:dyDescent="0.2">
      <c r="B47" s="311"/>
      <c r="C47" s="311"/>
      <c r="D47" s="312"/>
      <c r="E47" s="68" t="s">
        <v>73</v>
      </c>
      <c r="F47" s="68" t="s">
        <v>72</v>
      </c>
      <c r="G47" s="69" t="s">
        <v>89</v>
      </c>
      <c r="H47" s="69" t="s">
        <v>90</v>
      </c>
      <c r="I47" s="69" t="s">
        <v>85</v>
      </c>
      <c r="J47" s="69" t="s">
        <v>86</v>
      </c>
      <c r="K47" s="69" t="s">
        <v>87</v>
      </c>
      <c r="L47" s="69" t="s">
        <v>88</v>
      </c>
      <c r="M47" s="69" t="s">
        <v>21</v>
      </c>
    </row>
    <row r="48" spans="2:13" x14ac:dyDescent="0.2">
      <c r="B48" s="70" t="s">
        <v>69</v>
      </c>
      <c r="C48" s="71" t="s">
        <v>73</v>
      </c>
      <c r="D48" s="72">
        <v>8039</v>
      </c>
      <c r="E48" s="80">
        <v>106119297</v>
      </c>
      <c r="F48" s="80"/>
      <c r="G48" s="82">
        <f>K48/M48</f>
        <v>0.13646721756898086</v>
      </c>
      <c r="H48" s="82">
        <f>1-G48</f>
        <v>0.86353278243101916</v>
      </c>
      <c r="I48" s="83">
        <f>I28*(1+E$40)</f>
        <v>20.666777282194253</v>
      </c>
      <c r="J48" s="81">
        <f>J28*(1+E$40)</f>
        <v>0.11888092135130957</v>
      </c>
      <c r="K48" s="80">
        <f>D48*I48*12</f>
        <v>1993682.6708587152</v>
      </c>
      <c r="L48" s="80">
        <f>E48*J48</f>
        <v>12615559.800513262</v>
      </c>
      <c r="M48" s="76">
        <f>K48+L48</f>
        <v>14609242.471371977</v>
      </c>
    </row>
    <row r="49" spans="2:13" x14ac:dyDescent="0.2">
      <c r="B49" s="70" t="s">
        <v>70</v>
      </c>
      <c r="C49" s="71" t="s">
        <v>72</v>
      </c>
      <c r="D49" s="72">
        <v>48</v>
      </c>
      <c r="E49" s="80"/>
      <c r="F49" s="80">
        <v>151952</v>
      </c>
      <c r="G49" s="82">
        <f>K49/M49</f>
        <v>0.12009689562634952</v>
      </c>
      <c r="H49" s="82">
        <f>1-G49</f>
        <v>0.87990310437365049</v>
      </c>
      <c r="I49" s="83">
        <f>I29*(1+E$40)</f>
        <v>603.65104625280003</v>
      </c>
      <c r="J49" s="81">
        <f>J29*(1+E$40)</f>
        <v>16.765059105358514</v>
      </c>
      <c r="K49" s="80">
        <f>D49*I49*12</f>
        <v>347703.00264161284</v>
      </c>
      <c r="L49" s="80">
        <f>F49*J49</f>
        <v>2547484.2611774369</v>
      </c>
      <c r="M49" s="76">
        <f>K49+L49</f>
        <v>2895187.2638190496</v>
      </c>
    </row>
    <row r="50" spans="2:13" x14ac:dyDescent="0.2">
      <c r="B50" s="70" t="s">
        <v>16</v>
      </c>
      <c r="C50" s="71" t="s">
        <v>73</v>
      </c>
      <c r="D50" s="72">
        <v>3660</v>
      </c>
      <c r="E50" s="80">
        <v>12622297</v>
      </c>
      <c r="F50" s="80"/>
      <c r="G50" s="82">
        <f>K50/M50</f>
        <v>0.43756357758419168</v>
      </c>
      <c r="H50" s="82">
        <f>1-G50</f>
        <v>0.56243642241580827</v>
      </c>
      <c r="I50" s="83">
        <f>I30*(1+E$40)</f>
        <v>24.301542505180326</v>
      </c>
      <c r="J50" s="81">
        <f>J30*(1+E$40)</f>
        <v>0.10869011540172496</v>
      </c>
      <c r="K50" s="80">
        <f>D50*I50*12</f>
        <v>1067323.74682752</v>
      </c>
      <c r="L50" s="80">
        <f>E50*J50</f>
        <v>1371918.9175648468</v>
      </c>
      <c r="M50" s="76">
        <f>K50+L50</f>
        <v>2439242.664392367</v>
      </c>
    </row>
    <row r="51" spans="2:13" x14ac:dyDescent="0.2">
      <c r="B51" s="70" t="s">
        <v>71</v>
      </c>
      <c r="C51" s="71" t="s">
        <v>73</v>
      </c>
      <c r="D51" s="72">
        <v>1052</v>
      </c>
      <c r="E51" s="80">
        <v>791996</v>
      </c>
      <c r="F51" s="80"/>
      <c r="G51" s="82">
        <f>K51/M51</f>
        <v>0</v>
      </c>
      <c r="H51" s="82">
        <f>1-G51</f>
        <v>1</v>
      </c>
      <c r="I51" s="83">
        <f>I31*(1+E$40)</f>
        <v>0</v>
      </c>
      <c r="J51" s="81">
        <f>J31*(1+E$40)</f>
        <v>0.17116713188102156</v>
      </c>
      <c r="K51" s="80">
        <f>D51*I51*12</f>
        <v>0</v>
      </c>
      <c r="L51" s="80">
        <f>E51*J51</f>
        <v>135563.68378124156</v>
      </c>
      <c r="M51" s="76">
        <f>K51+L51</f>
        <v>135563.68378124156</v>
      </c>
    </row>
    <row r="52" spans="2:13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8">
        <f>SUM(K48:K51)</f>
        <v>3408709.4203278478</v>
      </c>
      <c r="L52" s="78">
        <f>SUM(L48:L51)</f>
        <v>16670526.663036788</v>
      </c>
      <c r="M52" s="78">
        <f>SUM(M48:M51)</f>
        <v>20079236.083364632</v>
      </c>
    </row>
    <row r="55" spans="2:13" ht="15.75" x14ac:dyDescent="0.25">
      <c r="B55" s="308" t="s">
        <v>188</v>
      </c>
      <c r="C55" s="309"/>
      <c r="D55" s="309"/>
      <c r="E55" s="310"/>
    </row>
    <row r="56" spans="2:13" x14ac:dyDescent="0.2">
      <c r="B56" s="140" t="s">
        <v>187</v>
      </c>
      <c r="C56" s="86"/>
      <c r="D56" s="86"/>
      <c r="E56" s="167">
        <v>3.7600000000000001E-2</v>
      </c>
    </row>
    <row r="57" spans="2:13" x14ac:dyDescent="0.2">
      <c r="B57" s="140" t="s">
        <v>193</v>
      </c>
      <c r="C57" s="86"/>
      <c r="D57" s="86"/>
      <c r="E57" s="167">
        <v>1.7000000000000001E-2</v>
      </c>
    </row>
    <row r="58" spans="2:13" x14ac:dyDescent="0.2">
      <c r="B58" s="140" t="s">
        <v>194</v>
      </c>
      <c r="C58" s="86"/>
      <c r="D58" s="86"/>
      <c r="E58" s="167">
        <v>0</v>
      </c>
    </row>
    <row r="59" spans="2:13" x14ac:dyDescent="0.2">
      <c r="B59" s="140" t="s">
        <v>195</v>
      </c>
      <c r="C59" s="86"/>
      <c r="D59" s="86"/>
      <c r="E59" s="167">
        <v>3.0000000000000001E-3</v>
      </c>
    </row>
    <row r="60" spans="2:13" x14ac:dyDescent="0.2">
      <c r="B60" s="141" t="s">
        <v>192</v>
      </c>
      <c r="C60" s="139"/>
      <c r="D60" s="139"/>
      <c r="E60" s="168">
        <f>E57-E58-E59</f>
        <v>1.4000000000000002E-2</v>
      </c>
    </row>
    <row r="62" spans="2:13" ht="15.75" x14ac:dyDescent="0.25">
      <c r="B62" s="289" t="s">
        <v>189</v>
      </c>
      <c r="C62" s="289"/>
      <c r="D62" s="289"/>
      <c r="E62" s="289"/>
      <c r="F62" s="289"/>
      <c r="G62" s="289"/>
      <c r="H62" s="289"/>
      <c r="I62" s="289"/>
      <c r="J62" s="289"/>
      <c r="K62" s="289"/>
      <c r="L62" s="289"/>
      <c r="M62" s="289"/>
    </row>
    <row r="63" spans="2:13" ht="15.75" x14ac:dyDescent="0.25">
      <c r="B63" s="209"/>
      <c r="C63" s="209"/>
      <c r="E63" s="209"/>
      <c r="F63" s="169" t="s">
        <v>159</v>
      </c>
      <c r="G63" s="209"/>
      <c r="I63" s="166">
        <f>E60</f>
        <v>1.4000000000000002E-2</v>
      </c>
      <c r="J63" s="209"/>
      <c r="K63" s="209"/>
      <c r="L63" s="209"/>
      <c r="M63" s="209"/>
    </row>
    <row r="65" spans="2:13" x14ac:dyDescent="0.2">
      <c r="B65" s="300" t="s">
        <v>191</v>
      </c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</row>
    <row r="66" spans="2:13" x14ac:dyDescent="0.2">
      <c r="B66" s="311" t="s">
        <v>80</v>
      </c>
      <c r="C66" s="311" t="s">
        <v>81</v>
      </c>
      <c r="D66" s="312" t="s">
        <v>82</v>
      </c>
      <c r="E66" s="300" t="s">
        <v>83</v>
      </c>
      <c r="F66" s="300"/>
      <c r="G66" s="313" t="s">
        <v>93</v>
      </c>
      <c r="H66" s="314"/>
      <c r="I66" s="300" t="s">
        <v>91</v>
      </c>
      <c r="J66" s="300"/>
      <c r="K66" s="300" t="s">
        <v>84</v>
      </c>
      <c r="L66" s="300"/>
      <c r="M66" s="300"/>
    </row>
    <row r="67" spans="2:13" ht="38.25" x14ac:dyDescent="0.2">
      <c r="B67" s="311"/>
      <c r="C67" s="311"/>
      <c r="D67" s="312"/>
      <c r="E67" s="210" t="s">
        <v>73</v>
      </c>
      <c r="F67" s="210" t="s">
        <v>72</v>
      </c>
      <c r="G67" s="69" t="s">
        <v>89</v>
      </c>
      <c r="H67" s="69" t="s">
        <v>90</v>
      </c>
      <c r="I67" s="69" t="s">
        <v>85</v>
      </c>
      <c r="J67" s="69" t="s">
        <v>86</v>
      </c>
      <c r="K67" s="69" t="s">
        <v>87</v>
      </c>
      <c r="L67" s="69" t="s">
        <v>88</v>
      </c>
      <c r="M67" s="69" t="s">
        <v>21</v>
      </c>
    </row>
    <row r="68" spans="2:13" x14ac:dyDescent="0.2">
      <c r="B68" s="70" t="s">
        <v>69</v>
      </c>
      <c r="C68" s="71" t="s">
        <v>73</v>
      </c>
      <c r="D68" s="72">
        <v>8039</v>
      </c>
      <c r="E68" s="80">
        <v>106119297</v>
      </c>
      <c r="F68" s="80"/>
      <c r="G68" s="82">
        <f>K68/M68</f>
        <v>0.13646721756898086</v>
      </c>
      <c r="H68" s="82">
        <f>1-G68</f>
        <v>0.86353278243101916</v>
      </c>
      <c r="I68" s="83">
        <f>I48*(1+E$60)</f>
        <v>20.956112164144972</v>
      </c>
      <c r="J68" s="81">
        <f>J48*(1+E$60)</f>
        <v>0.1205452542502279</v>
      </c>
      <c r="K68" s="80">
        <f>D68*I68*12</f>
        <v>2021594.2282507373</v>
      </c>
      <c r="L68" s="80">
        <f>E68*J68</f>
        <v>12792177.637720447</v>
      </c>
      <c r="M68" s="76">
        <f>K68+L68</f>
        <v>14813771.865971185</v>
      </c>
    </row>
    <row r="69" spans="2:13" x14ac:dyDescent="0.2">
      <c r="B69" s="70" t="s">
        <v>70</v>
      </c>
      <c r="C69" s="71" t="s">
        <v>72</v>
      </c>
      <c r="D69" s="72">
        <v>48</v>
      </c>
      <c r="E69" s="80"/>
      <c r="F69" s="80">
        <v>151952</v>
      </c>
      <c r="G69" s="82">
        <f>K69/M69</f>
        <v>0.1200968956263495</v>
      </c>
      <c r="H69" s="82">
        <f>1-G69</f>
        <v>0.87990310437365049</v>
      </c>
      <c r="I69" s="83">
        <f>I49*(1+E$60)</f>
        <v>612.10216090033919</v>
      </c>
      <c r="J69" s="81">
        <f>J49*(1+E$60)</f>
        <v>16.999769932833534</v>
      </c>
      <c r="K69" s="80">
        <f>D69*I69*12</f>
        <v>352570.84467859537</v>
      </c>
      <c r="L69" s="80">
        <f>F69*J69</f>
        <v>2583149.0408339212</v>
      </c>
      <c r="M69" s="76">
        <f>K69+L69</f>
        <v>2935719.8855125164</v>
      </c>
    </row>
    <row r="70" spans="2:13" x14ac:dyDescent="0.2">
      <c r="B70" s="70" t="s">
        <v>16</v>
      </c>
      <c r="C70" s="71" t="s">
        <v>73</v>
      </c>
      <c r="D70" s="72">
        <v>3660</v>
      </c>
      <c r="E70" s="80">
        <v>12622297</v>
      </c>
      <c r="F70" s="80"/>
      <c r="G70" s="82">
        <f>K70/M70</f>
        <v>0.43756357758419168</v>
      </c>
      <c r="H70" s="82">
        <f>1-G70</f>
        <v>0.56243642241580827</v>
      </c>
      <c r="I70" s="83">
        <f>I50*(1+E$60)</f>
        <v>24.64176410025285</v>
      </c>
      <c r="J70" s="81">
        <f>J50*(1+E$60)</f>
        <v>0.11021177701734912</v>
      </c>
      <c r="K70" s="80">
        <f>D70*I70*12</f>
        <v>1082266.2792831052</v>
      </c>
      <c r="L70" s="80">
        <f>E70*J70</f>
        <v>1391125.7824107548</v>
      </c>
      <c r="M70" s="76">
        <f>K70+L70</f>
        <v>2473392.0616938602</v>
      </c>
    </row>
    <row r="71" spans="2:13" x14ac:dyDescent="0.2">
      <c r="B71" s="70" t="s">
        <v>71</v>
      </c>
      <c r="C71" s="71" t="s">
        <v>73</v>
      </c>
      <c r="D71" s="72">
        <v>1052</v>
      </c>
      <c r="E71" s="80">
        <v>791996</v>
      </c>
      <c r="F71" s="80"/>
      <c r="G71" s="82">
        <f>K71/M71</f>
        <v>0</v>
      </c>
      <c r="H71" s="82">
        <f>1-G71</f>
        <v>1</v>
      </c>
      <c r="I71" s="83">
        <f>I51*(1+E$60)</f>
        <v>0</v>
      </c>
      <c r="J71" s="81">
        <f>J51*(1+E$60)</f>
        <v>0.17356347172735587</v>
      </c>
      <c r="K71" s="80">
        <f>D71*I71*12</f>
        <v>0</v>
      </c>
      <c r="L71" s="80">
        <f>E71*J71</f>
        <v>137461.57535417893</v>
      </c>
      <c r="M71" s="76">
        <f>K71+L71</f>
        <v>137461.57535417893</v>
      </c>
    </row>
    <row r="72" spans="2:13" x14ac:dyDescent="0.2">
      <c r="B72" s="77"/>
      <c r="C72" s="77"/>
      <c r="D72" s="77"/>
      <c r="E72" s="77"/>
      <c r="F72" s="77"/>
      <c r="G72" s="77"/>
      <c r="H72" s="77"/>
      <c r="I72" s="77"/>
      <c r="J72" s="77"/>
      <c r="K72" s="78">
        <f>SUM(K68:K71)</f>
        <v>3456431.3522124374</v>
      </c>
      <c r="L72" s="78">
        <f>SUM(L68:L71)</f>
        <v>16903914.036319301</v>
      </c>
      <c r="M72" s="78">
        <f>SUM(M68:M71)</f>
        <v>20360345.388531741</v>
      </c>
    </row>
  </sheetData>
  <mergeCells count="40">
    <mergeCell ref="B35:E35"/>
    <mergeCell ref="B42:M42"/>
    <mergeCell ref="B45:M45"/>
    <mergeCell ref="B46:B47"/>
    <mergeCell ref="C46:C47"/>
    <mergeCell ref="D46:D47"/>
    <mergeCell ref="E46:F46"/>
    <mergeCell ref="G46:H46"/>
    <mergeCell ref="I46:J46"/>
    <mergeCell ref="K46:M46"/>
    <mergeCell ref="B3:M3"/>
    <mergeCell ref="B22:M22"/>
    <mergeCell ref="B2:M2"/>
    <mergeCell ref="B5:M5"/>
    <mergeCell ref="B6:B7"/>
    <mergeCell ref="C6:C7"/>
    <mergeCell ref="D6:D7"/>
    <mergeCell ref="E6:F6"/>
    <mergeCell ref="I6:J6"/>
    <mergeCell ref="K6:M6"/>
    <mergeCell ref="G6:H6"/>
    <mergeCell ref="B15:E15"/>
    <mergeCell ref="B25:M25"/>
    <mergeCell ref="B26:B27"/>
    <mergeCell ref="C26:C27"/>
    <mergeCell ref="D26:D27"/>
    <mergeCell ref="E26:F26"/>
    <mergeCell ref="G26:H26"/>
    <mergeCell ref="I26:J26"/>
    <mergeCell ref="K26:M26"/>
    <mergeCell ref="B55:E55"/>
    <mergeCell ref="B62:M62"/>
    <mergeCell ref="B65:M65"/>
    <mergeCell ref="B66:B67"/>
    <mergeCell ref="C66:C67"/>
    <mergeCell ref="D66:D67"/>
    <mergeCell ref="E66:F66"/>
    <mergeCell ref="G66:H66"/>
    <mergeCell ref="I66:J66"/>
    <mergeCell ref="K66:M66"/>
  </mergeCells>
  <phoneticPr fontId="3" type="noConversion"/>
  <pageMargins left="0.75" right="0.75" top="1" bottom="1" header="0.5" footer="0.5"/>
  <pageSetup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showGridLines="0" topLeftCell="A16" zoomScaleNormal="100" workbookViewId="0">
      <selection activeCell="E38" sqref="E38"/>
    </sheetView>
  </sheetViews>
  <sheetFormatPr defaultRowHeight="12.75" x14ac:dyDescent="0.2"/>
  <cols>
    <col min="1" max="1" width="3.140625" customWidth="1"/>
    <col min="2" max="2" width="37.140625" bestFit="1" customWidth="1"/>
    <col min="3" max="3" width="12.7109375" customWidth="1"/>
    <col min="4" max="4" width="2.7109375" customWidth="1"/>
    <col min="5" max="5" width="12" customWidth="1"/>
    <col min="6" max="6" width="11.28515625" customWidth="1"/>
    <col min="7" max="7" width="12.5703125" bestFit="1" customWidth="1"/>
    <col min="8" max="8" width="11.5703125" bestFit="1" customWidth="1"/>
    <col min="9" max="9" width="2.7109375" customWidth="1"/>
    <col min="12" max="12" width="15" bestFit="1" customWidth="1"/>
  </cols>
  <sheetData>
    <row r="1" spans="2:9" ht="13.5" thickBot="1" x14ac:dyDescent="0.25"/>
    <row r="2" spans="2:9" ht="18.75" x14ac:dyDescent="0.3">
      <c r="B2" s="318" t="s">
        <v>202</v>
      </c>
      <c r="C2" s="319"/>
      <c r="D2" s="319"/>
      <c r="E2" s="319"/>
      <c r="F2" s="319"/>
      <c r="G2" s="319"/>
      <c r="H2" s="320"/>
      <c r="I2" s="214"/>
    </row>
    <row r="3" spans="2:9" x14ac:dyDescent="0.2">
      <c r="B3" s="215"/>
      <c r="C3" s="86"/>
      <c r="D3" s="86"/>
      <c r="E3" s="86"/>
      <c r="F3" s="86"/>
      <c r="G3" s="86"/>
      <c r="H3" s="216"/>
    </row>
    <row r="4" spans="2:9" x14ac:dyDescent="0.2">
      <c r="B4" s="215" t="s">
        <v>156</v>
      </c>
      <c r="C4" s="217">
        <f>'Allocated Revenues'!E36</f>
        <v>3.7499999999999999E-2</v>
      </c>
      <c r="D4" s="86"/>
      <c r="E4" s="86"/>
      <c r="F4" s="86"/>
      <c r="G4" s="86"/>
      <c r="H4" s="216"/>
    </row>
    <row r="5" spans="2:9" x14ac:dyDescent="0.2">
      <c r="B5" s="215" t="s">
        <v>166</v>
      </c>
      <c r="C5" s="217">
        <f>'Allocated Revenues'!E37</f>
        <v>2.1999999999999999E-2</v>
      </c>
      <c r="D5" s="86"/>
      <c r="E5" s="86"/>
      <c r="F5" s="86"/>
      <c r="G5" s="86"/>
      <c r="H5" s="216"/>
    </row>
    <row r="6" spans="2:9" x14ac:dyDescent="0.2">
      <c r="B6" s="215" t="s">
        <v>167</v>
      </c>
      <c r="C6" s="217">
        <f>'Allocated Revenues'!E38</f>
        <v>7.1999999999999998E-3</v>
      </c>
      <c r="D6" s="86"/>
      <c r="E6" s="86"/>
      <c r="F6" s="86"/>
      <c r="G6" s="86"/>
      <c r="H6" s="216"/>
    </row>
    <row r="7" spans="2:9" x14ac:dyDescent="0.2">
      <c r="B7" s="215" t="s">
        <v>168</v>
      </c>
      <c r="C7" s="217">
        <f>'Allocated Revenues'!E39</f>
        <v>6.0000000000000001E-3</v>
      </c>
      <c r="D7" s="86"/>
      <c r="E7" s="86"/>
      <c r="F7" s="86"/>
      <c r="G7" s="86"/>
      <c r="H7" s="216"/>
    </row>
    <row r="8" spans="2:9" x14ac:dyDescent="0.2">
      <c r="B8" s="215" t="s">
        <v>169</v>
      </c>
      <c r="C8" s="217">
        <f>C5-C6-C7</f>
        <v>8.7999999999999988E-3</v>
      </c>
      <c r="D8" s="86"/>
      <c r="E8" s="86"/>
      <c r="F8" s="86"/>
      <c r="G8" s="86"/>
      <c r="H8" s="216"/>
    </row>
    <row r="9" spans="2:9" ht="13.5" thickBot="1" x14ac:dyDescent="0.25">
      <c r="B9" s="215"/>
      <c r="C9" s="86"/>
      <c r="D9" s="86"/>
      <c r="E9" s="86"/>
      <c r="F9" s="86"/>
      <c r="G9" s="86"/>
      <c r="H9" s="216"/>
    </row>
    <row r="10" spans="2:9" ht="30" x14ac:dyDescent="0.25">
      <c r="B10" s="185"/>
      <c r="C10" s="186" t="s">
        <v>4</v>
      </c>
      <c r="D10" s="187"/>
      <c r="E10" s="186" t="s">
        <v>170</v>
      </c>
      <c r="F10" s="186" t="s">
        <v>180</v>
      </c>
      <c r="G10" s="186" t="s">
        <v>16</v>
      </c>
      <c r="H10" s="188" t="s">
        <v>71</v>
      </c>
      <c r="I10" s="175"/>
    </row>
    <row r="11" spans="2:9" x14ac:dyDescent="0.2">
      <c r="B11" s="142" t="s">
        <v>171</v>
      </c>
      <c r="C11" s="77"/>
      <c r="D11" s="77"/>
      <c r="E11" s="181">
        <f>$C8</f>
        <v>8.7999999999999988E-3</v>
      </c>
      <c r="F11" s="181">
        <f t="shared" ref="F11:H11" si="0">$C8</f>
        <v>8.7999999999999988E-3</v>
      </c>
      <c r="G11" s="181">
        <f t="shared" si="0"/>
        <v>8.7999999999999988E-3</v>
      </c>
      <c r="H11" s="189">
        <f t="shared" si="0"/>
        <v>8.7999999999999988E-3</v>
      </c>
    </row>
    <row r="12" spans="2:9" x14ac:dyDescent="0.2">
      <c r="B12" s="142" t="s">
        <v>172</v>
      </c>
      <c r="C12" s="182">
        <f>SUM(E12:H12)</f>
        <v>20079236.083364628</v>
      </c>
      <c r="D12" s="77"/>
      <c r="E12" s="183">
        <f>'2014 Cost Allocation Design'!F29</f>
        <v>14609242.471371973</v>
      </c>
      <c r="F12" s="183">
        <f>'2014 Cost Allocation Design'!F30</f>
        <v>2895187.2638190496</v>
      </c>
      <c r="G12" s="183">
        <f>'2014 Cost Allocation Design'!F31</f>
        <v>2439242.6643923665</v>
      </c>
      <c r="H12" s="190">
        <f>'2014 Cost Allocation Design'!F32</f>
        <v>135563.68378124156</v>
      </c>
    </row>
    <row r="13" spans="2:9" x14ac:dyDescent="0.2">
      <c r="B13" s="191" t="s">
        <v>173</v>
      </c>
      <c r="C13" s="184"/>
      <c r="D13" s="77"/>
      <c r="E13" s="183"/>
      <c r="F13" s="183"/>
      <c r="G13" s="183"/>
      <c r="H13" s="190"/>
    </row>
    <row r="14" spans="2:9" x14ac:dyDescent="0.2">
      <c r="B14" s="197" t="s">
        <v>174</v>
      </c>
      <c r="C14" s="196">
        <v>1752033</v>
      </c>
      <c r="D14" s="77"/>
      <c r="E14" s="198">
        <v>1245917</v>
      </c>
      <c r="F14" s="183">
        <v>0</v>
      </c>
      <c r="G14" s="198">
        <v>506116</v>
      </c>
      <c r="H14" s="190">
        <v>0</v>
      </c>
    </row>
    <row r="15" spans="2:9" x14ac:dyDescent="0.2">
      <c r="B15" s="197" t="s">
        <v>175</v>
      </c>
      <c r="C15" s="196">
        <v>708415</v>
      </c>
      <c r="D15" s="77"/>
      <c r="E15" s="198">
        <v>502406</v>
      </c>
      <c r="F15" s="183">
        <v>0</v>
      </c>
      <c r="G15" s="198">
        <v>206009</v>
      </c>
      <c r="H15" s="190">
        <v>0</v>
      </c>
    </row>
    <row r="16" spans="2:9" x14ac:dyDescent="0.2">
      <c r="B16" s="142"/>
      <c r="C16" s="184"/>
      <c r="D16" s="77"/>
      <c r="E16" s="183"/>
      <c r="F16" s="183"/>
      <c r="G16" s="183"/>
      <c r="H16" s="190"/>
    </row>
    <row r="17" spans="2:9" ht="13.5" thickBot="1" x14ac:dyDescent="0.25">
      <c r="B17" s="192" t="s">
        <v>176</v>
      </c>
      <c r="C17" s="193">
        <f>C12+C14+C15</f>
        <v>22539684.083364628</v>
      </c>
      <c r="D17" s="148"/>
      <c r="E17" s="194">
        <f>E12+E14+E15</f>
        <v>16357565.471371973</v>
      </c>
      <c r="F17" s="194">
        <f>F12+F14+F15</f>
        <v>2895187.2638190496</v>
      </c>
      <c r="G17" s="194">
        <f>G12+G14+G15</f>
        <v>3151367.6643923665</v>
      </c>
      <c r="H17" s="195">
        <f>H12+H14+H15</f>
        <v>135563.68378124156</v>
      </c>
    </row>
    <row r="18" spans="2:9" x14ac:dyDescent="0.2">
      <c r="B18" s="215"/>
      <c r="C18" s="218"/>
      <c r="D18" s="86"/>
      <c r="E18" s="219"/>
      <c r="F18" s="219"/>
      <c r="G18" s="219"/>
      <c r="H18" s="220"/>
    </row>
    <row r="19" spans="2:9" ht="41.25" customHeight="1" x14ac:dyDescent="0.2">
      <c r="B19" s="315" t="s">
        <v>216</v>
      </c>
      <c r="C19" s="316"/>
      <c r="D19" s="316"/>
      <c r="E19" s="316"/>
      <c r="F19" s="316"/>
      <c r="G19" s="316"/>
      <c r="H19" s="317"/>
    </row>
    <row r="20" spans="2:9" ht="6.75" customHeight="1" x14ac:dyDescent="0.2">
      <c r="B20" s="315"/>
      <c r="C20" s="316"/>
      <c r="D20" s="316"/>
      <c r="E20" s="316"/>
      <c r="F20" s="316"/>
      <c r="G20" s="316"/>
      <c r="H20" s="317"/>
    </row>
    <row r="21" spans="2:9" ht="36" customHeight="1" x14ac:dyDescent="0.2">
      <c r="B21" s="315" t="s">
        <v>203</v>
      </c>
      <c r="C21" s="316"/>
      <c r="D21" s="316"/>
      <c r="E21" s="316"/>
      <c r="F21" s="316"/>
      <c r="G21" s="316"/>
      <c r="H21" s="317"/>
    </row>
    <row r="22" spans="2:9" ht="13.5" thickBot="1" x14ac:dyDescent="0.25">
      <c r="B22" s="215"/>
      <c r="C22" s="86"/>
      <c r="D22" s="86"/>
      <c r="E22" s="86"/>
      <c r="F22" s="86"/>
      <c r="G22" s="86"/>
      <c r="H22" s="216"/>
    </row>
    <row r="23" spans="2:9" ht="30" x14ac:dyDescent="0.2">
      <c r="B23" s="185"/>
      <c r="C23" s="186" t="s">
        <v>4</v>
      </c>
      <c r="D23" s="187"/>
      <c r="E23" s="186" t="s">
        <v>170</v>
      </c>
      <c r="F23" s="186" t="s">
        <v>180</v>
      </c>
      <c r="G23" s="186" t="s">
        <v>16</v>
      </c>
      <c r="H23" s="188" t="s">
        <v>71</v>
      </c>
    </row>
    <row r="24" spans="2:9" x14ac:dyDescent="0.2">
      <c r="B24" s="142" t="s">
        <v>171</v>
      </c>
      <c r="C24" s="77"/>
      <c r="D24" s="77"/>
      <c r="E24" s="181">
        <f t="shared" ref="E24:H25" si="1">E11</f>
        <v>8.7999999999999988E-3</v>
      </c>
      <c r="F24" s="181">
        <f t="shared" si="1"/>
        <v>8.7999999999999988E-3</v>
      </c>
      <c r="G24" s="181">
        <f t="shared" si="1"/>
        <v>8.7999999999999988E-3</v>
      </c>
      <c r="H24" s="189">
        <f t="shared" si="1"/>
        <v>8.7999999999999988E-3</v>
      </c>
    </row>
    <row r="25" spans="2:9" x14ac:dyDescent="0.2">
      <c r="B25" s="142" t="s">
        <v>172</v>
      </c>
      <c r="C25" s="182">
        <f>C12</f>
        <v>20079236.083364628</v>
      </c>
      <c r="D25" s="77"/>
      <c r="E25" s="183">
        <f t="shared" si="1"/>
        <v>14609242.471371973</v>
      </c>
      <c r="F25" s="183">
        <f t="shared" si="1"/>
        <v>2895187.2638190496</v>
      </c>
      <c r="G25" s="183">
        <f t="shared" si="1"/>
        <v>2439242.6643923665</v>
      </c>
      <c r="H25" s="190">
        <f t="shared" si="1"/>
        <v>135563.68378124156</v>
      </c>
    </row>
    <row r="26" spans="2:9" x14ac:dyDescent="0.2">
      <c r="B26" s="191" t="s">
        <v>173</v>
      </c>
      <c r="C26" s="184"/>
      <c r="D26" s="77"/>
      <c r="E26" s="183"/>
      <c r="F26" s="183"/>
      <c r="G26" s="183"/>
      <c r="H26" s="190"/>
    </row>
    <row r="27" spans="2:9" x14ac:dyDescent="0.2">
      <c r="B27" s="197" t="s">
        <v>174</v>
      </c>
      <c r="C27" s="199">
        <f>E27+G27</f>
        <v>622958.5</v>
      </c>
      <c r="D27" s="99"/>
      <c r="E27" s="201">
        <f>E14*0.5</f>
        <v>622958.5</v>
      </c>
      <c r="F27" s="200">
        <v>0</v>
      </c>
      <c r="G27" s="200">
        <v>0</v>
      </c>
      <c r="H27" s="190">
        <v>0</v>
      </c>
    </row>
    <row r="28" spans="2:9" x14ac:dyDescent="0.2">
      <c r="B28" s="197" t="s">
        <v>175</v>
      </c>
      <c r="C28" s="199">
        <f>E28+G28</f>
        <v>251203</v>
      </c>
      <c r="D28" s="99"/>
      <c r="E28" s="201">
        <f>E15*0.5</f>
        <v>251203</v>
      </c>
      <c r="F28" s="200">
        <v>0</v>
      </c>
      <c r="G28" s="200">
        <v>0</v>
      </c>
      <c r="H28" s="190">
        <v>0</v>
      </c>
    </row>
    <row r="29" spans="2:9" x14ac:dyDescent="0.2">
      <c r="B29" s="142"/>
      <c r="C29" s="77"/>
      <c r="D29" s="77"/>
      <c r="E29" s="77"/>
      <c r="F29" s="77"/>
      <c r="G29" s="77"/>
      <c r="H29" s="143"/>
    </row>
    <row r="30" spans="2:9" ht="13.5" thickBot="1" x14ac:dyDescent="0.25">
      <c r="B30" s="144" t="s">
        <v>182</v>
      </c>
      <c r="C30" s="202">
        <f>SUM(E30:H30)</f>
        <v>20953397.583364628</v>
      </c>
      <c r="D30" s="148"/>
      <c r="E30" s="202">
        <f>E25+E27+E28</f>
        <v>15483403.971371973</v>
      </c>
      <c r="F30" s="202">
        <f>F25</f>
        <v>2895187.2638190496</v>
      </c>
      <c r="G30" s="202">
        <f>G25</f>
        <v>2439242.6643923665</v>
      </c>
      <c r="H30" s="208">
        <f>H25</f>
        <v>135563.68378124156</v>
      </c>
    </row>
    <row r="31" spans="2:9" ht="13.5" thickBot="1" x14ac:dyDescent="0.25"/>
    <row r="32" spans="2:9" ht="18.75" x14ac:dyDescent="0.3">
      <c r="B32" s="321" t="s">
        <v>204</v>
      </c>
      <c r="C32" s="322"/>
      <c r="D32" s="322"/>
      <c r="E32" s="322"/>
      <c r="F32" s="322"/>
      <c r="G32" s="322"/>
      <c r="H32" s="323"/>
      <c r="I32" s="214"/>
    </row>
    <row r="33" spans="2:12" ht="13.5" thickBot="1" x14ac:dyDescent="0.25">
      <c r="B33" s="324"/>
      <c r="C33" s="325"/>
      <c r="D33" s="325"/>
      <c r="E33" s="325"/>
      <c r="F33" s="325"/>
      <c r="G33" s="325"/>
      <c r="H33" s="326"/>
    </row>
    <row r="34" spans="2:12" ht="30" x14ac:dyDescent="0.2">
      <c r="B34" s="185"/>
      <c r="C34" s="186" t="s">
        <v>4</v>
      </c>
      <c r="D34" s="187"/>
      <c r="E34" s="186" t="s">
        <v>170</v>
      </c>
      <c r="F34" s="186" t="s">
        <v>180</v>
      </c>
      <c r="G34" s="186" t="s">
        <v>16</v>
      </c>
      <c r="H34" s="188" t="s">
        <v>71</v>
      </c>
    </row>
    <row r="35" spans="2:12" x14ac:dyDescent="0.2">
      <c r="B35" s="207" t="s">
        <v>205</v>
      </c>
      <c r="C35" s="77"/>
      <c r="D35" s="77"/>
      <c r="E35" s="181">
        <f>'Allocated Revenues'!E60</f>
        <v>1.4000000000000002E-2</v>
      </c>
      <c r="F35" s="181">
        <f>'Allocated Revenues'!E60</f>
        <v>1.4000000000000002E-2</v>
      </c>
      <c r="G35" s="181">
        <f>'Allocated Revenues'!E60</f>
        <v>1.4000000000000002E-2</v>
      </c>
      <c r="H35" s="189">
        <f>'Allocated Revenues'!E60</f>
        <v>1.4000000000000002E-2</v>
      </c>
    </row>
    <row r="36" spans="2:12" x14ac:dyDescent="0.2">
      <c r="B36" s="142" t="s">
        <v>172</v>
      </c>
      <c r="C36" s="182">
        <f>SUM(E36:H36)</f>
        <v>20360345.388531741</v>
      </c>
      <c r="D36" s="77"/>
      <c r="E36" s="183">
        <f>'2014 Cost Allocation Design'!F37</f>
        <v>14813771.865971183</v>
      </c>
      <c r="F36" s="183">
        <f>'2014 Cost Allocation Design'!F38</f>
        <v>2935719.8855125168</v>
      </c>
      <c r="G36" s="183">
        <f>'2014 Cost Allocation Design'!F39</f>
        <v>2473392.0616938602</v>
      </c>
      <c r="H36" s="190">
        <f>'2014 Cost Allocation Design'!F40</f>
        <v>137461.57535417896</v>
      </c>
      <c r="L36" s="213"/>
    </row>
    <row r="37" spans="2:12" x14ac:dyDescent="0.2">
      <c r="B37" s="191" t="s">
        <v>173</v>
      </c>
      <c r="C37" s="184"/>
      <c r="D37" s="77"/>
      <c r="E37" s="183"/>
      <c r="F37" s="183"/>
      <c r="G37" s="183"/>
      <c r="H37" s="190"/>
    </row>
    <row r="38" spans="2:12" x14ac:dyDescent="0.2">
      <c r="B38" s="197" t="s">
        <v>174</v>
      </c>
      <c r="C38" s="199">
        <f>C27</f>
        <v>622958.5</v>
      </c>
      <c r="D38" s="99"/>
      <c r="E38" s="201">
        <f>E27</f>
        <v>622958.5</v>
      </c>
      <c r="F38" s="200">
        <v>0</v>
      </c>
      <c r="G38" s="200">
        <v>0</v>
      </c>
      <c r="H38" s="190">
        <v>0</v>
      </c>
    </row>
    <row r="39" spans="2:12" x14ac:dyDescent="0.2">
      <c r="B39" s="197" t="s">
        <v>175</v>
      </c>
      <c r="C39" s="199">
        <f>C28</f>
        <v>251203</v>
      </c>
      <c r="D39" s="99"/>
      <c r="E39" s="201">
        <f>E28</f>
        <v>251203</v>
      </c>
      <c r="F39" s="200">
        <v>0</v>
      </c>
      <c r="G39" s="200">
        <v>0</v>
      </c>
      <c r="H39" s="190">
        <v>0</v>
      </c>
    </row>
    <row r="40" spans="2:12" x14ac:dyDescent="0.2">
      <c r="B40" s="142"/>
      <c r="C40" s="77"/>
      <c r="D40" s="77"/>
      <c r="E40" s="77"/>
      <c r="F40" s="77"/>
      <c r="G40" s="77"/>
      <c r="H40" s="143"/>
    </row>
    <row r="41" spans="2:12" ht="13.5" thickBot="1" x14ac:dyDescent="0.25">
      <c r="B41" s="144" t="s">
        <v>182</v>
      </c>
      <c r="C41" s="202">
        <f>SUM(E41:H41)</f>
        <v>21234506.888531741</v>
      </c>
      <c r="D41" s="148"/>
      <c r="E41" s="202">
        <f>E36+E38+E39</f>
        <v>15687933.365971183</v>
      </c>
      <c r="F41" s="202">
        <f>F36</f>
        <v>2935719.8855125168</v>
      </c>
      <c r="G41" s="202">
        <f>G36</f>
        <v>2473392.0616938602</v>
      </c>
      <c r="H41" s="208">
        <f>H36</f>
        <v>137461.57535417896</v>
      </c>
    </row>
  </sheetData>
  <mergeCells count="5">
    <mergeCell ref="B19:H19"/>
    <mergeCell ref="B20:H20"/>
    <mergeCell ref="B21:H21"/>
    <mergeCell ref="B2:H2"/>
    <mergeCell ref="B32:H33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1"/>
  <sheetViews>
    <sheetView showGridLines="0" workbookViewId="0">
      <selection activeCell="R21" sqref="R21"/>
    </sheetView>
  </sheetViews>
  <sheetFormatPr defaultRowHeight="12.75" x14ac:dyDescent="0.2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7" width="10.140625" bestFit="1" customWidth="1"/>
    <col min="8" max="8" width="12.28515625" bestFit="1" customWidth="1"/>
    <col min="9" max="9" width="9.28515625" bestFit="1" customWidth="1"/>
    <col min="10" max="10" width="11.28515625" bestFit="1" customWidth="1"/>
    <col min="11" max="11" width="10.28515625" bestFit="1" customWidth="1"/>
    <col min="12" max="13" width="12.28515625" bestFit="1" customWidth="1"/>
  </cols>
  <sheetData>
    <row r="2" spans="2:13" ht="15.75" x14ac:dyDescent="0.25">
      <c r="B2" s="289" t="s">
        <v>217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</row>
    <row r="4" spans="2:13" x14ac:dyDescent="0.2">
      <c r="B4" s="300" t="s">
        <v>206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</row>
    <row r="5" spans="2:13" x14ac:dyDescent="0.2">
      <c r="B5" s="311" t="s">
        <v>80</v>
      </c>
      <c r="C5" s="311" t="s">
        <v>81</v>
      </c>
      <c r="D5" s="312" t="s">
        <v>82</v>
      </c>
      <c r="E5" s="300" t="s">
        <v>83</v>
      </c>
      <c r="F5" s="300"/>
      <c r="G5" s="300" t="s">
        <v>93</v>
      </c>
      <c r="H5" s="300"/>
      <c r="I5" s="300" t="s">
        <v>91</v>
      </c>
      <c r="J5" s="300"/>
      <c r="K5" s="300" t="s">
        <v>84</v>
      </c>
      <c r="L5" s="300"/>
      <c r="M5" s="300"/>
    </row>
    <row r="6" spans="2:13" ht="38.25" x14ac:dyDescent="0.2">
      <c r="B6" s="311"/>
      <c r="C6" s="311"/>
      <c r="D6" s="312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69</v>
      </c>
      <c r="C7" s="71" t="s">
        <v>73</v>
      </c>
      <c r="D7" s="72">
        <f>'Allocated Revenues'!D8</f>
        <v>8039</v>
      </c>
      <c r="E7" s="80">
        <f>'Allocated Revenues'!E8</f>
        <v>106119297</v>
      </c>
      <c r="F7" s="80"/>
      <c r="G7" s="82">
        <f>'Allocated Revenues'!G8</f>
        <v>0.13646721756898086</v>
      </c>
      <c r="H7" s="82">
        <f>1-G7</f>
        <v>0.86353278243101916</v>
      </c>
      <c r="I7" s="83">
        <f>K7/(D7*12)</f>
        <v>22.192733506050335</v>
      </c>
      <c r="J7" s="81">
        <f>L7/E7</f>
        <v>0.12765863639399647</v>
      </c>
      <c r="K7" s="80">
        <f>G7*M7</f>
        <v>2140888.6158616636</v>
      </c>
      <c r="L7" s="80">
        <f>H7*M7</f>
        <v>13547044.75010952</v>
      </c>
      <c r="M7" s="76">
        <f>'Smart Meter Recovery'!E36+'Smart Meter Recovery'!E38+'Smart Meter Recovery'!E39</f>
        <v>15687933.365971183</v>
      </c>
    </row>
    <row r="8" spans="2:13" x14ac:dyDescent="0.2">
      <c r="B8" s="70" t="s">
        <v>70</v>
      </c>
      <c r="C8" s="71" t="s">
        <v>72</v>
      </c>
      <c r="D8" s="72">
        <f>'Allocated Revenues'!D9</f>
        <v>48</v>
      </c>
      <c r="E8" s="80"/>
      <c r="F8" s="80">
        <f>'Allocated Revenues'!F9</f>
        <v>151952</v>
      </c>
      <c r="G8" s="82">
        <f>'Allocated Revenues'!G9</f>
        <v>0.12009689562634947</v>
      </c>
      <c r="H8" s="82">
        <f>1-G8</f>
        <v>0.87990310437365049</v>
      </c>
      <c r="I8" s="83">
        <f>K8/(D8*12)</f>
        <v>612.10216090033919</v>
      </c>
      <c r="J8" s="81">
        <f>L8/F8</f>
        <v>16.999769932833534</v>
      </c>
      <c r="K8" s="80">
        <f>G8*M8</f>
        <v>352570.84467859537</v>
      </c>
      <c r="L8" s="80">
        <f>H8*M8</f>
        <v>2583149.0408339212</v>
      </c>
      <c r="M8" s="76">
        <f>'Smart Meter Recovery'!F36</f>
        <v>2935719.8855125168</v>
      </c>
    </row>
    <row r="9" spans="2:13" x14ac:dyDescent="0.2">
      <c r="B9" s="77"/>
      <c r="C9" s="77"/>
      <c r="D9" s="77"/>
      <c r="E9" s="77"/>
      <c r="F9" s="77"/>
      <c r="G9" s="77"/>
      <c r="H9" s="77"/>
      <c r="I9" s="77"/>
      <c r="J9" s="77"/>
      <c r="K9" s="78">
        <f>SUM(K7:K8)</f>
        <v>2493459.4605402588</v>
      </c>
      <c r="L9" s="78">
        <f>SUM(L7:L8)</f>
        <v>16130193.79094344</v>
      </c>
      <c r="M9" s="78">
        <f>SUM(M7:M8)</f>
        <v>18623653.251483701</v>
      </c>
    </row>
    <row r="10" spans="2:13" x14ac:dyDescent="0.2">
      <c r="B10" s="301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3"/>
    </row>
    <row r="11" spans="2:13" x14ac:dyDescent="0.2">
      <c r="B11" s="300" t="s">
        <v>207</v>
      </c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</row>
    <row r="12" spans="2:13" ht="12.75" customHeight="1" x14ac:dyDescent="0.2">
      <c r="B12" s="300" t="s">
        <v>117</v>
      </c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</row>
    <row r="13" spans="2:13" x14ac:dyDescent="0.2">
      <c r="B13" s="313" t="s">
        <v>208</v>
      </c>
      <c r="C13" s="331"/>
      <c r="D13" s="331"/>
      <c r="E13" s="331"/>
      <c r="F13" s="331"/>
      <c r="G13" s="331"/>
      <c r="H13" s="331"/>
      <c r="I13" s="331"/>
      <c r="J13" s="331"/>
      <c r="K13" s="331"/>
      <c r="L13" s="314"/>
      <c r="M13" s="136">
        <f>'Allocated Revenues'!E56</f>
        <v>3.7600000000000001E-2</v>
      </c>
    </row>
    <row r="14" spans="2:13" x14ac:dyDescent="0.2">
      <c r="B14" s="311" t="s">
        <v>80</v>
      </c>
      <c r="C14" s="311" t="s">
        <v>81</v>
      </c>
      <c r="D14" s="312" t="s">
        <v>82</v>
      </c>
      <c r="E14" s="300" t="s">
        <v>83</v>
      </c>
      <c r="F14" s="300"/>
      <c r="G14" s="300" t="s">
        <v>93</v>
      </c>
      <c r="H14" s="300"/>
      <c r="I14" s="300" t="s">
        <v>91</v>
      </c>
      <c r="J14" s="300"/>
      <c r="K14" s="300" t="s">
        <v>84</v>
      </c>
      <c r="L14" s="300"/>
      <c r="M14" s="300"/>
    </row>
    <row r="15" spans="2:13" ht="38.25" x14ac:dyDescent="0.2">
      <c r="B15" s="311"/>
      <c r="C15" s="311"/>
      <c r="D15" s="312"/>
      <c r="E15" s="68" t="s">
        <v>73</v>
      </c>
      <c r="F15" s="68" t="s">
        <v>72</v>
      </c>
      <c r="G15" s="69" t="s">
        <v>89</v>
      </c>
      <c r="H15" s="69" t="s">
        <v>90</v>
      </c>
      <c r="I15" s="69" t="s">
        <v>85</v>
      </c>
      <c r="J15" s="69" t="s">
        <v>86</v>
      </c>
      <c r="K15" s="69" t="s">
        <v>87</v>
      </c>
      <c r="L15" s="69" t="s">
        <v>88</v>
      </c>
      <c r="M15" s="69" t="s">
        <v>21</v>
      </c>
    </row>
    <row r="16" spans="2:13" x14ac:dyDescent="0.2">
      <c r="B16" s="70" t="s">
        <v>69</v>
      </c>
      <c r="C16" s="71" t="s">
        <v>73</v>
      </c>
      <c r="D16" s="72">
        <f>D7</f>
        <v>8039</v>
      </c>
      <c r="E16" s="80">
        <f>E7</f>
        <v>106119297</v>
      </c>
      <c r="F16" s="80"/>
      <c r="G16" s="82">
        <f>K16/M16</f>
        <v>0.39329385280003848</v>
      </c>
      <c r="H16" s="82">
        <f>L16/M16</f>
        <v>0.60670614719996152</v>
      </c>
      <c r="I16" s="83">
        <f>'Tariff Sheet'!F7*(1+M13)</f>
        <v>23.159232000000003</v>
      </c>
      <c r="J16" s="81">
        <f>'Tariff Sheet'!F8*(1+M13)</f>
        <v>3.2476880000000007E-2</v>
      </c>
      <c r="K16" s="80">
        <f>D16*I16*12</f>
        <v>2234124.7925760006</v>
      </c>
      <c r="L16" s="80">
        <f>J16*E16</f>
        <v>3446423.6743533607</v>
      </c>
      <c r="M16" s="76">
        <f>K16+L16</f>
        <v>5680548.4669293612</v>
      </c>
    </row>
    <row r="17" spans="2:13" x14ac:dyDescent="0.2">
      <c r="B17" s="103" t="s">
        <v>70</v>
      </c>
      <c r="C17" s="104" t="s">
        <v>72</v>
      </c>
      <c r="D17" s="105">
        <f>D8</f>
        <v>48</v>
      </c>
      <c r="E17" s="106"/>
      <c r="F17" s="106">
        <f>F8</f>
        <v>151952</v>
      </c>
      <c r="G17" s="107">
        <f>K17/M17</f>
        <v>0.43838454777732311</v>
      </c>
      <c r="H17" s="107">
        <f>L17/M17</f>
        <v>0.56161545222267695</v>
      </c>
      <c r="I17" s="108">
        <f>'Tariff Sheet'!F13*(1+M13)</f>
        <v>618.53411200000005</v>
      </c>
      <c r="J17" s="109">
        <f>'Tariff Sheet'!F14*(1+M13)</f>
        <v>3.0037482400000002</v>
      </c>
      <c r="K17" s="106">
        <f>D17*I17*12</f>
        <v>356275.64851200004</v>
      </c>
      <c r="L17" s="106">
        <f>J17*F17</f>
        <v>456425.55256448005</v>
      </c>
      <c r="M17" s="110">
        <f>K17+L17</f>
        <v>812701.20107648009</v>
      </c>
    </row>
    <row r="18" spans="2:13" x14ac:dyDescent="0.2">
      <c r="B18" s="70" t="s">
        <v>137</v>
      </c>
      <c r="C18" s="71"/>
      <c r="D18" s="72"/>
      <c r="E18" s="80"/>
      <c r="F18" s="80"/>
      <c r="G18" s="82">
        <f>K18/M18</f>
        <v>0.42249860040220028</v>
      </c>
      <c r="H18" s="82">
        <f>L18/M18</f>
        <v>0.57750139959779967</v>
      </c>
      <c r="I18" s="83">
        <v>596.12</v>
      </c>
      <c r="J18" s="81">
        <f>L18/F17</f>
        <v>3.0887127584795206</v>
      </c>
      <c r="K18" s="80">
        <f>D17*I18*12</f>
        <v>343365.12</v>
      </c>
      <c r="L18" s="80">
        <f>M17-K18</f>
        <v>469336.0810764801</v>
      </c>
      <c r="M18" s="76">
        <f>K18+L18</f>
        <v>812701.20107648009</v>
      </c>
    </row>
    <row r="19" spans="2:13" x14ac:dyDescent="0.2">
      <c r="B19" s="77"/>
      <c r="C19" s="77"/>
      <c r="D19" s="77"/>
      <c r="E19" s="77"/>
      <c r="F19" s="77"/>
      <c r="G19" s="77"/>
      <c r="H19" s="77"/>
      <c r="I19" s="77"/>
      <c r="J19" s="77"/>
      <c r="K19" s="78">
        <f>K16+K18</f>
        <v>2577489.9125760007</v>
      </c>
      <c r="L19" s="78">
        <f>L16+L18</f>
        <v>3915759.7554298406</v>
      </c>
      <c r="M19" s="78">
        <f>M16+M18</f>
        <v>6493249.6680058409</v>
      </c>
    </row>
    <row r="20" spans="2:13" x14ac:dyDescent="0.2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 x14ac:dyDescent="0.2">
      <c r="B21" s="330" t="s">
        <v>209</v>
      </c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84">
        <f>M9-M19</f>
        <v>12130403.58347786</v>
      </c>
    </row>
    <row r="23" spans="2:13" ht="13.5" thickBot="1" x14ac:dyDescent="0.25"/>
    <row r="24" spans="2:13" ht="15.75" x14ac:dyDescent="0.25">
      <c r="B24" s="327" t="s">
        <v>235</v>
      </c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9"/>
    </row>
    <row r="25" spans="2:13" x14ac:dyDescent="0.2">
      <c r="B25" s="246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8"/>
    </row>
    <row r="26" spans="2:13" x14ac:dyDescent="0.2">
      <c r="B26" s="249" t="s">
        <v>236</v>
      </c>
      <c r="C26" s="247"/>
      <c r="D26" s="247"/>
      <c r="E26" s="247"/>
      <c r="F26" s="247"/>
      <c r="G26" s="247"/>
      <c r="H26" s="250">
        <v>12117516</v>
      </c>
      <c r="I26" s="251" t="s">
        <v>233</v>
      </c>
      <c r="J26" s="250">
        <v>1043256</v>
      </c>
      <c r="K26" s="251" t="s">
        <v>234</v>
      </c>
      <c r="L26" s="251" t="s">
        <v>163</v>
      </c>
      <c r="M26" s="248"/>
    </row>
    <row r="27" spans="2:13" x14ac:dyDescent="0.2">
      <c r="B27" s="249" t="s">
        <v>237</v>
      </c>
      <c r="C27" s="247"/>
      <c r="D27" s="247"/>
      <c r="E27" s="247"/>
      <c r="F27" s="247"/>
      <c r="G27" s="247"/>
      <c r="H27" s="250">
        <f>H26*2/12</f>
        <v>2019586</v>
      </c>
      <c r="I27" s="247"/>
      <c r="J27" s="247"/>
      <c r="K27" s="247"/>
      <c r="L27" s="247"/>
      <c r="M27" s="248"/>
    </row>
    <row r="28" spans="2:13" x14ac:dyDescent="0.2">
      <c r="B28" s="246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8"/>
    </row>
    <row r="29" spans="2:13" x14ac:dyDescent="0.2">
      <c r="B29" s="249" t="s">
        <v>238</v>
      </c>
      <c r="C29" s="247"/>
      <c r="D29" s="247"/>
      <c r="E29" s="247"/>
      <c r="F29" s="247"/>
      <c r="G29" s="247"/>
      <c r="H29" s="252">
        <f>M21</f>
        <v>12130403.58347786</v>
      </c>
      <c r="I29" s="247"/>
      <c r="J29" s="252"/>
      <c r="K29" s="247"/>
      <c r="L29" s="247"/>
      <c r="M29" s="248"/>
    </row>
    <row r="30" spans="2:13" ht="13.5" thickBot="1" x14ac:dyDescent="0.25">
      <c r="B30" s="253" t="s">
        <v>239</v>
      </c>
      <c r="C30" s="254"/>
      <c r="D30" s="254"/>
      <c r="E30" s="254"/>
      <c r="F30" s="254"/>
      <c r="G30" s="254"/>
      <c r="H30" s="255">
        <f>H29-H27</f>
        <v>10110817.58347786</v>
      </c>
      <c r="I30" s="256" t="s">
        <v>233</v>
      </c>
      <c r="J30" s="259">
        <f>H30/10</f>
        <v>1011081.758347786</v>
      </c>
      <c r="K30" s="257" t="s">
        <v>234</v>
      </c>
      <c r="L30" s="254"/>
      <c r="M30" s="258"/>
    </row>
    <row r="31" spans="2:13" x14ac:dyDescent="0.2"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</row>
  </sheetData>
  <mergeCells count="22">
    <mergeCell ref="B2:M2"/>
    <mergeCell ref="B4:M4"/>
    <mergeCell ref="B5:B6"/>
    <mergeCell ref="C5:C6"/>
    <mergeCell ref="D5:D6"/>
    <mergeCell ref="E5:F5"/>
    <mergeCell ref="I5:J5"/>
    <mergeCell ref="G5:H5"/>
    <mergeCell ref="K5:M5"/>
    <mergeCell ref="B24:M24"/>
    <mergeCell ref="B21:L21"/>
    <mergeCell ref="B10:M10"/>
    <mergeCell ref="B11:M11"/>
    <mergeCell ref="B12:M12"/>
    <mergeCell ref="B13:L13"/>
    <mergeCell ref="B14:B15"/>
    <mergeCell ref="C14:C15"/>
    <mergeCell ref="D14:D15"/>
    <mergeCell ref="G14:H14"/>
    <mergeCell ref="I14:J14"/>
    <mergeCell ref="E14:F14"/>
    <mergeCell ref="K14:M14"/>
  </mergeCells>
  <pageMargins left="0.75" right="0.75" top="1" bottom="1" header="0.5" footer="0.5"/>
  <pageSetup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Sheet</vt:lpstr>
      <vt:lpstr>Tariff Sheet</vt:lpstr>
      <vt:lpstr>Forecast Data</vt:lpstr>
      <vt:lpstr>Cost Allocation Sheet O1</vt:lpstr>
      <vt:lpstr>2011 Cost Allocation Design</vt:lpstr>
      <vt:lpstr>2014 Cost Allocation Design</vt:lpstr>
      <vt:lpstr>Allocated Revenues</vt:lpstr>
      <vt:lpstr>Smart Meter Recovery</vt:lpstr>
      <vt:lpstr>2014 RRRP Rate Design</vt:lpstr>
      <vt:lpstr>2014 Non-RRRP Rate Design</vt:lpstr>
      <vt:lpstr>Reconciliation</vt:lpstr>
      <vt:lpstr>Foregone Revenue 2014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2014-02-24T13:40:06Z</cp:lastPrinted>
  <dcterms:created xsi:type="dcterms:W3CDTF">2010-05-25T18:02:24Z</dcterms:created>
  <dcterms:modified xsi:type="dcterms:W3CDTF">2014-02-24T15:54:34Z</dcterms:modified>
</cp:coreProperties>
</file>